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J17991" sheetId="1" r:id="rId1"/>
  </sheets>
  <calcPr calcId="145621"/>
</workbook>
</file>

<file path=xl/calcChain.xml><?xml version="1.0" encoding="utf-8"?>
<calcChain xmlns="http://schemas.openxmlformats.org/spreadsheetml/2006/main">
  <c r="E2" i="1" l="1"/>
  <c r="P2" i="1"/>
  <c r="E3" i="1"/>
  <c r="P3" i="1"/>
  <c r="E4" i="1"/>
  <c r="P4" i="1"/>
  <c r="E5" i="1"/>
  <c r="P5" i="1"/>
  <c r="E6" i="1"/>
  <c r="P6" i="1"/>
  <c r="E7" i="1"/>
  <c r="P7" i="1"/>
  <c r="E8" i="1"/>
  <c r="P8" i="1"/>
  <c r="E9" i="1"/>
  <c r="P9" i="1"/>
  <c r="E10" i="1"/>
  <c r="P10" i="1"/>
  <c r="E11" i="1"/>
  <c r="P11" i="1"/>
  <c r="E12" i="1"/>
  <c r="P12" i="1"/>
  <c r="E13" i="1"/>
  <c r="P13" i="1"/>
  <c r="E14" i="1"/>
  <c r="P14" i="1"/>
  <c r="E15" i="1"/>
  <c r="P15" i="1"/>
  <c r="E16" i="1"/>
  <c r="P16" i="1"/>
  <c r="E17" i="1"/>
  <c r="P17" i="1"/>
  <c r="E18" i="1"/>
  <c r="P18" i="1"/>
  <c r="E19" i="1"/>
  <c r="P19" i="1"/>
  <c r="E20" i="1"/>
  <c r="P20" i="1"/>
  <c r="E21" i="1"/>
  <c r="P21" i="1"/>
  <c r="E22" i="1"/>
  <c r="P22" i="1"/>
  <c r="E23" i="1"/>
  <c r="P23" i="1"/>
  <c r="E24" i="1"/>
  <c r="P24" i="1"/>
  <c r="E25" i="1"/>
  <c r="P25" i="1"/>
  <c r="E26" i="1"/>
  <c r="P26" i="1"/>
  <c r="E27" i="1"/>
  <c r="P27" i="1"/>
  <c r="E28" i="1"/>
  <c r="P28" i="1"/>
  <c r="E29" i="1"/>
  <c r="P29" i="1"/>
  <c r="E30" i="1"/>
  <c r="P30" i="1"/>
  <c r="E31" i="1"/>
  <c r="P31" i="1"/>
  <c r="E32" i="1"/>
  <c r="P32" i="1"/>
  <c r="E33" i="1"/>
  <c r="P33" i="1"/>
  <c r="E34" i="1"/>
  <c r="P34" i="1"/>
  <c r="E35" i="1"/>
  <c r="P35" i="1"/>
  <c r="E36" i="1"/>
  <c r="P36" i="1"/>
  <c r="E37" i="1"/>
  <c r="P37" i="1"/>
  <c r="E38" i="1"/>
  <c r="P38" i="1"/>
  <c r="E39" i="1"/>
  <c r="P39" i="1"/>
  <c r="E40" i="1"/>
  <c r="P40" i="1"/>
  <c r="E41" i="1"/>
  <c r="P41" i="1"/>
  <c r="E42" i="1"/>
  <c r="P42" i="1"/>
  <c r="E43" i="1"/>
  <c r="P43" i="1"/>
  <c r="E44" i="1"/>
  <c r="P44" i="1"/>
  <c r="E45" i="1"/>
  <c r="P45" i="1"/>
  <c r="E46" i="1"/>
  <c r="P46" i="1"/>
  <c r="E47" i="1"/>
  <c r="P47" i="1"/>
  <c r="E48" i="1"/>
  <c r="P48" i="1"/>
  <c r="E49" i="1"/>
  <c r="P49" i="1"/>
  <c r="E50" i="1"/>
  <c r="P50" i="1"/>
  <c r="E51" i="1"/>
  <c r="P51" i="1"/>
  <c r="E52" i="1"/>
  <c r="P52" i="1"/>
  <c r="E53" i="1"/>
  <c r="P53" i="1"/>
  <c r="E54" i="1"/>
  <c r="P54" i="1"/>
  <c r="E55" i="1"/>
  <c r="P55" i="1"/>
  <c r="E56" i="1"/>
  <c r="P56" i="1"/>
  <c r="E57" i="1"/>
  <c r="P57" i="1"/>
  <c r="E58" i="1"/>
  <c r="P58" i="1"/>
  <c r="E59" i="1"/>
  <c r="P59" i="1"/>
  <c r="E60" i="1"/>
  <c r="P60" i="1"/>
  <c r="E61" i="1"/>
  <c r="P61" i="1"/>
  <c r="E62" i="1"/>
  <c r="P62" i="1"/>
  <c r="E63" i="1"/>
  <c r="P63" i="1"/>
  <c r="E64" i="1"/>
  <c r="P64" i="1"/>
  <c r="E65" i="1"/>
  <c r="P65" i="1"/>
  <c r="E66" i="1"/>
  <c r="P66" i="1"/>
  <c r="E67" i="1"/>
  <c r="P67" i="1"/>
  <c r="E68" i="1"/>
  <c r="P68" i="1"/>
  <c r="E69" i="1"/>
  <c r="P69" i="1"/>
  <c r="E70" i="1"/>
  <c r="P70" i="1"/>
  <c r="E71" i="1"/>
  <c r="P71" i="1"/>
  <c r="E72" i="1"/>
  <c r="P72" i="1"/>
  <c r="E73" i="1"/>
  <c r="P73" i="1"/>
  <c r="E74" i="1"/>
  <c r="P74" i="1"/>
  <c r="E75" i="1"/>
  <c r="P75" i="1"/>
  <c r="E76" i="1"/>
  <c r="P76" i="1"/>
  <c r="E77" i="1"/>
  <c r="P77" i="1"/>
  <c r="E78" i="1"/>
  <c r="P78" i="1"/>
  <c r="E79" i="1"/>
  <c r="P79" i="1"/>
  <c r="E80" i="1"/>
  <c r="P80" i="1"/>
  <c r="E81" i="1"/>
  <c r="P81" i="1"/>
  <c r="E82" i="1"/>
  <c r="P82" i="1"/>
  <c r="E83" i="1"/>
  <c r="P83" i="1"/>
  <c r="E84" i="1"/>
  <c r="P84" i="1"/>
  <c r="E85" i="1"/>
  <c r="P85" i="1"/>
  <c r="E86" i="1"/>
  <c r="P86" i="1"/>
  <c r="E87" i="1"/>
  <c r="P87" i="1"/>
  <c r="E88" i="1"/>
  <c r="P88" i="1"/>
  <c r="E89" i="1"/>
  <c r="P89" i="1"/>
  <c r="E90" i="1"/>
  <c r="P90" i="1"/>
  <c r="E91" i="1"/>
  <c r="P91" i="1"/>
  <c r="E92" i="1"/>
  <c r="P92" i="1"/>
  <c r="E93" i="1"/>
  <c r="P93" i="1"/>
  <c r="E94" i="1"/>
  <c r="P94" i="1"/>
  <c r="E95" i="1"/>
  <c r="P95" i="1"/>
  <c r="E96" i="1"/>
  <c r="P96" i="1"/>
  <c r="E97" i="1"/>
  <c r="P97" i="1"/>
  <c r="E98" i="1"/>
  <c r="P98" i="1"/>
  <c r="E99" i="1"/>
  <c r="P99" i="1"/>
  <c r="E100" i="1"/>
  <c r="P100" i="1"/>
  <c r="E101" i="1"/>
  <c r="P101" i="1"/>
  <c r="E102" i="1"/>
  <c r="P102" i="1"/>
  <c r="E103" i="1"/>
  <c r="P103" i="1"/>
  <c r="E104" i="1"/>
  <c r="P104" i="1"/>
  <c r="E105" i="1"/>
  <c r="P105" i="1"/>
  <c r="E106" i="1"/>
  <c r="P106" i="1"/>
  <c r="E107" i="1"/>
  <c r="P107" i="1"/>
  <c r="E108" i="1"/>
  <c r="P108" i="1"/>
  <c r="E109" i="1"/>
  <c r="P109" i="1"/>
  <c r="E110" i="1"/>
  <c r="P110" i="1"/>
  <c r="E111" i="1"/>
  <c r="P111" i="1"/>
  <c r="E112" i="1"/>
  <c r="P112" i="1"/>
  <c r="E113" i="1"/>
  <c r="P113" i="1"/>
  <c r="E114" i="1"/>
  <c r="P114" i="1"/>
  <c r="E115" i="1"/>
  <c r="P115" i="1"/>
  <c r="E116" i="1"/>
  <c r="P116" i="1"/>
  <c r="E117" i="1"/>
  <c r="P117" i="1"/>
  <c r="E118" i="1"/>
  <c r="P118" i="1"/>
  <c r="E119" i="1"/>
  <c r="P119" i="1"/>
  <c r="E120" i="1"/>
  <c r="P120" i="1"/>
  <c r="E121" i="1"/>
  <c r="P121" i="1"/>
  <c r="E122" i="1"/>
  <c r="P122" i="1"/>
  <c r="E123" i="1"/>
  <c r="P123" i="1"/>
  <c r="E124" i="1"/>
  <c r="P124" i="1"/>
  <c r="E125" i="1"/>
  <c r="P125" i="1"/>
  <c r="E126" i="1"/>
  <c r="P126" i="1"/>
  <c r="E127" i="1"/>
  <c r="P127" i="1"/>
</calcChain>
</file>

<file path=xl/sharedStrings.xml><?xml version="1.0" encoding="utf-8"?>
<sst xmlns="http://schemas.openxmlformats.org/spreadsheetml/2006/main" count="2628" uniqueCount="571">
  <si>
    <t>Client</t>
  </si>
  <si>
    <t>Type</t>
  </si>
  <si>
    <t>Invoice no</t>
  </si>
  <si>
    <t>Wb No</t>
  </si>
  <si>
    <t>Period</t>
  </si>
  <si>
    <t>Start</t>
  </si>
  <si>
    <t>Sender</t>
  </si>
  <si>
    <t>Carrier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</si>
  <si>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</si>
  <si>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</si>
  <si>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</si>
  <si>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</si>
  <si>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</si>
  <si>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</si>
  <si>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</si>
  <si>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</si>
  <si>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</si>
  <si>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</si>
  <si>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</si>
  <si>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DOC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</si>
  <si>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</si>
  <si>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</si>
  <si>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</si>
  <si>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</si>
  <si>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</si>
  <si>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</si>
  <si>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</si>
  <si>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</si>
  <si>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</si>
  <si>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</si>
  <si>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</si>
  <si>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</si>
  <si>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</si>
  <si>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Other Charges</t>
  </si>
  <si>
    <t>Tot KG</t>
  </si>
  <si>
    <t>Tot Vol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</si>
  <si>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</si>
  <si>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</si>
  <si>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</si>
  <si>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</si>
  <si>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</si>
  <si>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</si>
  <si>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</si>
  <si>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</si>
  <si>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</si>
  <si>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</si>
  <si>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</si>
  <si>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</si>
  <si>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</si>
  <si>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</si>
  <si>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</si>
  <si>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</si>
  <si>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</si>
  <si>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</si>
  <si>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</si>
  <si>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</si>
  <si>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</si>
  <si>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</si>
  <si>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</si>
  <si>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</si>
  <si>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</si>
  <si>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</si>
  <si>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WAY</t>
  </si>
  <si>
    <t>DURBA</t>
  </si>
  <si>
    <t>DURBAN</t>
  </si>
  <si>
    <t xml:space="preserve">                                   </t>
  </si>
  <si>
    <t>KEMPT</t>
  </si>
  <si>
    <t>KEMPTON PARK</t>
  </si>
  <si>
    <t>RD</t>
  </si>
  <si>
    <t>yes</t>
  </si>
  <si>
    <t>POD received from cell 0739524922 M</t>
  </si>
  <si>
    <t>PARCEL</t>
  </si>
  <si>
    <t>no</t>
  </si>
  <si>
    <t>ON1</t>
  </si>
  <si>
    <t>FUE / DOC</t>
  </si>
  <si>
    <t>BOX</t>
  </si>
  <si>
    <t>Late Linehaul Delayed Beyond Skynet Control</t>
  </si>
  <si>
    <t>llh</t>
  </si>
  <si>
    <t>JOHAN</t>
  </si>
  <si>
    <t>JOHANNESBURG</t>
  </si>
  <si>
    <t>DOC / FUE</t>
  </si>
  <si>
    <t>Late linehaul</t>
  </si>
  <si>
    <t>RD3</t>
  </si>
  <si>
    <t>LLH</t>
  </si>
  <si>
    <t>Consignee not available)</t>
  </si>
  <si>
    <t>PIET1</t>
  </si>
  <si>
    <t>PIETERMARITZBURG</t>
  </si>
  <si>
    <t>Appointment required</t>
  </si>
  <si>
    <t>NIS</t>
  </si>
  <si>
    <t>RDX</t>
  </si>
  <si>
    <t>RDD</t>
  </si>
  <si>
    <t>capet</t>
  </si>
  <si>
    <t>CAPE TOWN</t>
  </si>
  <si>
    <t>RD2</t>
  </si>
  <si>
    <t>preto</t>
  </si>
  <si>
    <t>PRETORIA</t>
  </si>
  <si>
    <t>POD received from cell 0729919507 M</t>
  </si>
  <si>
    <t>RDR</t>
  </si>
  <si>
    <t>RDL</t>
  </si>
  <si>
    <t>EAST</t>
  </si>
  <si>
    <t>EAST LONDON</t>
  </si>
  <si>
    <t>PORT3</t>
  </si>
  <si>
    <t>PORT ELIZABETH</t>
  </si>
  <si>
    <t>POD received from cell 0745037779 M</t>
  </si>
  <si>
    <t xml:space="preserve">POD received from cell 0725230163 M     </t>
  </si>
  <si>
    <t>ILLEG</t>
  </si>
  <si>
    <t xml:space="preserve">                                        </t>
  </si>
  <si>
    <t>CAPET</t>
  </si>
  <si>
    <t>.</t>
  </si>
  <si>
    <t>PRETO</t>
  </si>
  <si>
    <t>PAARL</t>
  </si>
  <si>
    <t>sara</t>
  </si>
  <si>
    <t>POD received from cell 0763378994 M</t>
  </si>
  <si>
    <t>Jacques</t>
  </si>
  <si>
    <t>POD received from cell 0835755064 M</t>
  </si>
  <si>
    <t>GERMI</t>
  </si>
  <si>
    <t>GERMISTON</t>
  </si>
  <si>
    <t>POD received from cell 0748428543 M</t>
  </si>
  <si>
    <t>avw</t>
  </si>
  <si>
    <t>POD received from cell 0610052393 M</t>
  </si>
  <si>
    <t>UAT</t>
  </si>
  <si>
    <t>VERWO</t>
  </si>
  <si>
    <t>CENTURION</t>
  </si>
  <si>
    <t>?</t>
  </si>
  <si>
    <t>POD received from cell 0783350261 M</t>
  </si>
  <si>
    <t>POD received from cell 0833616148 M</t>
  </si>
  <si>
    <t>MOSSE</t>
  </si>
  <si>
    <t>MOSSEL BAY</t>
  </si>
  <si>
    <t>POD received from cell 0799731759 M</t>
  </si>
  <si>
    <t>Box</t>
  </si>
  <si>
    <t>POD received from cell 0605616935 M</t>
  </si>
  <si>
    <t>rd1</t>
  </si>
  <si>
    <t>mmd</t>
  </si>
  <si>
    <t>POD received from cell 0638501267 M</t>
  </si>
  <si>
    <t>POD received from cell 0671592618 M</t>
  </si>
  <si>
    <t>jam</t>
  </si>
  <si>
    <t>POD received from cell 0848977566 M</t>
  </si>
  <si>
    <t>RANDB</t>
  </si>
  <si>
    <t>RANDBURG</t>
  </si>
  <si>
    <t>GEORG</t>
  </si>
  <si>
    <t>GEORGE</t>
  </si>
  <si>
    <t>POD received from cell 0744435413 M</t>
  </si>
  <si>
    <t>PETER</t>
  </si>
  <si>
    <t xml:space="preserve">JOE                           </t>
  </si>
  <si>
    <t>CCH</t>
  </si>
  <si>
    <t>VEREE</t>
  </si>
  <si>
    <t>VEREENIGING</t>
  </si>
  <si>
    <t>non</t>
  </si>
  <si>
    <t>POD received from cell 0643505724 M</t>
  </si>
  <si>
    <t>cmm</t>
  </si>
  <si>
    <t>MIDRA</t>
  </si>
  <si>
    <t>MIDRAND</t>
  </si>
  <si>
    <t>UMHLA</t>
  </si>
  <si>
    <t>UMHLANGA ROCKS</t>
  </si>
  <si>
    <t>ON2</t>
  </si>
  <si>
    <t>FUE / doc</t>
  </si>
  <si>
    <t>UMTAT</t>
  </si>
  <si>
    <t>UMTATA</t>
  </si>
  <si>
    <t>lep</t>
  </si>
  <si>
    <t xml:space="preserve">POD received from cell 0836333439 M     </t>
  </si>
  <si>
    <t>POD received from cell 0672646140 M</t>
  </si>
  <si>
    <t>HERMA</t>
  </si>
  <si>
    <t>HERMANUS</t>
  </si>
  <si>
    <t>POD received from cell 0655142110 M</t>
  </si>
  <si>
    <t>POD received from cell 0685093336 M</t>
  </si>
  <si>
    <t>john</t>
  </si>
  <si>
    <t>ROODE</t>
  </si>
  <si>
    <t>ROODEPOORT</t>
  </si>
  <si>
    <t>POD received from cell 0643414757 M</t>
  </si>
  <si>
    <t>enh</t>
  </si>
  <si>
    <t>Gerald</t>
  </si>
  <si>
    <t>SAM</t>
  </si>
  <si>
    <t>Arthur</t>
  </si>
  <si>
    <t>Nico</t>
  </si>
  <si>
    <t>POD received from cell 0791432847 M</t>
  </si>
  <si>
    <t>mandy</t>
  </si>
  <si>
    <t>POD received from cell 0846909465 M</t>
  </si>
  <si>
    <t>saj</t>
  </si>
  <si>
    <t>Robert</t>
  </si>
  <si>
    <t>POD received from cell 0729564722 M</t>
  </si>
  <si>
    <t>vusi</t>
  </si>
  <si>
    <t>VRED3</t>
  </si>
  <si>
    <t>VREDENBURG</t>
  </si>
  <si>
    <t>JOHN</t>
  </si>
  <si>
    <t>david</t>
  </si>
  <si>
    <t>chris</t>
  </si>
  <si>
    <t>Mandla</t>
  </si>
  <si>
    <t>POD received from cell 0834941426 M</t>
  </si>
  <si>
    <t>NICO</t>
  </si>
  <si>
    <t>PIET2</t>
  </si>
  <si>
    <t>PIETERSBURG</t>
  </si>
  <si>
    <t>doc</t>
  </si>
  <si>
    <t>POD received from cell 0612827599 M</t>
  </si>
  <si>
    <t>Hubert</t>
  </si>
  <si>
    <t>STEVEN</t>
  </si>
  <si>
    <t>STRAN</t>
  </si>
  <si>
    <t>STRAND</t>
  </si>
  <si>
    <t>sam</t>
  </si>
  <si>
    <t>WELKO</t>
  </si>
  <si>
    <t>WELKOM</t>
  </si>
  <si>
    <t>POD received from cell 0672502035 M</t>
  </si>
  <si>
    <t>Ben</t>
  </si>
  <si>
    <t xml:space="preserve">NATIONAL BRANDS LIMITED            </t>
  </si>
  <si>
    <t>jaco</t>
  </si>
  <si>
    <t>JULIE</t>
  </si>
  <si>
    <t>mary</t>
  </si>
  <si>
    <t xml:space="preserve">P V T                              </t>
  </si>
  <si>
    <t xml:space="preserve">Michael                       </t>
  </si>
  <si>
    <t xml:space="preserve">PVT                                </t>
  </si>
  <si>
    <t>NA</t>
  </si>
  <si>
    <t>CHANTEL</t>
  </si>
  <si>
    <t xml:space="preserve">PRIVATE                            </t>
  </si>
  <si>
    <t>POD received from cell 0734890643 M</t>
  </si>
  <si>
    <t>RD1</t>
  </si>
  <si>
    <t>Mary</t>
  </si>
  <si>
    <t>jerry</t>
  </si>
  <si>
    <t>POD received from cell 0786312089 M</t>
  </si>
  <si>
    <t>RD5</t>
  </si>
  <si>
    <t>MMABA</t>
  </si>
  <si>
    <t>MMABATHO</t>
  </si>
  <si>
    <t>NELSP</t>
  </si>
  <si>
    <t>NELSPRUIT</t>
  </si>
  <si>
    <t>BLOE1</t>
  </si>
  <si>
    <t>BLOEMFONTEIN</t>
  </si>
  <si>
    <t>POD received from cell 0734787843 M</t>
  </si>
  <si>
    <t>POD received from cell 0814169974 M</t>
  </si>
  <si>
    <t>POD received from cell 0822621815 M</t>
  </si>
  <si>
    <t>THULANI</t>
  </si>
  <si>
    <t>POD received from cell 0785601120 M</t>
  </si>
  <si>
    <t>rdy</t>
  </si>
  <si>
    <t>NONHLANHLA</t>
  </si>
  <si>
    <t>POD received from cell 0784468189 M</t>
  </si>
  <si>
    <t>POD received from cell 0677183488 M</t>
  </si>
  <si>
    <t>POD received from cell 0608181653 M</t>
  </si>
  <si>
    <t>KLERK</t>
  </si>
  <si>
    <t>KLERKSDORP</t>
  </si>
  <si>
    <t>the</t>
  </si>
  <si>
    <t>POD received from cell 0827600532 M</t>
  </si>
  <si>
    <t xml:space="preserve">POD received from cell 0748410312 M     </t>
  </si>
  <si>
    <t>JERRY</t>
  </si>
  <si>
    <t>POD received from cell 0733355474 M</t>
  </si>
  <si>
    <t>POD received from cell 0847649236 M</t>
  </si>
  <si>
    <t>ellig</t>
  </si>
  <si>
    <t>POD received from cell 0764958693 M</t>
  </si>
  <si>
    <t>eric</t>
  </si>
  <si>
    <t>..</t>
  </si>
  <si>
    <t>POD received from cell 0768687790 M</t>
  </si>
  <si>
    <t xml:space="preserve">PRIONTEX                           </t>
  </si>
  <si>
    <t>SHERWIN</t>
  </si>
  <si>
    <t>SHERWYN</t>
  </si>
  <si>
    <t>Phumy</t>
  </si>
  <si>
    <t xml:space="preserve">PRIONTEX SA                        </t>
  </si>
  <si>
    <t>J17991</t>
  </si>
  <si>
    <t xml:space="preserve">MOVE ANALYTICS CC - ADMIN          </t>
  </si>
  <si>
    <t xml:space="preserve">ELDIARIO TRADERS T A PRIONTEX      </t>
  </si>
  <si>
    <t>MARCELLE GORDON</t>
  </si>
  <si>
    <t xml:space="preserve">IGNITION                           </t>
  </si>
  <si>
    <t>SAMANTHA WOOLLATT</t>
  </si>
  <si>
    <t>Maris</t>
  </si>
  <si>
    <t>POD received from cell 0787319713 M</t>
  </si>
  <si>
    <t>BOX HOSPITAL SCRUBS</t>
  </si>
  <si>
    <t xml:space="preserve">MEDICLINIC WELKOM                  </t>
  </si>
  <si>
    <t>MRS JO VAN DER SPUY</t>
  </si>
  <si>
    <t>CJ vd Spuy</t>
  </si>
  <si>
    <t>nelsp</t>
  </si>
  <si>
    <t xml:space="preserve">MEDICLINIC NELSPRUIT               </t>
  </si>
  <si>
    <t>ENRICA DU TOIT</t>
  </si>
  <si>
    <t xml:space="preserve">mathews                       </t>
  </si>
  <si>
    <t xml:space="preserve">POD received from cell 0660659361 M     </t>
  </si>
  <si>
    <t>ULTRA GOWNS</t>
  </si>
  <si>
    <t xml:space="preserve">MEDICAL TEXTILES SAMPLE TRADIN     </t>
  </si>
  <si>
    <t>BOXES PCLS</t>
  </si>
  <si>
    <t xml:space="preserve">PRIONTEX JHB                       </t>
  </si>
  <si>
    <t>RINA LOMBAARD-0825661847</t>
  </si>
  <si>
    <t xml:space="preserve">EUROLAB ASU                        </t>
  </si>
  <si>
    <t xml:space="preserve">PRIONTEX PE                        </t>
  </si>
  <si>
    <t>Nico Strydom</t>
  </si>
  <si>
    <t>Mbuso Nkomo</t>
  </si>
  <si>
    <t>JO MARI - JACOBS</t>
  </si>
  <si>
    <t>NICO STRYDOM</t>
  </si>
  <si>
    <t>mbuso</t>
  </si>
  <si>
    <t xml:space="preserve">MEDICARE MEDICAL CENTRE            </t>
  </si>
  <si>
    <t>ZARIKA</t>
  </si>
  <si>
    <t xml:space="preserve">Queen                         </t>
  </si>
  <si>
    <t xml:space="preserve">EDWARDS                            </t>
  </si>
  <si>
    <t xml:space="preserve">PRIONTEX.                          </t>
  </si>
  <si>
    <t>I.RUDI</t>
  </si>
  <si>
    <t>MARCELLE</t>
  </si>
  <si>
    <t>marcelle</t>
  </si>
  <si>
    <t>JANINE AUGUST</t>
  </si>
  <si>
    <t>JO-MARI JACOBS</t>
  </si>
  <si>
    <t>Mbuso</t>
  </si>
  <si>
    <t>POD received from cell 0641707990 M</t>
  </si>
  <si>
    <t>MARI DU PLESSIS</t>
  </si>
  <si>
    <t>HANNERI</t>
  </si>
  <si>
    <t xml:space="preserve">LIFE WEST COAST PRIVATE HOSPIT     </t>
  </si>
  <si>
    <t>PAULINE GOUS</t>
  </si>
  <si>
    <t>LOUISA</t>
  </si>
  <si>
    <t>SAMPLE ISOLATION GOWN XL</t>
  </si>
  <si>
    <t xml:space="preserve">TYGERBERG HOSPITAL                 </t>
  </si>
  <si>
    <t>PROF SJ VLOK</t>
  </si>
  <si>
    <t xml:space="preserve">LIFE HEALTHCARE BAYVIEW PVT HO     </t>
  </si>
  <si>
    <t>JOHAN GREEF</t>
  </si>
  <si>
    <t>esther</t>
  </si>
  <si>
    <t xml:space="preserve">Rm 2C5 Blaauwberg Hospital         </t>
  </si>
  <si>
    <t xml:space="preserve">PRIONTEX CAPE                      </t>
  </si>
  <si>
    <t>RENE CROWIE</t>
  </si>
  <si>
    <t>Elize Botha (Dr JP Smedema)</t>
  </si>
  <si>
    <t>j17991</t>
  </si>
  <si>
    <t xml:space="preserve">AVI FIELD INLAND NORTH             </t>
  </si>
  <si>
    <t>MARIE VAN ALLENMAN</t>
  </si>
  <si>
    <t>SP MALAN</t>
  </si>
  <si>
    <t>Marie</t>
  </si>
  <si>
    <t>NICO   CHANTE</t>
  </si>
  <si>
    <t xml:space="preserve">MBUSO                         </t>
  </si>
  <si>
    <t xml:space="preserve">EDWARDS LIFE SCIENCNES             </t>
  </si>
  <si>
    <t>RUDI THYSSE</t>
  </si>
  <si>
    <t>MBUSO NKOMO</t>
  </si>
  <si>
    <t xml:space="preserve">chante                        </t>
  </si>
  <si>
    <t xml:space="preserve">BAYVIEW PVT HOSP                   </t>
  </si>
  <si>
    <t>REVELDA</t>
  </si>
  <si>
    <t xml:space="preserve">WINMED PARK PVT HOSP               </t>
  </si>
  <si>
    <t>HANNETJIE UYS</t>
  </si>
  <si>
    <t>gladys</t>
  </si>
  <si>
    <t xml:space="preserve">WEST RAND EYE CENTRE               </t>
  </si>
  <si>
    <t>DR F C DE BEER</t>
  </si>
  <si>
    <t>PRINOLIN NAIDOO</t>
  </si>
  <si>
    <t>B Cornbrrel</t>
  </si>
  <si>
    <t xml:space="preserve">AVI FIELD MARKETING                </t>
  </si>
  <si>
    <t xml:space="preserve">AVI                                </t>
  </si>
  <si>
    <t>CHRIS PHIRI</t>
  </si>
  <si>
    <t>SONAY</t>
  </si>
  <si>
    <t>POD received from cell 0760135133 M</t>
  </si>
  <si>
    <t xml:space="preserve">CONNECT                            </t>
  </si>
  <si>
    <t xml:space="preserve">HI TECH                            </t>
  </si>
  <si>
    <t>PHANUEL</t>
  </si>
  <si>
    <t xml:space="preserve">B JACKSON                     </t>
  </si>
  <si>
    <t xml:space="preserve">KHANGELLA EYE THEATRE              </t>
  </si>
  <si>
    <t>SUSAN VENTER</t>
  </si>
  <si>
    <t>Dorelle</t>
  </si>
  <si>
    <t xml:space="preserve">BAILA TLHANTLHANGAWE IND.GROUP     </t>
  </si>
  <si>
    <t>JOSIMAR TEKENG</t>
  </si>
  <si>
    <t>khethiwe</t>
  </si>
  <si>
    <t>Chante</t>
  </si>
  <si>
    <t xml:space="preserve">STEVEN                             </t>
  </si>
  <si>
    <t xml:space="preserve">IGNITION MARKETING                 </t>
  </si>
  <si>
    <t>Bruce</t>
  </si>
  <si>
    <t>phumy</t>
  </si>
  <si>
    <t>SUE SHERWIN</t>
  </si>
  <si>
    <t>CTNS</t>
  </si>
  <si>
    <t xml:space="preserve">INDIGO BRANDS                      </t>
  </si>
  <si>
    <t>CINDY KEMP</t>
  </si>
  <si>
    <t>AYESHA ABDUL</t>
  </si>
  <si>
    <t>ndlebe</t>
  </si>
  <si>
    <t xml:space="preserve">Edwards Lifesciences               </t>
  </si>
  <si>
    <t>Driver to ask for Jole</t>
  </si>
  <si>
    <t>Robin Fritz</t>
  </si>
  <si>
    <t>Rudi Thysse</t>
  </si>
  <si>
    <t xml:space="preserve">INGIGO COMSMETICS                  </t>
  </si>
  <si>
    <t>JACKIE</t>
  </si>
  <si>
    <t>MARY</t>
  </si>
  <si>
    <t>noluvuyo</t>
  </si>
  <si>
    <t xml:space="preserve">AVI  FIELD                         </t>
  </si>
  <si>
    <t xml:space="preserve">MARIONREED                         </t>
  </si>
  <si>
    <t>DENAY</t>
  </si>
  <si>
    <t>Desary</t>
  </si>
  <si>
    <t xml:space="preserve">avi fieldmarketing                 </t>
  </si>
  <si>
    <t xml:space="preserve">BEAUTY SPOT LASER   AESTHETIC      </t>
  </si>
  <si>
    <t>5  ST MICHEL AVE</t>
  </si>
  <si>
    <t xml:space="preserve">INDIGO COSMETICS                   </t>
  </si>
  <si>
    <t>JACKIE REBZER</t>
  </si>
  <si>
    <t>MARY GROOTBOOM</t>
  </si>
  <si>
    <t>gcali</t>
  </si>
  <si>
    <t xml:space="preserve">LYNNE LINDHORST                    </t>
  </si>
  <si>
    <t>ESTHEA DE VILLIERS</t>
  </si>
  <si>
    <t xml:space="preserve">Esthea De Villiers            </t>
  </si>
  <si>
    <t xml:space="preserve">NETCARE BLAAUWBWERG HOSP           </t>
  </si>
  <si>
    <t>ELIZE BOTHA DR JP SMEDEMA</t>
  </si>
  <si>
    <t>Elizebotha</t>
  </si>
  <si>
    <t>WHITE</t>
  </si>
  <si>
    <t>WHITE RIVER</t>
  </si>
  <si>
    <t xml:space="preserve">AVI FIELDMARKETING                 </t>
  </si>
  <si>
    <t xml:space="preserve">AVI FM                             </t>
  </si>
  <si>
    <t>ZIYAAD</t>
  </si>
  <si>
    <t>Aphiwe</t>
  </si>
  <si>
    <t xml:space="preserve">PLITHE MANAGEMENT SERV.            </t>
  </si>
  <si>
    <t>SHANAAZ ISMAIL</t>
  </si>
  <si>
    <t>pinky</t>
  </si>
  <si>
    <t>MARRY</t>
  </si>
  <si>
    <t>WARREN</t>
  </si>
  <si>
    <t>mAry</t>
  </si>
  <si>
    <t xml:space="preserve">BODYBLISS                          </t>
  </si>
  <si>
    <t>DEBBIE SAAYMAN</t>
  </si>
  <si>
    <t>Clarice</t>
  </si>
  <si>
    <t>FLYER BAG</t>
  </si>
  <si>
    <t>JACCIE THERON</t>
  </si>
  <si>
    <t>JACKIE THERON</t>
  </si>
  <si>
    <t xml:space="preserve">HELDERBERG HOSPITAL                </t>
  </si>
  <si>
    <t>YVONNE NEL</t>
  </si>
  <si>
    <t>mzovick</t>
  </si>
  <si>
    <t xml:space="preserve">LIFE ST DOMINICS HOSP              </t>
  </si>
  <si>
    <t>HELEN FLANAGAN</t>
  </si>
  <si>
    <t>luthany</t>
  </si>
  <si>
    <t>JEG</t>
  </si>
  <si>
    <t>JOHN ALAH</t>
  </si>
  <si>
    <t>John</t>
  </si>
  <si>
    <t>GENEVIEVE</t>
  </si>
  <si>
    <t>vusani</t>
  </si>
  <si>
    <t>AR SUPPORT</t>
  </si>
  <si>
    <t>ROBERT</t>
  </si>
  <si>
    <t xml:space="preserve">AVIFIELD                           </t>
  </si>
  <si>
    <t>venzile</t>
  </si>
  <si>
    <t xml:space="preserve">GROOTE SCHUUR HOSP                 </t>
  </si>
  <si>
    <t>MEHNAAZ ABDULLAH</t>
  </si>
  <si>
    <t>LEON BRYLENBACH</t>
  </si>
  <si>
    <t xml:space="preserve">ZOLA                          </t>
  </si>
  <si>
    <t xml:space="preserve">AVI FIELD MARKETING-FREE STATE     </t>
  </si>
  <si>
    <t xml:space="preserve">AVI INLAND EAST                    </t>
  </si>
  <si>
    <t>NOMHLANHLA MCHUNU</t>
  </si>
  <si>
    <t>JEAN MARIE</t>
  </si>
  <si>
    <t>Nonhlsnhla</t>
  </si>
  <si>
    <t xml:space="preserve">SLEEP LAB GARDEN ROUTE             </t>
  </si>
  <si>
    <t>ONICKE</t>
  </si>
  <si>
    <t xml:space="preserve">a goush                       </t>
  </si>
  <si>
    <t>LEON  WARREN</t>
  </si>
  <si>
    <t>melllll</t>
  </si>
  <si>
    <t xml:space="preserve">AVI FIELD                          </t>
  </si>
  <si>
    <t>ANINA KHAN</t>
  </si>
  <si>
    <t xml:space="preserve">ADVANCED VERGELEGEN SURGICAL C     </t>
  </si>
  <si>
    <t>DR JB BEUKES</t>
  </si>
  <si>
    <t>Gordon</t>
  </si>
  <si>
    <t xml:space="preserve">PRIOTEX                            </t>
  </si>
  <si>
    <t>IZAAK VERMOOTEN</t>
  </si>
  <si>
    <t>PINKY</t>
  </si>
  <si>
    <t xml:space="preserve">AVI FINANCE                        </t>
  </si>
  <si>
    <t>STANF</t>
  </si>
  <si>
    <t>STANDFORD</t>
  </si>
  <si>
    <t xml:space="preserve">I J LIMITED                        </t>
  </si>
  <si>
    <t>TEGAN CHRISTIE</t>
  </si>
  <si>
    <t>RULIEN K</t>
  </si>
  <si>
    <t>A mamm</t>
  </si>
  <si>
    <t xml:space="preserve">DR WERNER HURTER                   </t>
  </si>
  <si>
    <t>LLYNNE LINDHORST</t>
  </si>
  <si>
    <t xml:space="preserve">L LINDORSDT                   </t>
  </si>
  <si>
    <t xml:space="preserve">SHABIRA AHMED                      </t>
  </si>
  <si>
    <t>SHABIRA</t>
  </si>
  <si>
    <t>JEAN-MARIE</t>
  </si>
  <si>
    <t>N MCHUNU</t>
  </si>
  <si>
    <t>nicolyn</t>
  </si>
  <si>
    <t xml:space="preserve">MIE SMART SCREEN                   </t>
  </si>
  <si>
    <t>N BLIGNAUT</t>
  </si>
  <si>
    <t>diva</t>
  </si>
  <si>
    <t>PHILLEMON</t>
  </si>
  <si>
    <t>GILBERT LEKOTA</t>
  </si>
  <si>
    <t xml:space="preserve">Vetscape Animal Hospital           </t>
  </si>
  <si>
    <t>Robin</t>
  </si>
  <si>
    <t>Nina</t>
  </si>
  <si>
    <t xml:space="preserve">AVI FIELD MATKETING INLAND WES     </t>
  </si>
  <si>
    <t>Gcali</t>
  </si>
  <si>
    <t xml:space="preserve">PRIONTEX MICRONCLEAN               </t>
  </si>
  <si>
    <t>CARLA SCHEEPERS</t>
  </si>
  <si>
    <t xml:space="preserve">INDIGO CAPE TOWN                   </t>
  </si>
  <si>
    <t>DR MOHOSHO</t>
  </si>
  <si>
    <t>CALVI</t>
  </si>
  <si>
    <t>CALVINIA</t>
  </si>
  <si>
    <t>MICHAEL DANIELS</t>
  </si>
  <si>
    <t>l carelse</t>
  </si>
  <si>
    <t>POD received from cell 0781645522 M</t>
  </si>
  <si>
    <t xml:space="preserve">SMART SCREEN                       </t>
  </si>
  <si>
    <t>MORNE SMITH</t>
  </si>
  <si>
    <t>brenda</t>
  </si>
  <si>
    <t xml:space="preserve">SHARTSCREEN                        </t>
  </si>
  <si>
    <t>MIE</t>
  </si>
  <si>
    <t>NIVASHNIE GOVENDER</t>
  </si>
  <si>
    <t xml:space="preserve">diya                          </t>
  </si>
  <si>
    <t>ENV DOCS</t>
  </si>
  <si>
    <t>LEON BREYTENBACH</t>
  </si>
  <si>
    <t xml:space="preserve">NATIONAL BRANDS (AVI)              </t>
  </si>
  <si>
    <t>KERSHNIE MOODLEY</t>
  </si>
  <si>
    <t>LOUISA VIEIRA</t>
  </si>
  <si>
    <t xml:space="preserve">METHEMBE                      </t>
  </si>
  <si>
    <t xml:space="preserve">AVI NATIONAL BRANDS                </t>
  </si>
  <si>
    <t xml:space="preserve">I   J LIMITED                      </t>
  </si>
  <si>
    <t>TEGAN 0820968017</t>
  </si>
  <si>
    <t>ROSSELMAN</t>
  </si>
  <si>
    <t>SAZE</t>
  </si>
  <si>
    <t>KERSHNIE MOODLY</t>
  </si>
  <si>
    <t>VANESSA CHRISTIAN</t>
  </si>
  <si>
    <t>A SONGWANGWA</t>
  </si>
  <si>
    <t>Vusani</t>
  </si>
  <si>
    <t>ANUSHA SWESUNKER</t>
  </si>
  <si>
    <t>clyde</t>
  </si>
  <si>
    <t xml:space="preserve">ILITHE MANGEMENT SERVICES          </t>
  </si>
  <si>
    <t>OFFICE SITUATED BETWEEN SOUTH END MUSEUM   PAXTON</t>
  </si>
  <si>
    <t>MARCELLE GORDON SINDI</t>
  </si>
  <si>
    <t>FLYER DOCS</t>
  </si>
  <si>
    <t>MARIETJIE JORDAAN</t>
  </si>
  <si>
    <t>KNYSN</t>
  </si>
  <si>
    <t>KNYSNA</t>
  </si>
  <si>
    <t xml:space="preserve">LIFE HEALTHCARE                    </t>
  </si>
  <si>
    <t>JACO DE VOS</t>
  </si>
  <si>
    <t xml:space="preserve">NEDBANK LTD                        </t>
  </si>
  <si>
    <t>SHABIRA AHMED</t>
  </si>
  <si>
    <t>MARCELLE GORDON IZAAK</t>
  </si>
  <si>
    <t>illege</t>
  </si>
  <si>
    <t>WARREN BAARTMAN</t>
  </si>
  <si>
    <t>virginia</t>
  </si>
  <si>
    <t>1 PCL</t>
  </si>
  <si>
    <t xml:space="preserve">KIAAT PRIVATE HOSPITAL             </t>
  </si>
  <si>
    <t>CANDICE PETERSEN</t>
  </si>
  <si>
    <t>Maureen</t>
  </si>
  <si>
    <t xml:space="preserve">IMAGEMAKERS CORPORATE WEAR         </t>
  </si>
  <si>
    <t>JENINE AUGUST</t>
  </si>
  <si>
    <t>Beatrice</t>
  </si>
  <si>
    <t xml:space="preserve">NETCARE N1 CITY HOSP               </t>
  </si>
  <si>
    <t>LINDA VAN RENSBURG</t>
  </si>
  <si>
    <t>angelique</t>
  </si>
  <si>
    <t xml:space="preserve">SELECTIVE SURGICAL                 </t>
  </si>
  <si>
    <t>MRS ZANE FOURIE</t>
  </si>
  <si>
    <t xml:space="preserve">ELDIARO TRADERS                    </t>
  </si>
  <si>
    <t>BARCODES</t>
  </si>
  <si>
    <t xml:space="preserve">PRIONTEX OFFICE                    </t>
  </si>
  <si>
    <t>RITA</t>
  </si>
  <si>
    <t>SMART SCREEN</t>
  </si>
  <si>
    <t>KESHIA</t>
  </si>
  <si>
    <t>sarah</t>
  </si>
  <si>
    <t>DR GP KOURY</t>
  </si>
  <si>
    <t>T Aldwa</t>
  </si>
  <si>
    <t>SHERWIN   THEMBI</t>
  </si>
  <si>
    <t>SKHUMBUZO HLATSHWAYO</t>
  </si>
  <si>
    <t>phumi a</t>
  </si>
  <si>
    <t xml:space="preserve">DR GP KOURY                        </t>
  </si>
  <si>
    <t>KRISTY</t>
  </si>
  <si>
    <t>FLYER BAG HOSPITAL SCRUBS</t>
  </si>
  <si>
    <t>GOWNS</t>
  </si>
  <si>
    <t xml:space="preserve">NANA MTHEMBU                       </t>
  </si>
  <si>
    <t xml:space="preserve">MPHO MOTHUSI                       </t>
  </si>
  <si>
    <t>TSHIAMO</t>
  </si>
  <si>
    <t xml:space="preserve">OPTIMUM ORTHOPAEDICS               </t>
  </si>
  <si>
    <t>CHRIS LABUSCHAGNE</t>
  </si>
  <si>
    <t>Judith</t>
  </si>
  <si>
    <t xml:space="preserve">ENGELI                             </t>
  </si>
  <si>
    <t xml:space="preserve">PRIOTEX WAREHOUSE                  </t>
  </si>
  <si>
    <t>NTOBI</t>
  </si>
  <si>
    <t xml:space="preserve">LIMPOPO DEPT OF HEALTH             </t>
  </si>
  <si>
    <t>NYAMBESI MATHIVHA</t>
  </si>
  <si>
    <t>JO MARI JACOBS</t>
  </si>
  <si>
    <t>shwrwyn</t>
  </si>
  <si>
    <t>WAYNE</t>
  </si>
  <si>
    <t xml:space="preserve">POD received from cell 0729564722 M     </t>
  </si>
  <si>
    <t xml:space="preserve">JEON PARK CHOMBERS                 </t>
  </si>
  <si>
    <t>JMON</t>
  </si>
  <si>
    <t xml:space="preserve">BRIDGER PLAATJIES                  </t>
  </si>
  <si>
    <t>Tazlynn</t>
  </si>
  <si>
    <t xml:space="preserve">ELDIARIO TRADOUX T A PRIONTEX      </t>
  </si>
  <si>
    <t xml:space="preserve">DR JB BEUKES                       </t>
  </si>
  <si>
    <t xml:space="preserve">BRYONY CLARK                       </t>
  </si>
  <si>
    <t xml:space="preserve">ELLEN HARRISON                     </t>
  </si>
  <si>
    <t>NONNIE</t>
  </si>
  <si>
    <t>Aphiwe S</t>
  </si>
  <si>
    <t>Acc No</t>
  </si>
  <si>
    <t>Date</t>
  </si>
  <si>
    <t>Start Town</t>
  </si>
  <si>
    <t>Dest</t>
  </si>
  <si>
    <t>OUT</t>
  </si>
  <si>
    <t>RTL</t>
  </si>
  <si>
    <t>Prcls</t>
  </si>
  <si>
    <t>Mass</t>
  </si>
  <si>
    <t>Amount</t>
  </si>
  <si>
    <t>Vat</t>
  </si>
  <si>
    <t>MA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</si>
</sst>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0" fontId="16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35"/>
  <sheetViews>
    <sheetView tabSelected="1" topLeftCell="V121" workbookViewId="0">
      <selection activeCell="V129" sqref="A129:XFD129"/>
    </sheetView>
  </sheetViews>
  <sheetFormatPr defaultRowHeight="15" x14ac:dyDescent="0.25"/>
  <cols>
    <col min="1" max="1" width="7.42578125" bestFit="1" customWidth="1"/>
    <col min="2" max="2" width="32" bestFit="1" customWidth="1"/>
    <col min="3" max="3" width="5.28515625" bestFit="1" customWidth="1"/>
    <col min="4" max="4" width="10.140625" bestFit="1" customWidth="1"/>
    <col min="5" max="5" width="13.140625" bestFit="1" customWidth="1"/>
    <col min="6" max="6" width="10.7109375" bestFit="1" customWidth="1"/>
    <col min="7" max="7" width="7" bestFit="1" customWidth="1"/>
    <col min="8" max="8" width="7.7109375" bestFit="1" customWidth="1"/>
    <col min="9" max="9" width="18.7109375" bestFit="1" customWidth="1"/>
    <col min="10" max="10" width="34.7109375" bestFit="1" customWidth="1"/>
    <col min="11" max="11" width="16.140625" bestFit="1" customWidth="1"/>
    <col min="12" max="12" width="8.140625" bestFit="1" customWidth="1"/>
    <col min="13" max="13" width="18.7109375" bestFit="1" customWidth="1"/>
    <col min="14" max="14" width="37.28515625" bestFit="1" customWidth="1"/>
    <col min="15" max="15" width="4.85546875" bestFit="1" customWidth="1"/>
    <col min="16" max="16" width="23.85546875" bestFit="1" customWidth="1"/>
    <col min="17" max="17" width="4.28515625" bestFit="1" customWidth="1"/>
    <col min="18" max="18" width="4.5703125" bestFit="1" customWidth="1"/>
    <col min="19" max="19" width="5.28515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.42578125" bestFit="1" customWidth="1"/>
    <col min="28" max="28" width="4.5703125" bestFit="1" customWidth="1"/>
    <col min="29" max="29" width="4.28515625" bestFit="1" customWidth="1"/>
    <col min="30" max="30" width="4.5703125" bestFit="1" customWidth="1"/>
    <col min="31" max="31" width="4.85546875" bestFit="1" customWidth="1"/>
    <col min="32" max="32" width="4.5703125" bestFit="1" customWidth="1"/>
    <col min="33" max="33" width="4.42578125" bestFit="1" customWidth="1"/>
    <col min="34" max="34" width="4.5703125" bestFit="1" customWidth="1"/>
    <col min="35" max="35" width="5" bestFit="1" customWidth="1"/>
    <col min="36" max="36" width="4.5703125" bestFit="1" customWidth="1"/>
    <col min="37" max="37" width="4.42578125" bestFit="1" customWidth="1"/>
    <col min="38" max="38" width="4.5703125" bestFit="1" customWidth="1"/>
    <col min="39" max="39" width="4.85546875" bestFit="1" customWidth="1"/>
    <col min="40" max="40" width="4.5703125" bestFit="1" customWidth="1"/>
    <col min="41" max="41" width="7" bestFit="1" customWidth="1"/>
    <col min="42" max="42" width="4.5703125" bestFit="1" customWidth="1"/>
    <col min="43" max="43" width="7" bestFit="1" customWidth="1"/>
    <col min="44" max="46" width="4.5703125" bestFit="1" customWidth="1"/>
    <col min="47" max="47" width="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4.2851562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5" width="4.85546875" bestFit="1" customWidth="1"/>
    <col min="56" max="56" width="4.5703125" bestFit="1" customWidth="1"/>
    <col min="57" max="57" width="4.85546875" bestFit="1" customWidth="1"/>
    <col min="58" max="58" width="4.5703125" bestFit="1" customWidth="1"/>
    <col min="59" max="59" width="13.7109375" bestFit="1" customWidth="1"/>
    <col min="60" max="61" width="6.85546875" bestFit="1" customWidth="1"/>
    <col min="62" max="62" width="7.28515625" bestFit="1" customWidth="1"/>
    <col min="63" max="63" width="6.28515625" bestFit="1" customWidth="1"/>
    <col min="64" max="64" width="9" bestFit="1" customWidth="1"/>
    <col min="65" max="65" width="8" bestFit="1" customWidth="1"/>
    <col min="66" max="66" width="9" bestFit="1" customWidth="1"/>
    <col min="68" max="68" width="54" bestFit="1" customWidth="1"/>
    <col min="69" max="69" width="27.28515625" bestFit="1" customWidth="1"/>
    <col min="70" max="70" width="26.7109375" bestFit="1" customWidth="1"/>
    <col min="71" max="71" width="10.7109375" bestFit="1" customWidth="1"/>
    <col min="72" max="72" width="9.7109375" bestFit="1" customWidth="1"/>
    <col min="73" max="73" width="22" bestFit="1" customWidth="1"/>
    <col min="74" max="74" width="8.5703125" bestFit="1" customWidth="1"/>
    <col min="75" max="75" width="42.140625" bestFit="1" customWidth="1"/>
    <col min="76" max="76" width="16.140625" bestFit="1" customWidth="1"/>
    <col min="77" max="77" width="14" bestFit="1" customWidth="1"/>
    <col min="78" max="78" width="9.85546875" bestFit="1" customWidth="1"/>
    <col min="79" max="79" width="36.85546875" bestFit="1" customWidth="1"/>
    <col min="80" max="80" width="9" bestFit="1" customWidth="1"/>
    <col min="81" max="81" width="18.7109375" bestFit="1" customWidth="1"/>
    <col min="82" max="82" width="16" bestFit="1" customWidth="1"/>
    <col min="83" max="83" width="27.42578125" bestFit="1" customWidth="1"/>
    <col min="84" max="84" width="14" bestFit="1" customWidth="1"/>
    <col min="85" max="85" width="6.42578125" bestFit="1" customWidth="1"/>
    <col min="86" max="86" width="14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  <col min="92" max="92" width="8.140625" bestFit="1" customWidth="1"/>
  </cols>
  <sheetData>
    <row r="1" spans="1:92" x14ac:dyDescent="0.25">
      <c r="A1" s="4" t="s">
        <v>560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561</v>
      </c>
      <c r="G1" s="4" t="s">
        <v>4</v>
      </c>
      <c r="H1" s="4" t="s">
        <v>5</v>
      </c>
      <c r="I1" s="4" t="s">
        <v>562</v>
      </c>
      <c r="J1" s="4" t="s">
        <v>6</v>
      </c>
      <c r="K1" s="4" t="s">
        <v>7</v>
      </c>
      <c r="L1" s="4" t="s">
        <v>563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13</v>
      </c>
      <c r="U1" s="4" t="s">
        <v>15</v>
      </c>
      <c r="V1" s="4" t="s">
        <v>13</v>
      </c>
      <c r="W1" s="4" t="s">
        <v>16</v>
      </c>
      <c r="X1" s="4" t="s">
        <v>13</v>
      </c>
      <c r="Y1" s="4" t="s">
        <v>17</v>
      </c>
      <c r="Z1" s="4" t="s">
        <v>13</v>
      </c>
      <c r="AA1" s="4" t="s">
        <v>18</v>
      </c>
      <c r="AB1" s="4" t="s">
        <v>13</v>
      </c>
      <c r="AC1" s="4" t="s">
        <v>20</v>
      </c>
      <c r="AD1" s="4" t="s">
        <v>13</v>
      </c>
      <c r="AE1" s="4" t="s">
        <v>21</v>
      </c>
      <c r="AF1" s="4" t="s">
        <v>13</v>
      </c>
      <c r="AG1" s="4" t="s">
        <v>22</v>
      </c>
      <c r="AH1" s="4" t="s">
        <v>13</v>
      </c>
      <c r="AI1" s="4" t="s">
        <v>23</v>
      </c>
      <c r="AJ1" s="4" t="s">
        <v>13</v>
      </c>
      <c r="AK1" s="4" t="s">
        <v>24</v>
      </c>
      <c r="AL1" s="4" t="s">
        <v>13</v>
      </c>
      <c r="AM1" s="4" t="s">
        <v>25</v>
      </c>
      <c r="AN1" s="4" t="s">
        <v>13</v>
      </c>
      <c r="AO1" s="4" t="s">
        <v>26</v>
      </c>
      <c r="AP1" s="4" t="s">
        <v>13</v>
      </c>
      <c r="AQ1" s="4" t="s">
        <v>27</v>
      </c>
      <c r="AR1" s="4" t="s">
        <v>13</v>
      </c>
      <c r="AS1" s="4" t="s">
        <v>28</v>
      </c>
      <c r="AT1" s="4" t="s">
        <v>13</v>
      </c>
      <c r="AU1" s="4" t="s">
        <v>29</v>
      </c>
      <c r="AV1" s="4" t="s">
        <v>13</v>
      </c>
      <c r="AW1" s="4" t="s">
        <v>30</v>
      </c>
      <c r="AX1" s="4" t="s">
        <v>13</v>
      </c>
      <c r="AY1" s="4" t="s">
        <v>31</v>
      </c>
      <c r="AZ1" s="4" t="s">
        <v>13</v>
      </c>
      <c r="BA1" s="4" t="s">
        <v>32</v>
      </c>
      <c r="BB1" s="4" t="s">
        <v>13</v>
      </c>
      <c r="BC1" s="4" t="s">
        <v>564</v>
      </c>
      <c r="BD1" s="4" t="s">
        <v>13</v>
      </c>
      <c r="BE1" s="4" t="s">
        <v>565</v>
      </c>
      <c r="BF1" s="4" t="s">
        <v>13</v>
      </c>
      <c r="BG1" s="4" t="s">
        <v>33</v>
      </c>
      <c r="BH1" s="4" t="s">
        <v>566</v>
      </c>
      <c r="BI1" s="4" t="s">
        <v>34</v>
      </c>
      <c r="BJ1" s="4" t="s">
        <v>35</v>
      </c>
      <c r="BK1" s="4" t="s">
        <v>567</v>
      </c>
      <c r="BL1" s="4" t="s">
        <v>568</v>
      </c>
      <c r="BM1" s="4" t="s">
        <v>569</v>
      </c>
      <c r="BN1" s="4" t="s">
        <v>36</v>
      </c>
      <c r="BO1" s="4" t="s">
        <v>37</v>
      </c>
      <c r="BP1" s="4" t="s">
        <v>38</v>
      </c>
      <c r="BQ1" s="4" t="s">
        <v>39</v>
      </c>
      <c r="BR1" s="4" t="s">
        <v>40</v>
      </c>
      <c r="BS1" s="4" t="s">
        <v>41</v>
      </c>
      <c r="BT1" s="4" t="s">
        <v>42</v>
      </c>
      <c r="BU1" s="4" t="s">
        <v>43</v>
      </c>
      <c r="BV1" s="4" t="s">
        <v>44</v>
      </c>
      <c r="BW1" s="4" t="s">
        <v>45</v>
      </c>
      <c r="BX1" s="4" t="s">
        <v>46</v>
      </c>
      <c r="BY1" s="4" t="s">
        <v>47</v>
      </c>
      <c r="BZ1" s="4" t="s">
        <v>48</v>
      </c>
      <c r="CA1" s="4" t="s">
        <v>49</v>
      </c>
      <c r="CB1" s="4" t="s">
        <v>50</v>
      </c>
      <c r="CC1" s="4" t="s">
        <v>51</v>
      </c>
      <c r="CD1" s="4" t="s">
        <v>52</v>
      </c>
      <c r="CE1" s="4" t="s">
        <v>53</v>
      </c>
      <c r="CF1" s="4" t="s">
        <v>54</v>
      </c>
      <c r="CG1" s="4" t="s">
        <v>55</v>
      </c>
      <c r="CH1" s="4" t="s">
        <v>56</v>
      </c>
      <c r="CI1" s="4" t="s">
        <v>57</v>
      </c>
      <c r="CJ1" s="4" t="s">
        <v>58</v>
      </c>
      <c r="CK1" s="4" t="s">
        <v>59</v>
      </c>
      <c r="CL1" s="4" t="s">
        <v>60</v>
      </c>
      <c r="CM1" s="4" t="s">
        <v>61</v>
      </c>
      <c r="CN1" s="4" t="s">
        <v>570</v>
      </c>
    </row>
    <row r="2" spans="1:92" x14ac:dyDescent="0.25">
      <c r="A2" t="s">
        <v>252</v>
      </c>
      <c r="B2" t="s">
        <v>253</v>
      </c>
      <c r="C2" t="s">
        <v>62</v>
      </c>
      <c r="E2" t="str">
        <f>"009940541726"</f>
        <v>009940541726</v>
      </c>
      <c r="F2" s="1">
        <v>44137</v>
      </c>
      <c r="G2">
        <v>202105</v>
      </c>
      <c r="H2" t="s">
        <v>107</v>
      </c>
      <c r="I2" t="s">
        <v>92</v>
      </c>
      <c r="J2" t="s">
        <v>247</v>
      </c>
      <c r="K2" t="s">
        <v>65</v>
      </c>
      <c r="L2" t="s">
        <v>101</v>
      </c>
      <c r="M2" t="s">
        <v>102</v>
      </c>
      <c r="N2" t="s">
        <v>254</v>
      </c>
      <c r="O2" t="s">
        <v>68</v>
      </c>
      <c r="P2" t="str">
        <f>"P.E                           "</f>
        <v xml:space="preserve">P.E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9.7799999999999994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 s="3"/>
      <c r="BD2" s="3"/>
      <c r="BE2" s="3"/>
      <c r="BF2" s="3"/>
      <c r="BG2">
        <v>0</v>
      </c>
      <c r="BH2">
        <v>1</v>
      </c>
      <c r="BI2">
        <v>5.2</v>
      </c>
      <c r="BJ2">
        <v>7.4</v>
      </c>
      <c r="BK2">
        <v>8</v>
      </c>
      <c r="BL2">
        <v>99.82</v>
      </c>
      <c r="BM2">
        <v>14.97</v>
      </c>
      <c r="BN2">
        <v>114.79</v>
      </c>
      <c r="BO2">
        <v>114.79</v>
      </c>
      <c r="BQ2" t="s">
        <v>188</v>
      </c>
      <c r="BR2" t="s">
        <v>255</v>
      </c>
      <c r="BS2" s="1">
        <v>44139</v>
      </c>
      <c r="BT2" s="2">
        <v>0.4201388888888889</v>
      </c>
      <c r="BU2" t="s">
        <v>113</v>
      </c>
      <c r="BV2" t="s">
        <v>69</v>
      </c>
      <c r="BY2">
        <v>37160.949999999997</v>
      </c>
      <c r="CA2" t="s">
        <v>136</v>
      </c>
      <c r="CC2" t="s">
        <v>102</v>
      </c>
      <c r="CD2">
        <v>6001</v>
      </c>
      <c r="CE2" t="s">
        <v>71</v>
      </c>
      <c r="CF2" s="1">
        <v>44139</v>
      </c>
      <c r="CI2">
        <v>2</v>
      </c>
      <c r="CJ2">
        <v>2</v>
      </c>
      <c r="CK2" t="s">
        <v>89</v>
      </c>
      <c r="CL2" t="s">
        <v>72</v>
      </c>
    </row>
    <row r="3" spans="1:92" x14ac:dyDescent="0.25">
      <c r="A3" t="s">
        <v>252</v>
      </c>
      <c r="B3" t="s">
        <v>253</v>
      </c>
      <c r="C3" t="s">
        <v>62</v>
      </c>
      <c r="E3" t="str">
        <f>"009940541753"</f>
        <v>009940541753</v>
      </c>
      <c r="F3" s="1">
        <v>44137</v>
      </c>
      <c r="G3">
        <v>202105</v>
      </c>
      <c r="H3" t="s">
        <v>107</v>
      </c>
      <c r="I3" t="s">
        <v>92</v>
      </c>
      <c r="J3" t="s">
        <v>247</v>
      </c>
      <c r="K3" t="s">
        <v>65</v>
      </c>
      <c r="L3" t="s">
        <v>137</v>
      </c>
      <c r="M3" t="s">
        <v>138</v>
      </c>
      <c r="N3" t="s">
        <v>256</v>
      </c>
      <c r="O3" t="s">
        <v>68</v>
      </c>
      <c r="P3" t="str">
        <f>"MT-CT                         "</f>
        <v xml:space="preserve">MT-CT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14.08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 s="3"/>
      <c r="BD3" s="3"/>
      <c r="BE3" s="3"/>
      <c r="BF3" s="3"/>
      <c r="BG3">
        <v>0</v>
      </c>
      <c r="BH3">
        <v>1</v>
      </c>
      <c r="BI3">
        <v>24.3</v>
      </c>
      <c r="BJ3">
        <v>23.6</v>
      </c>
      <c r="BK3">
        <v>25</v>
      </c>
      <c r="BL3">
        <v>141.49</v>
      </c>
      <c r="BM3">
        <v>21.22</v>
      </c>
      <c r="BN3">
        <v>162.71</v>
      </c>
      <c r="BO3">
        <v>162.71</v>
      </c>
      <c r="BQ3" t="s">
        <v>257</v>
      </c>
      <c r="BR3" t="s">
        <v>255</v>
      </c>
      <c r="BS3" s="1">
        <v>44139</v>
      </c>
      <c r="BT3" s="2">
        <v>0.4465277777777778</v>
      </c>
      <c r="BU3" t="s">
        <v>258</v>
      </c>
      <c r="BV3" t="s">
        <v>69</v>
      </c>
      <c r="BY3">
        <v>118056.64</v>
      </c>
      <c r="CA3" t="s">
        <v>259</v>
      </c>
      <c r="CC3" t="s">
        <v>138</v>
      </c>
      <c r="CD3">
        <v>2162</v>
      </c>
      <c r="CE3" t="s">
        <v>260</v>
      </c>
      <c r="CF3" s="1">
        <v>44140</v>
      </c>
      <c r="CI3">
        <v>2</v>
      </c>
      <c r="CJ3">
        <v>2</v>
      </c>
      <c r="CK3" t="s">
        <v>93</v>
      </c>
      <c r="CL3" t="s">
        <v>72</v>
      </c>
    </row>
    <row r="4" spans="1:92" x14ac:dyDescent="0.25">
      <c r="A4" t="s">
        <v>252</v>
      </c>
      <c r="B4" t="s">
        <v>253</v>
      </c>
      <c r="C4" t="s">
        <v>62</v>
      </c>
      <c r="E4" t="str">
        <f>"009940391216"</f>
        <v>009940391216</v>
      </c>
      <c r="F4" s="1">
        <v>44139</v>
      </c>
      <c r="G4">
        <v>202105</v>
      </c>
      <c r="H4" t="s">
        <v>107</v>
      </c>
      <c r="I4" t="s">
        <v>92</v>
      </c>
      <c r="J4" t="s">
        <v>247</v>
      </c>
      <c r="K4" t="s">
        <v>65</v>
      </c>
      <c r="L4" t="s">
        <v>198</v>
      </c>
      <c r="M4" t="s">
        <v>199</v>
      </c>
      <c r="N4" t="s">
        <v>261</v>
      </c>
      <c r="O4" t="s">
        <v>68</v>
      </c>
      <c r="P4" t="str">
        <f>"MT CAPE TOWN                  "</f>
        <v xml:space="preserve">MT CAPE TOWN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16.41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 s="3"/>
      <c r="BD4" s="3"/>
      <c r="BE4" s="3"/>
      <c r="BF4" s="3"/>
      <c r="BG4">
        <v>0</v>
      </c>
      <c r="BH4">
        <v>1</v>
      </c>
      <c r="BI4">
        <v>23.7</v>
      </c>
      <c r="BJ4">
        <v>19.7</v>
      </c>
      <c r="BK4">
        <v>24</v>
      </c>
      <c r="BL4">
        <v>177.65</v>
      </c>
      <c r="BM4">
        <v>26.65</v>
      </c>
      <c r="BN4">
        <v>204.3</v>
      </c>
      <c r="BO4">
        <v>204.3</v>
      </c>
      <c r="BQ4" t="s">
        <v>262</v>
      </c>
      <c r="BR4" t="s">
        <v>255</v>
      </c>
      <c r="BS4" s="1">
        <v>44141</v>
      </c>
      <c r="BT4" s="2">
        <v>0.55555555555555558</v>
      </c>
      <c r="BU4" t="s">
        <v>263</v>
      </c>
      <c r="BV4" t="s">
        <v>69</v>
      </c>
      <c r="BY4">
        <v>98688</v>
      </c>
      <c r="CA4" t="s">
        <v>200</v>
      </c>
      <c r="CC4" t="s">
        <v>199</v>
      </c>
      <c r="CD4">
        <v>9459</v>
      </c>
      <c r="CE4" t="s">
        <v>71</v>
      </c>
      <c r="CF4" s="1">
        <v>44145</v>
      </c>
      <c r="CI4">
        <v>3</v>
      </c>
      <c r="CJ4">
        <v>2</v>
      </c>
      <c r="CK4" t="s">
        <v>82</v>
      </c>
      <c r="CL4" t="s">
        <v>72</v>
      </c>
    </row>
    <row r="5" spans="1:92" x14ac:dyDescent="0.25">
      <c r="A5" t="s">
        <v>252</v>
      </c>
      <c r="B5" t="s">
        <v>253</v>
      </c>
      <c r="C5" t="s">
        <v>62</v>
      </c>
      <c r="E5" t="str">
        <f>"009940541728"</f>
        <v>009940541728</v>
      </c>
      <c r="F5" s="1">
        <v>44139</v>
      </c>
      <c r="G5">
        <v>202105</v>
      </c>
      <c r="H5" t="s">
        <v>107</v>
      </c>
      <c r="I5" t="s">
        <v>92</v>
      </c>
      <c r="J5" t="s">
        <v>247</v>
      </c>
      <c r="K5" t="s">
        <v>65</v>
      </c>
      <c r="L5" t="s">
        <v>264</v>
      </c>
      <c r="M5" t="s">
        <v>221</v>
      </c>
      <c r="N5" t="s">
        <v>265</v>
      </c>
      <c r="O5" t="s">
        <v>68</v>
      </c>
      <c r="P5" t="str">
        <f>"MT CAPE TOWN                  "</f>
        <v xml:space="preserve">MT CAPE TOWN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10.72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 s="3"/>
      <c r="BD5" s="3"/>
      <c r="BE5" s="3"/>
      <c r="BF5" s="3"/>
      <c r="BG5">
        <v>0</v>
      </c>
      <c r="BH5">
        <v>1</v>
      </c>
      <c r="BI5">
        <v>10.6</v>
      </c>
      <c r="BJ5">
        <v>13.2</v>
      </c>
      <c r="BK5">
        <v>14</v>
      </c>
      <c r="BL5">
        <v>117.78</v>
      </c>
      <c r="BM5">
        <v>17.670000000000002</v>
      </c>
      <c r="BN5">
        <v>135.44999999999999</v>
      </c>
      <c r="BO5">
        <v>135.44999999999999</v>
      </c>
      <c r="BQ5" t="s">
        <v>266</v>
      </c>
      <c r="BR5" t="s">
        <v>255</v>
      </c>
      <c r="BS5" s="1">
        <v>44141</v>
      </c>
      <c r="BT5" s="2">
        <v>0.41666666666666669</v>
      </c>
      <c r="BU5" t="s">
        <v>267</v>
      </c>
      <c r="BV5" t="s">
        <v>69</v>
      </c>
      <c r="BY5">
        <v>66102</v>
      </c>
      <c r="CA5" t="s">
        <v>268</v>
      </c>
      <c r="CC5" t="s">
        <v>221</v>
      </c>
      <c r="CD5">
        <v>1201</v>
      </c>
      <c r="CE5" t="s">
        <v>269</v>
      </c>
      <c r="CF5" s="1">
        <v>44141</v>
      </c>
      <c r="CI5">
        <v>3</v>
      </c>
      <c r="CJ5">
        <v>2</v>
      </c>
      <c r="CK5" t="s">
        <v>82</v>
      </c>
      <c r="CL5" t="s">
        <v>72</v>
      </c>
    </row>
    <row r="6" spans="1:92" x14ac:dyDescent="0.25">
      <c r="A6" t="s">
        <v>252</v>
      </c>
      <c r="B6" t="s">
        <v>253</v>
      </c>
      <c r="C6" t="s">
        <v>62</v>
      </c>
      <c r="E6" t="str">
        <f>"009940541766"</f>
        <v>009940541766</v>
      </c>
      <c r="F6" s="1">
        <v>44139</v>
      </c>
      <c r="G6">
        <v>202105</v>
      </c>
      <c r="H6" t="s">
        <v>107</v>
      </c>
      <c r="I6" t="s">
        <v>92</v>
      </c>
      <c r="J6" t="s">
        <v>247</v>
      </c>
      <c r="K6" t="s">
        <v>65</v>
      </c>
      <c r="L6" t="s">
        <v>101</v>
      </c>
      <c r="M6" t="s">
        <v>102</v>
      </c>
      <c r="N6" t="s">
        <v>270</v>
      </c>
      <c r="O6" t="s">
        <v>68</v>
      </c>
      <c r="P6" t="str">
        <f>"MT CT                         "</f>
        <v xml:space="preserve">MT CT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39.270000000000003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 s="3"/>
      <c r="BD6" s="3"/>
      <c r="BE6" s="3"/>
      <c r="BF6" s="3"/>
      <c r="BG6">
        <v>0</v>
      </c>
      <c r="BH6">
        <v>4</v>
      </c>
      <c r="BI6">
        <v>32.299999999999997</v>
      </c>
      <c r="BJ6">
        <v>100</v>
      </c>
      <c r="BK6">
        <v>100</v>
      </c>
      <c r="BL6">
        <v>418.31</v>
      </c>
      <c r="BM6">
        <v>62.75</v>
      </c>
      <c r="BN6">
        <v>481.06</v>
      </c>
      <c r="BO6">
        <v>481.06</v>
      </c>
      <c r="BQ6" t="s">
        <v>188</v>
      </c>
      <c r="BR6" t="s">
        <v>255</v>
      </c>
      <c r="BS6" s="1">
        <v>44141</v>
      </c>
      <c r="BT6" s="2">
        <v>0.4236111111111111</v>
      </c>
      <c r="BU6" t="s">
        <v>113</v>
      </c>
      <c r="BV6" t="s">
        <v>69</v>
      </c>
      <c r="BY6">
        <v>499769.54</v>
      </c>
      <c r="CA6" t="s">
        <v>136</v>
      </c>
      <c r="CC6" t="s">
        <v>102</v>
      </c>
      <c r="CD6">
        <v>6001</v>
      </c>
      <c r="CE6" t="s">
        <v>271</v>
      </c>
      <c r="CF6" s="1">
        <v>44141</v>
      </c>
      <c r="CI6">
        <v>2</v>
      </c>
      <c r="CJ6">
        <v>2</v>
      </c>
      <c r="CK6" t="s">
        <v>89</v>
      </c>
      <c r="CL6" t="s">
        <v>72</v>
      </c>
    </row>
    <row r="7" spans="1:92" x14ac:dyDescent="0.25">
      <c r="A7" t="s">
        <v>252</v>
      </c>
      <c r="B7" t="s">
        <v>253</v>
      </c>
      <c r="C7" t="s">
        <v>62</v>
      </c>
      <c r="E7" t="str">
        <f>"009940541802"</f>
        <v>009940541802</v>
      </c>
      <c r="F7" s="1">
        <v>44155</v>
      </c>
      <c r="G7">
        <v>202105</v>
      </c>
      <c r="H7" t="s">
        <v>107</v>
      </c>
      <c r="I7" t="s">
        <v>92</v>
      </c>
      <c r="J7" t="s">
        <v>247</v>
      </c>
      <c r="K7" t="s">
        <v>65</v>
      </c>
      <c r="L7" t="s">
        <v>150</v>
      </c>
      <c r="M7" t="s">
        <v>151</v>
      </c>
      <c r="N7" t="s">
        <v>272</v>
      </c>
      <c r="O7" t="s">
        <v>68</v>
      </c>
      <c r="P7" t="str">
        <f>"MT CT                         "</f>
        <v xml:space="preserve">MT CT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9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 s="3"/>
      <c r="BD7" s="3"/>
      <c r="BE7" s="3"/>
      <c r="BF7" s="3"/>
      <c r="BG7">
        <v>0</v>
      </c>
      <c r="BH7">
        <v>1</v>
      </c>
      <c r="BI7">
        <v>1.9</v>
      </c>
      <c r="BJ7">
        <v>5</v>
      </c>
      <c r="BK7">
        <v>5</v>
      </c>
      <c r="BL7">
        <v>99.71</v>
      </c>
      <c r="BM7">
        <v>14.96</v>
      </c>
      <c r="BN7">
        <v>114.67</v>
      </c>
      <c r="BO7">
        <v>114.67</v>
      </c>
      <c r="BQ7" t="s">
        <v>273</v>
      </c>
      <c r="BR7" t="s">
        <v>255</v>
      </c>
      <c r="BS7" s="1">
        <v>44158</v>
      </c>
      <c r="BT7" s="2">
        <v>0.3576388888888889</v>
      </c>
      <c r="BU7" t="s">
        <v>215</v>
      </c>
      <c r="BV7" t="s">
        <v>69</v>
      </c>
      <c r="BY7">
        <v>24974.95</v>
      </c>
      <c r="CA7" t="s">
        <v>125</v>
      </c>
      <c r="CC7" t="s">
        <v>151</v>
      </c>
      <c r="CD7">
        <v>1683</v>
      </c>
      <c r="CE7" t="s">
        <v>71</v>
      </c>
      <c r="CF7" s="1">
        <v>44159</v>
      </c>
      <c r="CI7">
        <v>2</v>
      </c>
      <c r="CJ7">
        <v>1</v>
      </c>
      <c r="CK7" t="s">
        <v>93</v>
      </c>
      <c r="CL7" t="s">
        <v>72</v>
      </c>
    </row>
    <row r="8" spans="1:92" x14ac:dyDescent="0.25">
      <c r="A8" t="s">
        <v>252</v>
      </c>
      <c r="B8" t="s">
        <v>253</v>
      </c>
      <c r="C8" t="s">
        <v>62</v>
      </c>
      <c r="E8" t="str">
        <f>"080002752974"</f>
        <v>080002752974</v>
      </c>
      <c r="F8" s="1">
        <v>44140</v>
      </c>
      <c r="G8">
        <v>202105</v>
      </c>
      <c r="H8" t="s">
        <v>150</v>
      </c>
      <c r="I8" t="s">
        <v>151</v>
      </c>
      <c r="J8" t="s">
        <v>274</v>
      </c>
      <c r="K8" t="s">
        <v>65</v>
      </c>
      <c r="L8" t="s">
        <v>101</v>
      </c>
      <c r="M8" t="s">
        <v>102</v>
      </c>
      <c r="N8" t="s">
        <v>275</v>
      </c>
      <c r="O8" t="s">
        <v>68</v>
      </c>
      <c r="P8" t="str">
        <f>"                              "</f>
        <v xml:space="preserve"> 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15.94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 s="3"/>
      <c r="BD8" s="3"/>
      <c r="BE8" s="3"/>
      <c r="BF8" s="3"/>
      <c r="BG8">
        <v>0</v>
      </c>
      <c r="BH8">
        <v>2</v>
      </c>
      <c r="BI8">
        <v>18.600000000000001</v>
      </c>
      <c r="BJ8">
        <v>32.6</v>
      </c>
      <c r="BK8">
        <v>33</v>
      </c>
      <c r="BL8">
        <v>172.71</v>
      </c>
      <c r="BM8">
        <v>25.91</v>
      </c>
      <c r="BN8">
        <v>198.62</v>
      </c>
      <c r="BO8">
        <v>198.62</v>
      </c>
      <c r="BQ8" t="s">
        <v>276</v>
      </c>
      <c r="BR8" t="s">
        <v>277</v>
      </c>
      <c r="BS8" s="1">
        <v>44144</v>
      </c>
      <c r="BT8" s="2">
        <v>0.52083333333333337</v>
      </c>
      <c r="BU8" t="s">
        <v>173</v>
      </c>
      <c r="BV8" t="s">
        <v>69</v>
      </c>
      <c r="BY8">
        <v>162908.82999999999</v>
      </c>
      <c r="CA8" t="s">
        <v>136</v>
      </c>
      <c r="CC8" t="s">
        <v>102</v>
      </c>
      <c r="CD8">
        <v>6001</v>
      </c>
      <c r="CE8" t="s">
        <v>129</v>
      </c>
      <c r="CF8" s="1">
        <v>44144</v>
      </c>
      <c r="CI8">
        <v>2</v>
      </c>
      <c r="CJ8">
        <v>2</v>
      </c>
      <c r="CK8" t="s">
        <v>93</v>
      </c>
      <c r="CL8" t="s">
        <v>72</v>
      </c>
    </row>
    <row r="9" spans="1:92" x14ac:dyDescent="0.25">
      <c r="A9" t="s">
        <v>252</v>
      </c>
      <c r="B9" t="s">
        <v>253</v>
      </c>
      <c r="C9" t="s">
        <v>62</v>
      </c>
      <c r="E9" t="str">
        <f>"009940203999"</f>
        <v>009940203999</v>
      </c>
      <c r="F9" s="1">
        <v>44138</v>
      </c>
      <c r="G9">
        <v>202105</v>
      </c>
      <c r="H9" t="s">
        <v>101</v>
      </c>
      <c r="I9" t="s">
        <v>102</v>
      </c>
      <c r="J9" t="s">
        <v>247</v>
      </c>
      <c r="K9" t="s">
        <v>65</v>
      </c>
      <c r="L9" t="s">
        <v>150</v>
      </c>
      <c r="M9" t="s">
        <v>151</v>
      </c>
      <c r="N9" t="s">
        <v>274</v>
      </c>
      <c r="O9" t="s">
        <v>68</v>
      </c>
      <c r="P9" t="str">
        <f>"...........                   "</f>
        <v xml:space="preserve">...........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25.89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 s="3"/>
      <c r="BD9" s="3"/>
      <c r="BE9" s="3"/>
      <c r="BF9" s="3"/>
      <c r="BG9">
        <v>0</v>
      </c>
      <c r="BH9">
        <v>3</v>
      </c>
      <c r="BI9">
        <v>45.2</v>
      </c>
      <c r="BJ9">
        <v>52.8</v>
      </c>
      <c r="BK9">
        <v>53</v>
      </c>
      <c r="BL9">
        <v>256.06</v>
      </c>
      <c r="BM9">
        <v>38.409999999999997</v>
      </c>
      <c r="BN9">
        <v>294.47000000000003</v>
      </c>
      <c r="BO9">
        <v>294.47000000000003</v>
      </c>
      <c r="BQ9" t="s">
        <v>278</v>
      </c>
      <c r="BR9" t="s">
        <v>279</v>
      </c>
      <c r="BS9" s="1">
        <v>44140</v>
      </c>
      <c r="BT9" s="2">
        <v>0.45833333333333331</v>
      </c>
      <c r="BU9" t="s">
        <v>280</v>
      </c>
      <c r="BV9" t="s">
        <v>69</v>
      </c>
      <c r="BY9">
        <v>88000</v>
      </c>
      <c r="CA9" t="s">
        <v>192</v>
      </c>
      <c r="CC9" t="s">
        <v>151</v>
      </c>
      <c r="CD9">
        <v>1682</v>
      </c>
      <c r="CE9" t="s">
        <v>71</v>
      </c>
      <c r="CF9" s="1">
        <v>44141</v>
      </c>
      <c r="CI9">
        <v>2</v>
      </c>
      <c r="CJ9">
        <v>2</v>
      </c>
      <c r="CK9" t="s">
        <v>93</v>
      </c>
      <c r="CL9" t="s">
        <v>72</v>
      </c>
    </row>
    <row r="10" spans="1:92" x14ac:dyDescent="0.25">
      <c r="A10" t="s">
        <v>252</v>
      </c>
      <c r="B10" t="s">
        <v>253</v>
      </c>
      <c r="C10" t="s">
        <v>62</v>
      </c>
      <c r="E10" t="str">
        <f>"009940541744"</f>
        <v>009940541744</v>
      </c>
      <c r="F10" s="1">
        <v>44137</v>
      </c>
      <c r="G10">
        <v>202105</v>
      </c>
      <c r="H10" t="s">
        <v>107</v>
      </c>
      <c r="I10" t="s">
        <v>92</v>
      </c>
      <c r="J10" t="s">
        <v>247</v>
      </c>
      <c r="K10" t="s">
        <v>65</v>
      </c>
      <c r="L10" t="s">
        <v>121</v>
      </c>
      <c r="M10" t="s">
        <v>122</v>
      </c>
      <c r="N10" t="s">
        <v>281</v>
      </c>
      <c r="O10" t="s">
        <v>68</v>
      </c>
      <c r="P10" t="str">
        <f>"MT-CT                         "</f>
        <v xml:space="preserve">MT-CT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9.86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 s="3"/>
      <c r="BD10" s="3"/>
      <c r="BE10" s="3"/>
      <c r="BF10" s="3"/>
      <c r="BG10">
        <v>0</v>
      </c>
      <c r="BH10">
        <v>1</v>
      </c>
      <c r="BI10">
        <v>5.4</v>
      </c>
      <c r="BJ10">
        <v>4.5</v>
      </c>
      <c r="BK10">
        <v>6</v>
      </c>
      <c r="BL10">
        <v>100.57</v>
      </c>
      <c r="BM10">
        <v>15.09</v>
      </c>
      <c r="BN10">
        <v>115.66</v>
      </c>
      <c r="BO10">
        <v>115.66</v>
      </c>
      <c r="BQ10" t="s">
        <v>282</v>
      </c>
      <c r="BR10" t="s">
        <v>255</v>
      </c>
      <c r="BS10" s="1">
        <v>44139</v>
      </c>
      <c r="BT10" s="2">
        <v>0.49374999999999997</v>
      </c>
      <c r="BU10" t="s">
        <v>283</v>
      </c>
      <c r="BV10" t="s">
        <v>69</v>
      </c>
      <c r="BY10">
        <v>22576.32</v>
      </c>
      <c r="CA10" t="s">
        <v>104</v>
      </c>
      <c r="CC10" t="s">
        <v>122</v>
      </c>
      <c r="CD10">
        <v>157</v>
      </c>
      <c r="CE10" t="s">
        <v>260</v>
      </c>
      <c r="CF10" s="1">
        <v>44139</v>
      </c>
      <c r="CI10">
        <v>0</v>
      </c>
      <c r="CJ10">
        <v>0</v>
      </c>
      <c r="CK10" t="s">
        <v>93</v>
      </c>
      <c r="CL10" t="s">
        <v>72</v>
      </c>
    </row>
    <row r="11" spans="1:92" x14ac:dyDescent="0.25">
      <c r="A11" t="s">
        <v>252</v>
      </c>
      <c r="B11" t="s">
        <v>253</v>
      </c>
      <c r="C11" t="s">
        <v>62</v>
      </c>
      <c r="E11" t="str">
        <f>"009940598313"</f>
        <v>009940598313</v>
      </c>
      <c r="F11" s="1">
        <v>44138</v>
      </c>
      <c r="G11">
        <v>202105</v>
      </c>
      <c r="H11" t="s">
        <v>109</v>
      </c>
      <c r="I11" t="s">
        <v>95</v>
      </c>
      <c r="J11" t="s">
        <v>284</v>
      </c>
      <c r="K11" t="s">
        <v>65</v>
      </c>
      <c r="L11" t="s">
        <v>91</v>
      </c>
      <c r="M11" t="s">
        <v>92</v>
      </c>
      <c r="N11" t="s">
        <v>285</v>
      </c>
      <c r="O11" t="s">
        <v>68</v>
      </c>
      <c r="P11" t="str">
        <f>"NO REF.                       "</f>
        <v xml:space="preserve">NO REF.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11.74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 s="3"/>
      <c r="BD11" s="3"/>
      <c r="BE11" s="3"/>
      <c r="BF11" s="3"/>
      <c r="BG11">
        <v>0</v>
      </c>
      <c r="BH11">
        <v>1</v>
      </c>
      <c r="BI11">
        <v>2.8</v>
      </c>
      <c r="BJ11">
        <v>8.5</v>
      </c>
      <c r="BK11">
        <v>9</v>
      </c>
      <c r="BL11">
        <v>118.8</v>
      </c>
      <c r="BM11">
        <v>17.82</v>
      </c>
      <c r="BN11">
        <v>136.62</v>
      </c>
      <c r="BO11">
        <v>136.62</v>
      </c>
      <c r="BQ11" t="s">
        <v>108</v>
      </c>
      <c r="BR11" t="s">
        <v>286</v>
      </c>
      <c r="BS11" s="1">
        <v>44141</v>
      </c>
      <c r="BT11" s="2">
        <v>0.41666666666666669</v>
      </c>
      <c r="BU11" t="s">
        <v>287</v>
      </c>
      <c r="BV11" t="s">
        <v>69</v>
      </c>
      <c r="BY11">
        <v>42573.1</v>
      </c>
      <c r="CC11" t="s">
        <v>92</v>
      </c>
      <c r="CD11">
        <v>7800</v>
      </c>
      <c r="CE11" t="s">
        <v>108</v>
      </c>
      <c r="CF11" s="1">
        <v>44145</v>
      </c>
      <c r="CI11">
        <v>0</v>
      </c>
      <c r="CJ11">
        <v>0</v>
      </c>
      <c r="CK11" t="s">
        <v>229</v>
      </c>
      <c r="CL11" t="s">
        <v>72</v>
      </c>
    </row>
    <row r="12" spans="1:92" x14ac:dyDescent="0.25">
      <c r="A12" t="s">
        <v>252</v>
      </c>
      <c r="B12" t="s">
        <v>253</v>
      </c>
      <c r="C12" t="s">
        <v>62</v>
      </c>
      <c r="E12" t="str">
        <f>"009940314606"</f>
        <v>009940314606</v>
      </c>
      <c r="F12" s="1">
        <v>44138</v>
      </c>
      <c r="G12">
        <v>202105</v>
      </c>
      <c r="H12" t="s">
        <v>150</v>
      </c>
      <c r="I12" t="s">
        <v>151</v>
      </c>
      <c r="J12" t="s">
        <v>251</v>
      </c>
      <c r="K12" t="s">
        <v>65</v>
      </c>
      <c r="L12" t="s">
        <v>91</v>
      </c>
      <c r="M12" t="s">
        <v>92</v>
      </c>
      <c r="N12" t="s">
        <v>247</v>
      </c>
      <c r="O12" t="s">
        <v>68</v>
      </c>
      <c r="P12" t="str">
        <f>"NA                            "</f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9.86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 s="3"/>
      <c r="BD12" s="3"/>
      <c r="BE12" s="3"/>
      <c r="BF12" s="3"/>
      <c r="BG12">
        <v>0</v>
      </c>
      <c r="BH12">
        <v>1</v>
      </c>
      <c r="BI12">
        <v>0.9</v>
      </c>
      <c r="BJ12">
        <v>2.9</v>
      </c>
      <c r="BK12">
        <v>3</v>
      </c>
      <c r="BL12">
        <v>100.57</v>
      </c>
      <c r="BM12">
        <v>15.09</v>
      </c>
      <c r="BN12">
        <v>115.66</v>
      </c>
      <c r="BO12">
        <v>115.66</v>
      </c>
      <c r="BQ12" t="s">
        <v>204</v>
      </c>
      <c r="BR12" t="s">
        <v>142</v>
      </c>
      <c r="BS12" s="1">
        <v>44141</v>
      </c>
      <c r="BT12" s="2">
        <v>0.55347222222222225</v>
      </c>
      <c r="BU12" t="s">
        <v>288</v>
      </c>
      <c r="BV12" t="s">
        <v>72</v>
      </c>
      <c r="BW12" t="s">
        <v>81</v>
      </c>
      <c r="BX12" t="s">
        <v>177</v>
      </c>
      <c r="BY12">
        <v>14535.61</v>
      </c>
      <c r="CA12" t="s">
        <v>133</v>
      </c>
      <c r="CC12" t="s">
        <v>92</v>
      </c>
      <c r="CD12">
        <v>7800</v>
      </c>
      <c r="CE12" t="s">
        <v>71</v>
      </c>
      <c r="CF12" s="1">
        <v>44145</v>
      </c>
      <c r="CI12">
        <v>2</v>
      </c>
      <c r="CJ12">
        <v>3</v>
      </c>
      <c r="CK12" t="s">
        <v>93</v>
      </c>
      <c r="CL12" t="s">
        <v>72</v>
      </c>
    </row>
    <row r="13" spans="1:92" x14ac:dyDescent="0.25">
      <c r="A13" t="s">
        <v>252</v>
      </c>
      <c r="B13" t="s">
        <v>253</v>
      </c>
      <c r="C13" t="s">
        <v>62</v>
      </c>
      <c r="E13" t="str">
        <f>"009940487738"</f>
        <v>009940487738</v>
      </c>
      <c r="F13" s="1">
        <v>44137</v>
      </c>
      <c r="G13">
        <v>202105</v>
      </c>
      <c r="H13" t="s">
        <v>152</v>
      </c>
      <c r="I13" t="s">
        <v>153</v>
      </c>
      <c r="J13" t="s">
        <v>251</v>
      </c>
      <c r="K13" t="s">
        <v>65</v>
      </c>
      <c r="L13" t="s">
        <v>91</v>
      </c>
      <c r="M13" t="s">
        <v>92</v>
      </c>
      <c r="N13" t="s">
        <v>206</v>
      </c>
      <c r="O13" t="s">
        <v>68</v>
      </c>
      <c r="P13" t="str">
        <f>"SHERWYN                       "</f>
        <v xml:space="preserve">SHERWYN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9.86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 s="3"/>
      <c r="BD13" s="3"/>
      <c r="BE13" s="3"/>
      <c r="BF13" s="3"/>
      <c r="BG13">
        <v>0</v>
      </c>
      <c r="BH13">
        <v>1</v>
      </c>
      <c r="BI13">
        <v>1</v>
      </c>
      <c r="BJ13">
        <v>6.8</v>
      </c>
      <c r="BK13">
        <v>7</v>
      </c>
      <c r="BL13">
        <v>100.57</v>
      </c>
      <c r="BM13">
        <v>15.09</v>
      </c>
      <c r="BN13">
        <v>115.66</v>
      </c>
      <c r="BO13">
        <v>115.66</v>
      </c>
      <c r="BQ13" t="s">
        <v>289</v>
      </c>
      <c r="BR13" t="s">
        <v>249</v>
      </c>
      <c r="BS13" s="1">
        <v>44139</v>
      </c>
      <c r="BT13" s="2">
        <v>0.42430555555555555</v>
      </c>
      <c r="BU13" t="s">
        <v>244</v>
      </c>
      <c r="BV13" t="s">
        <v>69</v>
      </c>
      <c r="BY13">
        <v>34200</v>
      </c>
      <c r="CA13" t="s">
        <v>243</v>
      </c>
      <c r="CC13" t="s">
        <v>92</v>
      </c>
      <c r="CD13">
        <v>7925</v>
      </c>
      <c r="CE13" t="s">
        <v>71</v>
      </c>
      <c r="CF13" s="1">
        <v>44140</v>
      </c>
      <c r="CI13">
        <v>3</v>
      </c>
      <c r="CJ13">
        <v>2</v>
      </c>
      <c r="CK13" t="s">
        <v>93</v>
      </c>
      <c r="CL13" t="s">
        <v>72</v>
      </c>
    </row>
    <row r="14" spans="1:92" x14ac:dyDescent="0.25">
      <c r="A14" t="s">
        <v>252</v>
      </c>
      <c r="B14" t="s">
        <v>253</v>
      </c>
      <c r="C14" t="s">
        <v>62</v>
      </c>
      <c r="E14" t="str">
        <f>"009940203998"</f>
        <v>009940203998</v>
      </c>
      <c r="F14" s="1">
        <v>44141</v>
      </c>
      <c r="G14">
        <v>202105</v>
      </c>
      <c r="H14" t="s">
        <v>101</v>
      </c>
      <c r="I14" t="s">
        <v>102</v>
      </c>
      <c r="J14" t="s">
        <v>247</v>
      </c>
      <c r="K14" t="s">
        <v>65</v>
      </c>
      <c r="L14" t="s">
        <v>150</v>
      </c>
      <c r="M14" t="s">
        <v>151</v>
      </c>
      <c r="N14" t="s">
        <v>274</v>
      </c>
      <c r="O14" t="s">
        <v>68</v>
      </c>
      <c r="P14" t="str">
        <f>"                              "</f>
        <v xml:space="preserve">  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23.64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 s="3"/>
      <c r="BD14" s="3"/>
      <c r="BE14" s="3"/>
      <c r="BF14" s="3"/>
      <c r="BG14">
        <v>0</v>
      </c>
      <c r="BH14">
        <v>3</v>
      </c>
      <c r="BI14">
        <v>24</v>
      </c>
      <c r="BJ14">
        <v>52.8</v>
      </c>
      <c r="BK14">
        <v>53</v>
      </c>
      <c r="BL14">
        <v>253.81</v>
      </c>
      <c r="BM14">
        <v>38.07</v>
      </c>
      <c r="BN14">
        <v>291.88</v>
      </c>
      <c r="BO14">
        <v>291.88</v>
      </c>
      <c r="BQ14" t="s">
        <v>290</v>
      </c>
      <c r="BR14" t="s">
        <v>279</v>
      </c>
      <c r="BS14" s="1">
        <v>44144</v>
      </c>
      <c r="BT14" s="2">
        <v>0.53194444444444444</v>
      </c>
      <c r="BU14" t="s">
        <v>291</v>
      </c>
      <c r="BV14" t="s">
        <v>69</v>
      </c>
      <c r="BY14">
        <v>88000</v>
      </c>
      <c r="CA14" t="s">
        <v>292</v>
      </c>
      <c r="CC14" t="s">
        <v>151</v>
      </c>
      <c r="CD14">
        <v>1682</v>
      </c>
      <c r="CE14" t="s">
        <v>71</v>
      </c>
      <c r="CF14" s="1">
        <v>44145</v>
      </c>
      <c r="CI14">
        <v>2</v>
      </c>
      <c r="CJ14">
        <v>1</v>
      </c>
      <c r="CK14" t="s">
        <v>93</v>
      </c>
      <c r="CL14" t="s">
        <v>72</v>
      </c>
    </row>
    <row r="15" spans="1:92" x14ac:dyDescent="0.25">
      <c r="A15" t="s">
        <v>252</v>
      </c>
      <c r="B15" t="s">
        <v>253</v>
      </c>
      <c r="C15" t="s">
        <v>62</v>
      </c>
      <c r="E15" t="str">
        <f>"009940541761"</f>
        <v>009940541761</v>
      </c>
      <c r="F15" s="1">
        <v>44141</v>
      </c>
      <c r="G15">
        <v>202105</v>
      </c>
      <c r="H15" t="s">
        <v>107</v>
      </c>
      <c r="I15" t="s">
        <v>92</v>
      </c>
      <c r="J15" t="s">
        <v>247</v>
      </c>
      <c r="K15" t="s">
        <v>65</v>
      </c>
      <c r="L15" t="s">
        <v>145</v>
      </c>
      <c r="M15" t="s">
        <v>146</v>
      </c>
      <c r="N15" t="s">
        <v>211</v>
      </c>
      <c r="O15" t="s">
        <v>68</v>
      </c>
      <c r="P15" t="str">
        <f>"MT CT                         "</f>
        <v xml:space="preserve">MT CT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10.72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 s="3"/>
      <c r="BD15" s="3"/>
      <c r="BE15" s="3"/>
      <c r="BF15" s="3"/>
      <c r="BG15">
        <v>0</v>
      </c>
      <c r="BH15">
        <v>1</v>
      </c>
      <c r="BI15">
        <v>6.3</v>
      </c>
      <c r="BJ15">
        <v>8</v>
      </c>
      <c r="BK15">
        <v>8</v>
      </c>
      <c r="BL15">
        <v>117.78</v>
      </c>
      <c r="BM15">
        <v>17.670000000000002</v>
      </c>
      <c r="BN15">
        <v>135.44999999999999</v>
      </c>
      <c r="BO15">
        <v>135.44999999999999</v>
      </c>
      <c r="BQ15" t="s">
        <v>293</v>
      </c>
      <c r="BR15" t="s">
        <v>255</v>
      </c>
      <c r="BS15" s="1">
        <v>44144</v>
      </c>
      <c r="BT15" s="2">
        <v>0.35416666666666669</v>
      </c>
      <c r="BU15" t="s">
        <v>294</v>
      </c>
      <c r="BV15" t="s">
        <v>69</v>
      </c>
      <c r="BY15">
        <v>40032.720000000001</v>
      </c>
      <c r="CC15" t="s">
        <v>146</v>
      </c>
      <c r="CD15">
        <v>1930</v>
      </c>
      <c r="CE15" t="s">
        <v>75</v>
      </c>
      <c r="CF15" s="1">
        <v>44145</v>
      </c>
      <c r="CI15">
        <v>2</v>
      </c>
      <c r="CJ15">
        <v>1</v>
      </c>
      <c r="CK15" t="s">
        <v>82</v>
      </c>
      <c r="CL15" t="s">
        <v>72</v>
      </c>
    </row>
    <row r="16" spans="1:92" x14ac:dyDescent="0.25">
      <c r="A16" t="s">
        <v>252</v>
      </c>
      <c r="B16" t="s">
        <v>253</v>
      </c>
      <c r="C16" t="s">
        <v>62</v>
      </c>
      <c r="E16" t="str">
        <f>"009940541733"</f>
        <v>009940541733</v>
      </c>
      <c r="F16" s="1">
        <v>44141</v>
      </c>
      <c r="G16">
        <v>202105</v>
      </c>
      <c r="H16" t="s">
        <v>107</v>
      </c>
      <c r="I16" t="s">
        <v>92</v>
      </c>
      <c r="J16" t="s">
        <v>247</v>
      </c>
      <c r="K16" t="s">
        <v>65</v>
      </c>
      <c r="L16" t="s">
        <v>181</v>
      </c>
      <c r="M16" t="s">
        <v>182</v>
      </c>
      <c r="N16" t="s">
        <v>295</v>
      </c>
      <c r="O16" t="s">
        <v>68</v>
      </c>
      <c r="P16" t="str">
        <f>"MT CAPE TOWN                  "</f>
        <v xml:space="preserve">MT CAPE TOWN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7.56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 s="3"/>
      <c r="BD16" s="3"/>
      <c r="BE16" s="3"/>
      <c r="BF16" s="3"/>
      <c r="BG16">
        <v>0</v>
      </c>
      <c r="BH16">
        <v>1</v>
      </c>
      <c r="BI16">
        <v>0.3</v>
      </c>
      <c r="BJ16">
        <v>0.7</v>
      </c>
      <c r="BK16">
        <v>1</v>
      </c>
      <c r="BL16">
        <v>84.52</v>
      </c>
      <c r="BM16">
        <v>12.68</v>
      </c>
      <c r="BN16">
        <v>97.2</v>
      </c>
      <c r="BO16">
        <v>97.2</v>
      </c>
      <c r="BQ16" t="s">
        <v>296</v>
      </c>
      <c r="BR16" t="s">
        <v>255</v>
      </c>
      <c r="BS16" s="1">
        <v>44147</v>
      </c>
      <c r="BT16" s="2">
        <v>0.41666666666666669</v>
      </c>
      <c r="BU16" t="s">
        <v>297</v>
      </c>
      <c r="BY16">
        <v>3723.45</v>
      </c>
      <c r="CC16" t="s">
        <v>182</v>
      </c>
      <c r="CD16">
        <v>7380</v>
      </c>
      <c r="CE16" t="s">
        <v>298</v>
      </c>
      <c r="CF16" s="1">
        <v>44161</v>
      </c>
      <c r="CI16">
        <v>5</v>
      </c>
      <c r="CJ16">
        <v>4</v>
      </c>
      <c r="CK16" t="s">
        <v>97</v>
      </c>
      <c r="CL16" t="s">
        <v>72</v>
      </c>
    </row>
    <row r="17" spans="1:90" x14ac:dyDescent="0.25">
      <c r="A17" t="s">
        <v>252</v>
      </c>
      <c r="B17" t="s">
        <v>253</v>
      </c>
      <c r="C17" t="s">
        <v>62</v>
      </c>
      <c r="E17" t="str">
        <f>"009940541745"</f>
        <v>009940541745</v>
      </c>
      <c r="F17" s="1">
        <v>44141</v>
      </c>
      <c r="G17">
        <v>202105</v>
      </c>
      <c r="H17" t="s">
        <v>107</v>
      </c>
      <c r="I17" t="s">
        <v>92</v>
      </c>
      <c r="J17" t="s">
        <v>247</v>
      </c>
      <c r="K17" t="s">
        <v>65</v>
      </c>
      <c r="L17" t="s">
        <v>91</v>
      </c>
      <c r="M17" t="s">
        <v>92</v>
      </c>
      <c r="N17" t="s">
        <v>299</v>
      </c>
      <c r="O17" t="s">
        <v>68</v>
      </c>
      <c r="P17" t="str">
        <f>"MT CT                         "</f>
        <v xml:space="preserve">MT CT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6.8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 s="3"/>
      <c r="BD17" s="3"/>
      <c r="BE17" s="3"/>
      <c r="BF17" s="3"/>
      <c r="BG17">
        <v>0</v>
      </c>
      <c r="BH17">
        <v>1</v>
      </c>
      <c r="BI17">
        <v>13.4</v>
      </c>
      <c r="BJ17">
        <v>17.899999999999999</v>
      </c>
      <c r="BK17">
        <v>18</v>
      </c>
      <c r="BL17">
        <v>76.59</v>
      </c>
      <c r="BM17">
        <v>11.49</v>
      </c>
      <c r="BN17">
        <v>88.08</v>
      </c>
      <c r="BO17">
        <v>88.08</v>
      </c>
      <c r="BQ17" t="s">
        <v>300</v>
      </c>
      <c r="BR17" t="s">
        <v>255</v>
      </c>
      <c r="BS17" s="1">
        <v>44144</v>
      </c>
      <c r="BT17" s="2">
        <v>0.42499999999999999</v>
      </c>
      <c r="BU17" t="s">
        <v>170</v>
      </c>
      <c r="BV17" t="s">
        <v>69</v>
      </c>
      <c r="BY17">
        <v>89637.5</v>
      </c>
      <c r="CA17" t="s">
        <v>119</v>
      </c>
      <c r="CC17" t="s">
        <v>92</v>
      </c>
      <c r="CD17">
        <v>7505</v>
      </c>
      <c r="CE17" t="s">
        <v>75</v>
      </c>
      <c r="CF17" s="1">
        <v>44145</v>
      </c>
      <c r="CI17">
        <v>1</v>
      </c>
      <c r="CJ17">
        <v>1</v>
      </c>
      <c r="CK17" t="s">
        <v>98</v>
      </c>
      <c r="CL17" t="s">
        <v>72</v>
      </c>
    </row>
    <row r="18" spans="1:90" x14ac:dyDescent="0.25">
      <c r="A18" t="s">
        <v>252</v>
      </c>
      <c r="B18" t="s">
        <v>253</v>
      </c>
      <c r="C18" t="s">
        <v>62</v>
      </c>
      <c r="E18" t="str">
        <f>"009940541734"</f>
        <v>009940541734</v>
      </c>
      <c r="F18" s="1">
        <v>44144</v>
      </c>
      <c r="G18">
        <v>202105</v>
      </c>
      <c r="H18" t="s">
        <v>107</v>
      </c>
      <c r="I18" t="s">
        <v>92</v>
      </c>
      <c r="J18" t="s">
        <v>247</v>
      </c>
      <c r="K18" t="s">
        <v>65</v>
      </c>
      <c r="L18" t="s">
        <v>126</v>
      </c>
      <c r="M18" t="s">
        <v>127</v>
      </c>
      <c r="N18" t="s">
        <v>301</v>
      </c>
      <c r="O18" t="s">
        <v>68</v>
      </c>
      <c r="P18" t="str">
        <f>"MT CT                         "</f>
        <v xml:space="preserve">MT CT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6.7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 s="3"/>
      <c r="BD18" s="3"/>
      <c r="BE18" s="3"/>
      <c r="BF18" s="3"/>
      <c r="BG18">
        <v>0</v>
      </c>
      <c r="BH18">
        <v>1</v>
      </c>
      <c r="BI18">
        <v>16.899999999999999</v>
      </c>
      <c r="BJ18">
        <v>15.2</v>
      </c>
      <c r="BK18">
        <v>17</v>
      </c>
      <c r="BL18">
        <v>75.540000000000006</v>
      </c>
      <c r="BM18">
        <v>11.33</v>
      </c>
      <c r="BN18">
        <v>86.87</v>
      </c>
      <c r="BO18">
        <v>86.87</v>
      </c>
      <c r="BQ18" t="s">
        <v>302</v>
      </c>
      <c r="BR18" t="s">
        <v>255</v>
      </c>
      <c r="BS18" s="1">
        <v>44145</v>
      </c>
      <c r="BT18" s="2">
        <v>0.45902777777777781</v>
      </c>
      <c r="BU18" t="s">
        <v>303</v>
      </c>
      <c r="BV18" t="s">
        <v>69</v>
      </c>
      <c r="BY18">
        <v>76198.080000000002</v>
      </c>
      <c r="CC18" t="s">
        <v>127</v>
      </c>
      <c r="CD18">
        <v>6500</v>
      </c>
      <c r="CE18" t="s">
        <v>71</v>
      </c>
      <c r="CF18" s="1">
        <v>44147</v>
      </c>
      <c r="CI18">
        <v>0</v>
      </c>
      <c r="CJ18">
        <v>0</v>
      </c>
      <c r="CK18" t="s">
        <v>213</v>
      </c>
      <c r="CL18" t="s">
        <v>72</v>
      </c>
    </row>
    <row r="19" spans="1:90" x14ac:dyDescent="0.25">
      <c r="A19" t="s">
        <v>252</v>
      </c>
      <c r="B19" t="s">
        <v>253</v>
      </c>
      <c r="C19" t="s">
        <v>62</v>
      </c>
      <c r="E19" t="str">
        <f>"080002755270"</f>
        <v>080002755270</v>
      </c>
      <c r="F19" s="1">
        <v>44144</v>
      </c>
      <c r="G19">
        <v>202105</v>
      </c>
      <c r="H19" t="s">
        <v>107</v>
      </c>
      <c r="I19" t="s">
        <v>92</v>
      </c>
      <c r="J19" t="s">
        <v>304</v>
      </c>
      <c r="K19" t="s">
        <v>65</v>
      </c>
      <c r="L19" t="s">
        <v>91</v>
      </c>
      <c r="M19" t="s">
        <v>92</v>
      </c>
      <c r="N19" t="s">
        <v>305</v>
      </c>
      <c r="O19" t="s">
        <v>68</v>
      </c>
      <c r="P19" t="str">
        <f>"                              "</f>
        <v xml:space="preserve"> 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6.18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 s="3"/>
      <c r="BD19" s="3"/>
      <c r="BE19" s="3"/>
      <c r="BF19" s="3"/>
      <c r="BG19">
        <v>0</v>
      </c>
      <c r="BH19">
        <v>1</v>
      </c>
      <c r="BI19">
        <v>0.5</v>
      </c>
      <c r="BJ19">
        <v>2</v>
      </c>
      <c r="BK19">
        <v>2</v>
      </c>
      <c r="BL19">
        <v>70.06</v>
      </c>
      <c r="BM19">
        <v>10.51</v>
      </c>
      <c r="BN19">
        <v>80.569999999999993</v>
      </c>
      <c r="BO19">
        <v>80.569999999999993</v>
      </c>
      <c r="BQ19" t="s">
        <v>306</v>
      </c>
      <c r="BR19" t="s">
        <v>307</v>
      </c>
      <c r="BS19" s="1">
        <v>44145</v>
      </c>
      <c r="BT19" s="2">
        <v>0.41319444444444442</v>
      </c>
      <c r="BU19" t="s">
        <v>288</v>
      </c>
      <c r="BV19" t="s">
        <v>69</v>
      </c>
      <c r="BY19">
        <v>10060.68</v>
      </c>
      <c r="CA19" t="s">
        <v>133</v>
      </c>
      <c r="CC19" t="s">
        <v>92</v>
      </c>
      <c r="CD19">
        <v>7824</v>
      </c>
      <c r="CE19" t="s">
        <v>129</v>
      </c>
      <c r="CF19" s="1">
        <v>44146</v>
      </c>
      <c r="CI19">
        <v>0</v>
      </c>
      <c r="CJ19">
        <v>0</v>
      </c>
      <c r="CK19" t="s">
        <v>98</v>
      </c>
      <c r="CL19" t="s">
        <v>72</v>
      </c>
    </row>
    <row r="20" spans="1:90" x14ac:dyDescent="0.25">
      <c r="A20" t="s">
        <v>308</v>
      </c>
      <c r="B20" t="s">
        <v>253</v>
      </c>
      <c r="C20" t="s">
        <v>62</v>
      </c>
      <c r="E20" t="str">
        <f>"069907160840"</f>
        <v>069907160840</v>
      </c>
      <c r="F20" s="1">
        <v>44146</v>
      </c>
      <c r="G20">
        <v>202105</v>
      </c>
      <c r="H20" t="s">
        <v>189</v>
      </c>
      <c r="I20" t="s">
        <v>190</v>
      </c>
      <c r="J20" t="s">
        <v>309</v>
      </c>
      <c r="K20" t="s">
        <v>65</v>
      </c>
      <c r="L20" t="s">
        <v>94</v>
      </c>
      <c r="M20" t="s">
        <v>95</v>
      </c>
      <c r="N20" t="s">
        <v>202</v>
      </c>
      <c r="O20" t="s">
        <v>68</v>
      </c>
      <c r="P20" t="str">
        <f>"                              "</f>
        <v xml:space="preserve"> 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8.24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 s="3"/>
      <c r="BD20" s="3"/>
      <c r="BE20" s="3"/>
      <c r="BF20" s="3"/>
      <c r="BG20">
        <v>0</v>
      </c>
      <c r="BH20">
        <v>1</v>
      </c>
      <c r="BI20">
        <v>1</v>
      </c>
      <c r="BJ20">
        <v>0.2</v>
      </c>
      <c r="BK20">
        <v>1</v>
      </c>
      <c r="BL20">
        <v>91.74</v>
      </c>
      <c r="BM20">
        <v>13.76</v>
      </c>
      <c r="BN20">
        <v>105.5</v>
      </c>
      <c r="BO20">
        <v>105.5</v>
      </c>
      <c r="BQ20" t="s">
        <v>310</v>
      </c>
      <c r="BR20" t="s">
        <v>311</v>
      </c>
      <c r="BS20" s="1">
        <v>44147</v>
      </c>
      <c r="BT20" s="2">
        <v>0.49305555555555558</v>
      </c>
      <c r="BU20" t="s">
        <v>312</v>
      </c>
      <c r="BV20" t="s">
        <v>69</v>
      </c>
      <c r="BY20">
        <v>1200</v>
      </c>
      <c r="CA20" t="s">
        <v>96</v>
      </c>
      <c r="CC20" t="s">
        <v>95</v>
      </c>
      <c r="CD20">
        <v>200</v>
      </c>
      <c r="CE20" t="s">
        <v>71</v>
      </c>
      <c r="CF20" s="1">
        <v>44147</v>
      </c>
      <c r="CI20">
        <v>0</v>
      </c>
      <c r="CJ20">
        <v>0</v>
      </c>
      <c r="CK20" t="s">
        <v>90</v>
      </c>
      <c r="CL20" t="s">
        <v>72</v>
      </c>
    </row>
    <row r="21" spans="1:90" x14ac:dyDescent="0.25">
      <c r="A21" t="s">
        <v>252</v>
      </c>
      <c r="B21" t="s">
        <v>253</v>
      </c>
      <c r="C21" t="s">
        <v>62</v>
      </c>
      <c r="E21" t="str">
        <f>"009940203997"</f>
        <v>009940203997</v>
      </c>
      <c r="F21" s="1">
        <v>44147</v>
      </c>
      <c r="G21">
        <v>202105</v>
      </c>
      <c r="H21" t="s">
        <v>101</v>
      </c>
      <c r="I21" t="s">
        <v>102</v>
      </c>
      <c r="J21" t="s">
        <v>247</v>
      </c>
      <c r="K21" t="s">
        <v>65</v>
      </c>
      <c r="L21" t="s">
        <v>78</v>
      </c>
      <c r="M21" t="s">
        <v>79</v>
      </c>
      <c r="N21" t="s">
        <v>274</v>
      </c>
      <c r="O21" t="s">
        <v>68</v>
      </c>
      <c r="P21" t="str">
        <f>"                              "</f>
        <v xml:space="preserve"> 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15.55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 s="3"/>
      <c r="BD21" s="3"/>
      <c r="BE21" s="3"/>
      <c r="BF21" s="3"/>
      <c r="BG21">
        <v>0</v>
      </c>
      <c r="BH21">
        <v>2</v>
      </c>
      <c r="BI21">
        <v>32</v>
      </c>
      <c r="BJ21">
        <v>32</v>
      </c>
      <c r="BK21">
        <v>32</v>
      </c>
      <c r="BL21">
        <v>168.65</v>
      </c>
      <c r="BM21">
        <v>25.3</v>
      </c>
      <c r="BN21">
        <v>193.95</v>
      </c>
      <c r="BO21">
        <v>193.95</v>
      </c>
      <c r="BQ21" t="s">
        <v>290</v>
      </c>
      <c r="BR21" t="s">
        <v>313</v>
      </c>
      <c r="BS21" s="1">
        <v>44151</v>
      </c>
      <c r="BT21" s="2">
        <v>0.4375</v>
      </c>
      <c r="BU21" t="s">
        <v>314</v>
      </c>
      <c r="BV21" t="s">
        <v>69</v>
      </c>
      <c r="BY21">
        <v>80000</v>
      </c>
      <c r="CA21" t="s">
        <v>106</v>
      </c>
      <c r="CC21" t="s">
        <v>79</v>
      </c>
      <c r="CD21">
        <v>2000</v>
      </c>
      <c r="CE21" t="s">
        <v>71</v>
      </c>
      <c r="CF21" s="1">
        <v>44152</v>
      </c>
      <c r="CI21">
        <v>2</v>
      </c>
      <c r="CJ21">
        <v>2</v>
      </c>
      <c r="CK21" t="s">
        <v>93</v>
      </c>
      <c r="CL21" t="s">
        <v>72</v>
      </c>
    </row>
    <row r="22" spans="1:90" x14ac:dyDescent="0.25">
      <c r="A22" t="s">
        <v>252</v>
      </c>
      <c r="B22" t="s">
        <v>253</v>
      </c>
      <c r="C22" t="s">
        <v>62</v>
      </c>
      <c r="E22" t="str">
        <f>"009940541772"</f>
        <v>009940541772</v>
      </c>
      <c r="F22" s="1">
        <v>44147</v>
      </c>
      <c r="G22">
        <v>202105</v>
      </c>
      <c r="H22" t="s">
        <v>107</v>
      </c>
      <c r="I22" t="s">
        <v>92</v>
      </c>
      <c r="J22" t="s">
        <v>247</v>
      </c>
      <c r="K22" t="s">
        <v>65</v>
      </c>
      <c r="L22" t="s">
        <v>121</v>
      </c>
      <c r="M22" t="s">
        <v>122</v>
      </c>
      <c r="N22" t="s">
        <v>315</v>
      </c>
      <c r="O22" t="s">
        <v>68</v>
      </c>
      <c r="P22" t="str">
        <f>"MK CT                         "</f>
        <v xml:space="preserve">MK CT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9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 s="3"/>
      <c r="BD22" s="3"/>
      <c r="BE22" s="3"/>
      <c r="BF22" s="3"/>
      <c r="BG22">
        <v>0</v>
      </c>
      <c r="BH22">
        <v>1</v>
      </c>
      <c r="BI22">
        <v>11.1</v>
      </c>
      <c r="BJ22">
        <v>8.8000000000000007</v>
      </c>
      <c r="BK22">
        <v>12</v>
      </c>
      <c r="BL22">
        <v>99.71</v>
      </c>
      <c r="BM22">
        <v>14.96</v>
      </c>
      <c r="BN22">
        <v>114.67</v>
      </c>
      <c r="BO22">
        <v>114.67</v>
      </c>
      <c r="BQ22" t="s">
        <v>316</v>
      </c>
      <c r="BR22" t="s">
        <v>255</v>
      </c>
      <c r="BS22" s="1">
        <v>44151</v>
      </c>
      <c r="BT22" s="2">
        <v>0.54166666666666663</v>
      </c>
      <c r="BU22" t="s">
        <v>143</v>
      </c>
      <c r="BV22" t="s">
        <v>69</v>
      </c>
      <c r="BY22">
        <v>43834.05</v>
      </c>
      <c r="CA22" t="s">
        <v>106</v>
      </c>
      <c r="CC22" t="s">
        <v>122</v>
      </c>
      <c r="CD22">
        <v>157</v>
      </c>
      <c r="CE22" t="s">
        <v>75</v>
      </c>
      <c r="CF22" s="1">
        <v>44152</v>
      </c>
      <c r="CI22">
        <v>0</v>
      </c>
      <c r="CJ22">
        <v>0</v>
      </c>
      <c r="CK22" t="s">
        <v>93</v>
      </c>
      <c r="CL22" t="s">
        <v>72</v>
      </c>
    </row>
    <row r="23" spans="1:90" x14ac:dyDescent="0.25">
      <c r="A23" t="s">
        <v>252</v>
      </c>
      <c r="B23" t="s">
        <v>253</v>
      </c>
      <c r="C23" t="s">
        <v>62</v>
      </c>
      <c r="E23" t="str">
        <f>"080002759368"</f>
        <v>080002759368</v>
      </c>
      <c r="F23" s="1">
        <v>44147</v>
      </c>
      <c r="G23">
        <v>202105</v>
      </c>
      <c r="H23" t="s">
        <v>150</v>
      </c>
      <c r="I23" t="s">
        <v>151</v>
      </c>
      <c r="J23" t="s">
        <v>274</v>
      </c>
      <c r="K23" t="s">
        <v>65</v>
      </c>
      <c r="L23" t="s">
        <v>101</v>
      </c>
      <c r="M23" t="s">
        <v>102</v>
      </c>
      <c r="N23" t="s">
        <v>275</v>
      </c>
      <c r="O23" t="s">
        <v>68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12.47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 s="3"/>
      <c r="BD23" s="3"/>
      <c r="BE23" s="3"/>
      <c r="BF23" s="3"/>
      <c r="BG23">
        <v>0</v>
      </c>
      <c r="BH23">
        <v>1</v>
      </c>
      <c r="BI23">
        <v>16.7</v>
      </c>
      <c r="BJ23">
        <v>23.4</v>
      </c>
      <c r="BK23">
        <v>24</v>
      </c>
      <c r="BL23">
        <v>136.21</v>
      </c>
      <c r="BM23">
        <v>20.43</v>
      </c>
      <c r="BN23">
        <v>156.63999999999999</v>
      </c>
      <c r="BO23">
        <v>156.63999999999999</v>
      </c>
      <c r="BQ23" t="s">
        <v>276</v>
      </c>
      <c r="BR23" t="s">
        <v>317</v>
      </c>
      <c r="BS23" s="1">
        <v>44151</v>
      </c>
      <c r="BT23" s="2">
        <v>0.45833333333333331</v>
      </c>
      <c r="BU23" t="s">
        <v>318</v>
      </c>
      <c r="BV23" t="s">
        <v>69</v>
      </c>
      <c r="BY23">
        <v>117139.79</v>
      </c>
      <c r="CA23" t="s">
        <v>106</v>
      </c>
      <c r="CC23" t="s">
        <v>102</v>
      </c>
      <c r="CD23">
        <v>6001</v>
      </c>
      <c r="CE23" t="s">
        <v>129</v>
      </c>
      <c r="CF23" s="1">
        <v>44151</v>
      </c>
      <c r="CI23">
        <v>2</v>
      </c>
      <c r="CJ23">
        <v>2</v>
      </c>
      <c r="CK23" t="s">
        <v>93</v>
      </c>
      <c r="CL23" t="s">
        <v>72</v>
      </c>
    </row>
    <row r="24" spans="1:90" x14ac:dyDescent="0.25">
      <c r="A24" t="s">
        <v>252</v>
      </c>
      <c r="B24" t="s">
        <v>253</v>
      </c>
      <c r="C24" t="s">
        <v>62</v>
      </c>
      <c r="E24" t="str">
        <f>"009940541731"</f>
        <v>009940541731</v>
      </c>
      <c r="F24" s="1">
        <v>44152</v>
      </c>
      <c r="G24">
        <v>202105</v>
      </c>
      <c r="H24" t="s">
        <v>107</v>
      </c>
      <c r="I24" t="s">
        <v>92</v>
      </c>
      <c r="J24" t="s">
        <v>247</v>
      </c>
      <c r="K24" t="s">
        <v>65</v>
      </c>
      <c r="L24" t="s">
        <v>126</v>
      </c>
      <c r="M24" t="s">
        <v>127</v>
      </c>
      <c r="N24" t="s">
        <v>319</v>
      </c>
      <c r="O24" t="s">
        <v>68</v>
      </c>
      <c r="P24" t="str">
        <f>"MT CT                         "</f>
        <v xml:space="preserve">MT CT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6.18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 s="3"/>
      <c r="BD24" s="3"/>
      <c r="BE24" s="3"/>
      <c r="BF24" s="3"/>
      <c r="BG24">
        <v>0</v>
      </c>
      <c r="BH24">
        <v>1</v>
      </c>
      <c r="BI24">
        <v>11.7</v>
      </c>
      <c r="BJ24">
        <v>10.4</v>
      </c>
      <c r="BK24">
        <v>12</v>
      </c>
      <c r="BL24">
        <v>70.06</v>
      </c>
      <c r="BM24">
        <v>10.51</v>
      </c>
      <c r="BN24">
        <v>80.569999999999993</v>
      </c>
      <c r="BO24">
        <v>80.569999999999993</v>
      </c>
      <c r="BQ24" t="s">
        <v>302</v>
      </c>
      <c r="BR24" t="s">
        <v>255</v>
      </c>
      <c r="BS24" s="1">
        <v>44153</v>
      </c>
      <c r="BT24" s="2">
        <v>0.48194444444444445</v>
      </c>
      <c r="BU24" t="s">
        <v>320</v>
      </c>
      <c r="BV24" t="s">
        <v>69</v>
      </c>
      <c r="BY24">
        <v>52228.800000000003</v>
      </c>
      <c r="CC24" t="s">
        <v>127</v>
      </c>
      <c r="CD24">
        <v>6500</v>
      </c>
      <c r="CE24" t="s">
        <v>71</v>
      </c>
      <c r="CF24" s="1">
        <v>44155</v>
      </c>
      <c r="CI24">
        <v>0</v>
      </c>
      <c r="CJ24">
        <v>0</v>
      </c>
      <c r="CK24" t="s">
        <v>213</v>
      </c>
      <c r="CL24" t="s">
        <v>72</v>
      </c>
    </row>
    <row r="25" spans="1:90" x14ac:dyDescent="0.25">
      <c r="A25" t="s">
        <v>252</v>
      </c>
      <c r="B25" t="s">
        <v>253</v>
      </c>
      <c r="C25" t="s">
        <v>62</v>
      </c>
      <c r="E25" t="str">
        <f>"009940541777"</f>
        <v>009940541777</v>
      </c>
      <c r="F25" s="1">
        <v>44152</v>
      </c>
      <c r="G25">
        <v>202105</v>
      </c>
      <c r="H25" t="s">
        <v>107</v>
      </c>
      <c r="I25" t="s">
        <v>92</v>
      </c>
      <c r="J25" t="s">
        <v>247</v>
      </c>
      <c r="K25" t="s">
        <v>65</v>
      </c>
      <c r="L25" t="s">
        <v>234</v>
      </c>
      <c r="M25" t="s">
        <v>235</v>
      </c>
      <c r="N25" t="s">
        <v>321</v>
      </c>
      <c r="O25" t="s">
        <v>68</v>
      </c>
      <c r="P25" t="str">
        <f>"MT CT                         "</f>
        <v xml:space="preserve">MT CT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10.72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 s="3"/>
      <c r="BD25" s="3"/>
      <c r="BE25" s="3"/>
      <c r="BF25" s="3"/>
      <c r="BG25">
        <v>0</v>
      </c>
      <c r="BH25">
        <v>1</v>
      </c>
      <c r="BI25">
        <v>12.7</v>
      </c>
      <c r="BJ25">
        <v>11.9</v>
      </c>
      <c r="BK25">
        <v>13</v>
      </c>
      <c r="BL25">
        <v>117.78</v>
      </c>
      <c r="BM25">
        <v>17.670000000000002</v>
      </c>
      <c r="BN25">
        <v>135.44999999999999</v>
      </c>
      <c r="BO25">
        <v>135.44999999999999</v>
      </c>
      <c r="BQ25" t="s">
        <v>322</v>
      </c>
      <c r="BR25" t="s">
        <v>255</v>
      </c>
      <c r="BS25" s="1">
        <v>44155</v>
      </c>
      <c r="BT25" s="2">
        <v>0.41111111111111115</v>
      </c>
      <c r="BU25" t="s">
        <v>323</v>
      </c>
      <c r="BV25" t="s">
        <v>69</v>
      </c>
      <c r="BY25">
        <v>59268.83</v>
      </c>
      <c r="CC25" t="s">
        <v>235</v>
      </c>
      <c r="CD25">
        <v>2570</v>
      </c>
      <c r="CE25" t="s">
        <v>71</v>
      </c>
      <c r="CF25" s="1">
        <v>44156</v>
      </c>
      <c r="CI25">
        <v>3</v>
      </c>
      <c r="CJ25">
        <v>3</v>
      </c>
      <c r="CK25" t="s">
        <v>82</v>
      </c>
      <c r="CL25" t="s">
        <v>72</v>
      </c>
    </row>
    <row r="26" spans="1:90" x14ac:dyDescent="0.25">
      <c r="A26" t="s">
        <v>252</v>
      </c>
      <c r="B26" t="s">
        <v>253</v>
      </c>
      <c r="C26" t="s">
        <v>62</v>
      </c>
      <c r="E26" t="str">
        <f>"009940298403"</f>
        <v>009940298403</v>
      </c>
      <c r="F26" s="1">
        <v>44152</v>
      </c>
      <c r="G26">
        <v>202105</v>
      </c>
      <c r="H26" t="s">
        <v>150</v>
      </c>
      <c r="I26" t="s">
        <v>151</v>
      </c>
      <c r="J26" t="s">
        <v>251</v>
      </c>
      <c r="K26" t="s">
        <v>65</v>
      </c>
      <c r="L26" t="s">
        <v>166</v>
      </c>
      <c r="M26" t="s">
        <v>167</v>
      </c>
      <c r="N26" t="s">
        <v>324</v>
      </c>
      <c r="O26" t="s">
        <v>68</v>
      </c>
      <c r="P26" t="str">
        <f>"NA                            "</f>
        <v xml:space="preserve">NA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10.94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 s="3"/>
      <c r="BD26" s="3"/>
      <c r="BE26" s="3"/>
      <c r="BF26" s="3"/>
      <c r="BG26">
        <v>0</v>
      </c>
      <c r="BH26">
        <v>2</v>
      </c>
      <c r="BI26">
        <v>11.5</v>
      </c>
      <c r="BJ26">
        <v>37.700000000000003</v>
      </c>
      <c r="BK26">
        <v>38</v>
      </c>
      <c r="BL26">
        <v>120.13</v>
      </c>
      <c r="BM26">
        <v>18.02</v>
      </c>
      <c r="BN26">
        <v>138.15</v>
      </c>
      <c r="BO26">
        <v>138.15</v>
      </c>
      <c r="BQ26" t="s">
        <v>325</v>
      </c>
      <c r="BR26" t="s">
        <v>326</v>
      </c>
      <c r="BS26" s="1">
        <v>44153</v>
      </c>
      <c r="BT26" s="2">
        <v>0.3743055555555555</v>
      </c>
      <c r="BU26" t="s">
        <v>327</v>
      </c>
      <c r="BV26" t="s">
        <v>69</v>
      </c>
      <c r="BY26">
        <v>188343.23</v>
      </c>
      <c r="CA26" t="s">
        <v>212</v>
      </c>
      <c r="CC26" t="s">
        <v>167</v>
      </c>
      <c r="CD26">
        <v>1709</v>
      </c>
      <c r="CE26" t="s">
        <v>71</v>
      </c>
      <c r="CF26" s="1">
        <v>44154</v>
      </c>
      <c r="CI26">
        <v>1</v>
      </c>
      <c r="CJ26">
        <v>1</v>
      </c>
      <c r="CK26" t="s">
        <v>98</v>
      </c>
      <c r="CL26" t="s">
        <v>72</v>
      </c>
    </row>
    <row r="27" spans="1:90" x14ac:dyDescent="0.25">
      <c r="A27" t="s">
        <v>252</v>
      </c>
      <c r="B27" t="s">
        <v>253</v>
      </c>
      <c r="C27" t="s">
        <v>62</v>
      </c>
      <c r="E27" t="str">
        <f>"009938634376"</f>
        <v>009938634376</v>
      </c>
      <c r="F27" s="1">
        <v>44152</v>
      </c>
      <c r="G27">
        <v>202105</v>
      </c>
      <c r="H27" t="s">
        <v>109</v>
      </c>
      <c r="I27" t="s">
        <v>95</v>
      </c>
      <c r="J27" t="s">
        <v>328</v>
      </c>
      <c r="K27" t="s">
        <v>65</v>
      </c>
      <c r="L27" t="s">
        <v>189</v>
      </c>
      <c r="M27" t="s">
        <v>190</v>
      </c>
      <c r="N27" t="s">
        <v>329</v>
      </c>
      <c r="O27" t="s">
        <v>68</v>
      </c>
      <c r="P27" t="str">
        <f>"NO REF.                       "</f>
        <v xml:space="preserve">NO REF.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6.18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 s="3"/>
      <c r="BD27" s="3"/>
      <c r="BE27" s="3"/>
      <c r="BF27" s="3"/>
      <c r="BG27">
        <v>0</v>
      </c>
      <c r="BH27">
        <v>1</v>
      </c>
      <c r="BI27">
        <v>3.6</v>
      </c>
      <c r="BJ27">
        <v>3.7</v>
      </c>
      <c r="BK27">
        <v>4</v>
      </c>
      <c r="BL27">
        <v>70.06</v>
      </c>
      <c r="BM27">
        <v>10.51</v>
      </c>
      <c r="BN27">
        <v>80.569999999999993</v>
      </c>
      <c r="BO27">
        <v>80.569999999999993</v>
      </c>
      <c r="BQ27" t="s">
        <v>330</v>
      </c>
      <c r="BR27" t="s">
        <v>331</v>
      </c>
      <c r="BS27" s="1">
        <v>44153</v>
      </c>
      <c r="BT27" s="2">
        <v>0.38541666666666669</v>
      </c>
      <c r="BU27" t="s">
        <v>185</v>
      </c>
      <c r="BV27" t="s">
        <v>69</v>
      </c>
      <c r="BY27">
        <v>18470.080000000002</v>
      </c>
      <c r="CA27" t="s">
        <v>332</v>
      </c>
      <c r="CC27" t="s">
        <v>190</v>
      </c>
      <c r="CD27">
        <v>699</v>
      </c>
      <c r="CE27" t="s">
        <v>108</v>
      </c>
      <c r="CF27" s="1">
        <v>44153</v>
      </c>
      <c r="CI27">
        <v>0</v>
      </c>
      <c r="CJ27">
        <v>0</v>
      </c>
      <c r="CK27" t="s">
        <v>131</v>
      </c>
      <c r="CL27" t="s">
        <v>72</v>
      </c>
    </row>
    <row r="28" spans="1:90" x14ac:dyDescent="0.25">
      <c r="A28" t="s">
        <v>252</v>
      </c>
      <c r="B28" t="s">
        <v>253</v>
      </c>
      <c r="C28" t="s">
        <v>62</v>
      </c>
      <c r="E28" t="str">
        <f>"009940868124"</f>
        <v>009940868124</v>
      </c>
      <c r="F28" s="1">
        <v>44154</v>
      </c>
      <c r="G28">
        <v>202105</v>
      </c>
      <c r="H28" t="s">
        <v>121</v>
      </c>
      <c r="I28" t="s">
        <v>122</v>
      </c>
      <c r="J28" t="s">
        <v>333</v>
      </c>
      <c r="K28" t="s">
        <v>65</v>
      </c>
      <c r="L28" t="s">
        <v>63</v>
      </c>
      <c r="M28" t="s">
        <v>64</v>
      </c>
      <c r="N28" t="s">
        <v>334</v>
      </c>
      <c r="O28" t="s">
        <v>68</v>
      </c>
      <c r="P28" t="str">
        <f>"NA                            "</f>
        <v xml:space="preserve">NA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8.27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 s="3"/>
      <c r="BD28" s="3"/>
      <c r="BE28" s="3"/>
      <c r="BF28" s="3"/>
      <c r="BG28">
        <v>0</v>
      </c>
      <c r="BH28">
        <v>1</v>
      </c>
      <c r="BI28">
        <v>18.7</v>
      </c>
      <c r="BJ28">
        <v>23.1</v>
      </c>
      <c r="BK28">
        <v>23</v>
      </c>
      <c r="BL28">
        <v>91.99</v>
      </c>
      <c r="BM28">
        <v>13.8</v>
      </c>
      <c r="BN28">
        <v>105.79</v>
      </c>
      <c r="BO28">
        <v>105.79</v>
      </c>
      <c r="BQ28" t="s">
        <v>108</v>
      </c>
      <c r="BR28" t="s">
        <v>335</v>
      </c>
      <c r="BS28" s="1">
        <v>44158</v>
      </c>
      <c r="BT28" s="2">
        <v>0.375</v>
      </c>
      <c r="BU28" t="s">
        <v>336</v>
      </c>
      <c r="BV28" t="s">
        <v>69</v>
      </c>
      <c r="BY28">
        <v>115358.88</v>
      </c>
      <c r="CA28" t="s">
        <v>238</v>
      </c>
      <c r="CC28" t="s">
        <v>64</v>
      </c>
      <c r="CD28">
        <v>4000</v>
      </c>
      <c r="CE28" t="s">
        <v>71</v>
      </c>
      <c r="CF28" s="1">
        <v>44158</v>
      </c>
      <c r="CI28">
        <v>0</v>
      </c>
      <c r="CJ28">
        <v>0</v>
      </c>
      <c r="CK28" t="s">
        <v>131</v>
      </c>
      <c r="CL28" t="s">
        <v>72</v>
      </c>
    </row>
    <row r="29" spans="1:90" x14ac:dyDescent="0.25">
      <c r="A29" t="s">
        <v>252</v>
      </c>
      <c r="B29" t="s">
        <v>253</v>
      </c>
      <c r="C29" t="s">
        <v>62</v>
      </c>
      <c r="E29" t="str">
        <f>"009940541773"</f>
        <v>009940541773</v>
      </c>
      <c r="F29" s="1">
        <v>44152</v>
      </c>
      <c r="G29">
        <v>202105</v>
      </c>
      <c r="H29" t="s">
        <v>107</v>
      </c>
      <c r="I29" t="s">
        <v>92</v>
      </c>
      <c r="J29" t="s">
        <v>247</v>
      </c>
      <c r="K29" t="s">
        <v>65</v>
      </c>
      <c r="L29" t="s">
        <v>91</v>
      </c>
      <c r="M29" t="s">
        <v>92</v>
      </c>
      <c r="N29" t="s">
        <v>337</v>
      </c>
      <c r="O29" t="s">
        <v>68</v>
      </c>
      <c r="P29" t="str">
        <f>"MT-CT                         "</f>
        <v xml:space="preserve">MT-CT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6.18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 s="3"/>
      <c r="BD29" s="3"/>
      <c r="BE29" s="3"/>
      <c r="BF29" s="3"/>
      <c r="BG29">
        <v>0</v>
      </c>
      <c r="BH29">
        <v>1</v>
      </c>
      <c r="BI29">
        <v>5.0999999999999996</v>
      </c>
      <c r="BJ29">
        <v>4.2</v>
      </c>
      <c r="BK29">
        <v>6</v>
      </c>
      <c r="BL29">
        <v>70.06</v>
      </c>
      <c r="BM29">
        <v>10.51</v>
      </c>
      <c r="BN29">
        <v>80.569999999999993</v>
      </c>
      <c r="BO29">
        <v>80.569999999999993</v>
      </c>
      <c r="BQ29" t="s">
        <v>338</v>
      </c>
      <c r="BR29" t="s">
        <v>255</v>
      </c>
      <c r="BS29" s="1">
        <v>44153</v>
      </c>
      <c r="BT29" s="2">
        <v>0.4513888888888889</v>
      </c>
      <c r="BU29" t="s">
        <v>339</v>
      </c>
      <c r="BV29" t="s">
        <v>69</v>
      </c>
      <c r="BY29">
        <v>21055.05</v>
      </c>
      <c r="CC29" t="s">
        <v>92</v>
      </c>
      <c r="CD29">
        <v>7530</v>
      </c>
      <c r="CE29" t="s">
        <v>71</v>
      </c>
      <c r="CF29" s="1">
        <v>44154</v>
      </c>
      <c r="CI29">
        <v>1</v>
      </c>
      <c r="CJ29">
        <v>1</v>
      </c>
      <c r="CK29" t="s">
        <v>98</v>
      </c>
      <c r="CL29" t="s">
        <v>72</v>
      </c>
    </row>
    <row r="30" spans="1:90" x14ac:dyDescent="0.25">
      <c r="A30" t="s">
        <v>252</v>
      </c>
      <c r="B30" t="s">
        <v>253</v>
      </c>
      <c r="C30" t="s">
        <v>62</v>
      </c>
      <c r="E30" t="str">
        <f>"009940541732"</f>
        <v>009940541732</v>
      </c>
      <c r="F30" s="1">
        <v>44152</v>
      </c>
      <c r="G30">
        <v>202105</v>
      </c>
      <c r="H30" t="s">
        <v>107</v>
      </c>
      <c r="I30" t="s">
        <v>92</v>
      </c>
      <c r="J30" t="s">
        <v>247</v>
      </c>
      <c r="K30" t="s">
        <v>65</v>
      </c>
      <c r="L30" t="s">
        <v>115</v>
      </c>
      <c r="M30" t="s">
        <v>116</v>
      </c>
      <c r="N30" t="s">
        <v>340</v>
      </c>
      <c r="O30" t="s">
        <v>68</v>
      </c>
      <c r="P30" t="str">
        <f>"MT CAPE TOWN                  "</f>
        <v xml:space="preserve">MT CAPE TOWN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9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 s="3"/>
      <c r="BD30" s="3"/>
      <c r="BE30" s="3"/>
      <c r="BF30" s="3"/>
      <c r="BG30">
        <v>0</v>
      </c>
      <c r="BH30">
        <v>1</v>
      </c>
      <c r="BI30">
        <v>9.3000000000000007</v>
      </c>
      <c r="BJ30">
        <v>15</v>
      </c>
      <c r="BK30">
        <v>15</v>
      </c>
      <c r="BL30">
        <v>99.71</v>
      </c>
      <c r="BM30">
        <v>14.96</v>
      </c>
      <c r="BN30">
        <v>114.67</v>
      </c>
      <c r="BO30">
        <v>114.67</v>
      </c>
      <c r="BQ30" t="s">
        <v>341</v>
      </c>
      <c r="BR30" t="s">
        <v>255</v>
      </c>
      <c r="BS30" s="1">
        <v>44155</v>
      </c>
      <c r="BT30" s="2">
        <v>0.50347222222222221</v>
      </c>
      <c r="BU30" t="s">
        <v>342</v>
      </c>
      <c r="BV30" t="s">
        <v>72</v>
      </c>
      <c r="BW30" t="s">
        <v>81</v>
      </c>
      <c r="BX30" t="s">
        <v>144</v>
      </c>
      <c r="BY30">
        <v>75165.3</v>
      </c>
      <c r="CA30" t="s">
        <v>117</v>
      </c>
      <c r="CC30" t="s">
        <v>116</v>
      </c>
      <c r="CD30">
        <v>1400</v>
      </c>
      <c r="CE30" t="s">
        <v>71</v>
      </c>
      <c r="CF30" s="1">
        <v>44156</v>
      </c>
      <c r="CI30">
        <v>2</v>
      </c>
      <c r="CJ30">
        <v>3</v>
      </c>
      <c r="CK30" t="s">
        <v>93</v>
      </c>
      <c r="CL30" t="s">
        <v>72</v>
      </c>
    </row>
    <row r="31" spans="1:90" x14ac:dyDescent="0.25">
      <c r="A31" t="s">
        <v>252</v>
      </c>
      <c r="B31" t="s">
        <v>253</v>
      </c>
      <c r="C31" t="s">
        <v>62</v>
      </c>
      <c r="E31" t="str">
        <f>"009940857260"</f>
        <v>009940857260</v>
      </c>
      <c r="F31" s="1">
        <v>44153</v>
      </c>
      <c r="G31">
        <v>202105</v>
      </c>
      <c r="H31" t="s">
        <v>150</v>
      </c>
      <c r="I31" t="s">
        <v>151</v>
      </c>
      <c r="J31" t="s">
        <v>274</v>
      </c>
      <c r="K31" t="s">
        <v>65</v>
      </c>
      <c r="L31" t="s">
        <v>101</v>
      </c>
      <c r="M31" t="s">
        <v>102</v>
      </c>
      <c r="N31" t="s">
        <v>275</v>
      </c>
      <c r="O31" t="s">
        <v>68</v>
      </c>
      <c r="P31" t="str">
        <f>"NA                            "</f>
        <v xml:space="preserve">NA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17.86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 s="3"/>
      <c r="BD31" s="3"/>
      <c r="BE31" s="3"/>
      <c r="BF31" s="3"/>
      <c r="BG31">
        <v>0</v>
      </c>
      <c r="BH31">
        <v>2</v>
      </c>
      <c r="BI31">
        <v>24.9</v>
      </c>
      <c r="BJ31">
        <v>37.4</v>
      </c>
      <c r="BK31">
        <v>38</v>
      </c>
      <c r="BL31">
        <v>192.98</v>
      </c>
      <c r="BM31">
        <v>28.95</v>
      </c>
      <c r="BN31">
        <v>221.93</v>
      </c>
      <c r="BO31">
        <v>221.93</v>
      </c>
      <c r="BQ31" t="s">
        <v>188</v>
      </c>
      <c r="BR31" t="s">
        <v>209</v>
      </c>
      <c r="BS31" s="1">
        <v>44155</v>
      </c>
      <c r="BT31" s="2">
        <v>0.45833333333333331</v>
      </c>
      <c r="BU31" t="s">
        <v>343</v>
      </c>
      <c r="BV31" t="s">
        <v>69</v>
      </c>
      <c r="BY31">
        <v>186879.02</v>
      </c>
      <c r="CA31" t="s">
        <v>136</v>
      </c>
      <c r="CC31" t="s">
        <v>102</v>
      </c>
      <c r="CD31">
        <v>6000</v>
      </c>
      <c r="CE31" t="s">
        <v>71</v>
      </c>
      <c r="CF31" s="1">
        <v>44155</v>
      </c>
      <c r="CI31">
        <v>2</v>
      </c>
      <c r="CJ31">
        <v>2</v>
      </c>
      <c r="CK31" t="s">
        <v>93</v>
      </c>
      <c r="CL31" t="s">
        <v>72</v>
      </c>
    </row>
    <row r="32" spans="1:90" x14ac:dyDescent="0.25">
      <c r="A32" t="s">
        <v>252</v>
      </c>
      <c r="B32" t="s">
        <v>253</v>
      </c>
      <c r="C32" t="s">
        <v>62</v>
      </c>
      <c r="E32" t="str">
        <f>"009940203996"</f>
        <v>009940203996</v>
      </c>
      <c r="F32" s="1">
        <v>44154</v>
      </c>
      <c r="G32">
        <v>202105</v>
      </c>
      <c r="H32" t="s">
        <v>101</v>
      </c>
      <c r="I32" t="s">
        <v>102</v>
      </c>
      <c r="J32" t="s">
        <v>247</v>
      </c>
      <c r="K32" t="s">
        <v>65</v>
      </c>
      <c r="L32" t="s">
        <v>150</v>
      </c>
      <c r="M32" t="s">
        <v>151</v>
      </c>
      <c r="N32" t="s">
        <v>274</v>
      </c>
      <c r="O32" t="s">
        <v>68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15.17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 s="3"/>
      <c r="BD32" s="3"/>
      <c r="BE32" s="3"/>
      <c r="BF32" s="3"/>
      <c r="BG32">
        <v>0</v>
      </c>
      <c r="BH32">
        <v>2</v>
      </c>
      <c r="BI32">
        <v>19.3</v>
      </c>
      <c r="BJ32">
        <v>30.7</v>
      </c>
      <c r="BK32">
        <v>31</v>
      </c>
      <c r="BL32">
        <v>164.6</v>
      </c>
      <c r="BM32">
        <v>24.69</v>
      </c>
      <c r="BN32">
        <v>189.29</v>
      </c>
      <c r="BO32">
        <v>189.29</v>
      </c>
      <c r="BQ32" t="s">
        <v>290</v>
      </c>
      <c r="BR32" t="s">
        <v>279</v>
      </c>
      <c r="BS32" s="1">
        <v>44158</v>
      </c>
      <c r="BT32" s="2">
        <v>0.45347222222222222</v>
      </c>
      <c r="BU32" t="s">
        <v>280</v>
      </c>
      <c r="BV32" t="s">
        <v>69</v>
      </c>
      <c r="BY32">
        <v>153728</v>
      </c>
      <c r="CA32" t="s">
        <v>246</v>
      </c>
      <c r="CC32" t="s">
        <v>151</v>
      </c>
      <c r="CD32">
        <v>1682</v>
      </c>
      <c r="CE32" t="s">
        <v>71</v>
      </c>
      <c r="CF32" s="1">
        <v>44158</v>
      </c>
      <c r="CI32">
        <v>2</v>
      </c>
      <c r="CJ32">
        <v>2</v>
      </c>
      <c r="CK32" t="s">
        <v>93</v>
      </c>
      <c r="CL32" t="s">
        <v>72</v>
      </c>
    </row>
    <row r="33" spans="1:90" x14ac:dyDescent="0.25">
      <c r="A33" t="s">
        <v>252</v>
      </c>
      <c r="B33" t="s">
        <v>253</v>
      </c>
      <c r="C33" t="s">
        <v>62</v>
      </c>
      <c r="E33" t="str">
        <f>"009940541800"</f>
        <v>009940541800</v>
      </c>
      <c r="F33" s="1">
        <v>44155</v>
      </c>
      <c r="G33">
        <v>202105</v>
      </c>
      <c r="H33" t="s">
        <v>107</v>
      </c>
      <c r="I33" t="s">
        <v>92</v>
      </c>
      <c r="J33" t="s">
        <v>247</v>
      </c>
      <c r="K33" t="s">
        <v>65</v>
      </c>
      <c r="L33" t="s">
        <v>63</v>
      </c>
      <c r="M33" t="s">
        <v>64</v>
      </c>
      <c r="N33" t="s">
        <v>344</v>
      </c>
      <c r="O33" t="s">
        <v>68</v>
      </c>
      <c r="P33" t="str">
        <f>"MT CT                         "</f>
        <v xml:space="preserve">MT CT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9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 s="3"/>
      <c r="BD33" s="3"/>
      <c r="BE33" s="3"/>
      <c r="BF33" s="3"/>
      <c r="BG33">
        <v>0</v>
      </c>
      <c r="BH33">
        <v>1</v>
      </c>
      <c r="BI33">
        <v>5.9</v>
      </c>
      <c r="BJ33">
        <v>4.4000000000000004</v>
      </c>
      <c r="BK33">
        <v>6</v>
      </c>
      <c r="BL33">
        <v>99.71</v>
      </c>
      <c r="BM33">
        <v>14.96</v>
      </c>
      <c r="BN33">
        <v>114.67</v>
      </c>
      <c r="BO33">
        <v>114.67</v>
      </c>
      <c r="BR33" t="s">
        <v>255</v>
      </c>
      <c r="BS33" s="1">
        <v>44158</v>
      </c>
      <c r="BT33" s="2">
        <v>0.52777777777777779</v>
      </c>
      <c r="BU33" t="s">
        <v>194</v>
      </c>
      <c r="BV33" t="s">
        <v>69</v>
      </c>
      <c r="BY33">
        <v>22189.200000000001</v>
      </c>
      <c r="CA33" t="s">
        <v>187</v>
      </c>
      <c r="CC33" t="s">
        <v>64</v>
      </c>
      <c r="CD33">
        <v>4000</v>
      </c>
      <c r="CE33" t="s">
        <v>71</v>
      </c>
      <c r="CF33" s="1">
        <v>44158</v>
      </c>
      <c r="CI33">
        <v>2</v>
      </c>
      <c r="CJ33">
        <v>1</v>
      </c>
      <c r="CK33" t="s">
        <v>93</v>
      </c>
      <c r="CL33" t="s">
        <v>72</v>
      </c>
    </row>
    <row r="34" spans="1:90" x14ac:dyDescent="0.25">
      <c r="A34" t="s">
        <v>252</v>
      </c>
      <c r="B34" t="s">
        <v>253</v>
      </c>
      <c r="C34" t="s">
        <v>62</v>
      </c>
      <c r="E34" t="str">
        <f>"009940541801"</f>
        <v>009940541801</v>
      </c>
      <c r="F34" s="1">
        <v>44155</v>
      </c>
      <c r="G34">
        <v>202105</v>
      </c>
      <c r="H34" t="s">
        <v>107</v>
      </c>
      <c r="I34" t="s">
        <v>92</v>
      </c>
      <c r="J34" t="s">
        <v>247</v>
      </c>
      <c r="K34" t="s">
        <v>65</v>
      </c>
      <c r="L34" t="s">
        <v>78</v>
      </c>
      <c r="M34" t="s">
        <v>79</v>
      </c>
      <c r="N34" t="s">
        <v>345</v>
      </c>
      <c r="O34" t="s">
        <v>68</v>
      </c>
      <c r="P34" t="str">
        <f>"MT CT                         "</f>
        <v xml:space="preserve">MT CT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21.72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 s="3"/>
      <c r="BD34" s="3"/>
      <c r="BE34" s="3"/>
      <c r="BF34" s="3"/>
      <c r="BG34">
        <v>0</v>
      </c>
      <c r="BH34">
        <v>2</v>
      </c>
      <c r="BI34">
        <v>39</v>
      </c>
      <c r="BJ34">
        <v>47.3</v>
      </c>
      <c r="BK34">
        <v>48</v>
      </c>
      <c r="BL34">
        <v>233.54</v>
      </c>
      <c r="BM34">
        <v>35.03</v>
      </c>
      <c r="BN34">
        <v>268.57</v>
      </c>
      <c r="BO34">
        <v>268.57</v>
      </c>
      <c r="BQ34" t="s">
        <v>257</v>
      </c>
      <c r="BR34" t="s">
        <v>255</v>
      </c>
      <c r="BS34" s="1">
        <v>44158</v>
      </c>
      <c r="BT34" s="2">
        <v>0.53541666666666665</v>
      </c>
      <c r="BU34" t="s">
        <v>346</v>
      </c>
      <c r="BV34" t="s">
        <v>69</v>
      </c>
      <c r="BY34">
        <v>236351.03</v>
      </c>
      <c r="CA34" t="s">
        <v>259</v>
      </c>
      <c r="CC34" t="s">
        <v>79</v>
      </c>
      <c r="CD34">
        <v>2000</v>
      </c>
      <c r="CE34" t="s">
        <v>71</v>
      </c>
      <c r="CF34" s="1">
        <v>44159</v>
      </c>
      <c r="CI34">
        <v>2</v>
      </c>
      <c r="CJ34">
        <v>1</v>
      </c>
      <c r="CK34" t="s">
        <v>93</v>
      </c>
      <c r="CL34" t="s">
        <v>72</v>
      </c>
    </row>
    <row r="35" spans="1:90" x14ac:dyDescent="0.25">
      <c r="A35" t="s">
        <v>252</v>
      </c>
      <c r="B35" t="s">
        <v>253</v>
      </c>
      <c r="C35" t="s">
        <v>62</v>
      </c>
      <c r="E35" t="str">
        <f>"009940298419"</f>
        <v>009940298419</v>
      </c>
      <c r="F35" s="1">
        <v>44158</v>
      </c>
      <c r="G35">
        <v>202105</v>
      </c>
      <c r="H35" t="s">
        <v>150</v>
      </c>
      <c r="I35" t="s">
        <v>151</v>
      </c>
      <c r="J35" t="s">
        <v>251</v>
      </c>
      <c r="K35" t="s">
        <v>65</v>
      </c>
      <c r="L35" t="s">
        <v>152</v>
      </c>
      <c r="M35" t="s">
        <v>153</v>
      </c>
      <c r="N35" t="s">
        <v>251</v>
      </c>
      <c r="O35" t="s">
        <v>68</v>
      </c>
      <c r="P35" t="str">
        <f>"NA                            "</f>
        <v xml:space="preserve">NA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7.22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 s="3"/>
      <c r="BD35" s="3"/>
      <c r="BE35" s="3"/>
      <c r="BF35" s="3"/>
      <c r="BG35">
        <v>0</v>
      </c>
      <c r="BH35">
        <v>5</v>
      </c>
      <c r="BI35">
        <v>22.2</v>
      </c>
      <c r="BJ35">
        <v>12.6</v>
      </c>
      <c r="BK35">
        <v>19</v>
      </c>
      <c r="BL35">
        <v>81.02</v>
      </c>
      <c r="BM35">
        <v>12.15</v>
      </c>
      <c r="BN35">
        <v>93.17</v>
      </c>
      <c r="BO35">
        <v>93.17</v>
      </c>
      <c r="BQ35" t="s">
        <v>248</v>
      </c>
      <c r="BR35" t="s">
        <v>239</v>
      </c>
      <c r="BS35" s="1">
        <v>44159</v>
      </c>
      <c r="BT35" s="2">
        <v>0.62083333333333335</v>
      </c>
      <c r="BU35" t="s">
        <v>347</v>
      </c>
      <c r="BV35" t="s">
        <v>69</v>
      </c>
      <c r="BY35">
        <v>89365.45</v>
      </c>
      <c r="CA35" t="s">
        <v>237</v>
      </c>
      <c r="CC35" t="s">
        <v>153</v>
      </c>
      <c r="CD35">
        <v>4300</v>
      </c>
      <c r="CE35" t="s">
        <v>71</v>
      </c>
      <c r="CF35" s="1">
        <v>44159</v>
      </c>
      <c r="CI35">
        <v>1</v>
      </c>
      <c r="CJ35">
        <v>1</v>
      </c>
      <c r="CK35" t="s">
        <v>131</v>
      </c>
      <c r="CL35" t="s">
        <v>72</v>
      </c>
    </row>
    <row r="36" spans="1:90" x14ac:dyDescent="0.25">
      <c r="A36" t="s">
        <v>252</v>
      </c>
      <c r="B36" t="s">
        <v>253</v>
      </c>
      <c r="C36" t="s">
        <v>62</v>
      </c>
      <c r="E36" t="str">
        <f>"009940541730"</f>
        <v>009940541730</v>
      </c>
      <c r="F36" s="1">
        <v>44158</v>
      </c>
      <c r="G36">
        <v>202105</v>
      </c>
      <c r="H36" t="s">
        <v>107</v>
      </c>
      <c r="I36" t="s">
        <v>92</v>
      </c>
      <c r="J36" t="s">
        <v>247</v>
      </c>
      <c r="K36" t="s">
        <v>65</v>
      </c>
      <c r="L36" t="s">
        <v>152</v>
      </c>
      <c r="M36" t="s">
        <v>153</v>
      </c>
      <c r="N36" t="s">
        <v>251</v>
      </c>
      <c r="O36" t="s">
        <v>68</v>
      </c>
      <c r="P36" t="str">
        <f>"DURBAN                        "</f>
        <v xml:space="preserve">DURBAN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24.03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 s="3"/>
      <c r="BD36" s="3"/>
      <c r="BE36" s="3"/>
      <c r="BF36" s="3"/>
      <c r="BG36">
        <v>0</v>
      </c>
      <c r="BH36">
        <v>2</v>
      </c>
      <c r="BI36">
        <v>53.8</v>
      </c>
      <c r="BJ36">
        <v>45.9</v>
      </c>
      <c r="BK36">
        <v>54</v>
      </c>
      <c r="BL36">
        <v>257.87</v>
      </c>
      <c r="BM36">
        <v>38.68</v>
      </c>
      <c r="BN36">
        <v>296.55</v>
      </c>
      <c r="BO36">
        <v>296.55</v>
      </c>
      <c r="BQ36" t="s">
        <v>348</v>
      </c>
      <c r="BR36" t="s">
        <v>255</v>
      </c>
      <c r="BS36" s="1">
        <v>44160</v>
      </c>
      <c r="BT36" s="2">
        <v>0.65277777777777779</v>
      </c>
      <c r="BU36" t="s">
        <v>250</v>
      </c>
      <c r="BV36" t="s">
        <v>69</v>
      </c>
      <c r="BY36">
        <v>229647.6</v>
      </c>
      <c r="CA36" t="s">
        <v>187</v>
      </c>
      <c r="CC36" t="s">
        <v>153</v>
      </c>
      <c r="CD36">
        <v>4300</v>
      </c>
      <c r="CE36" t="s">
        <v>349</v>
      </c>
      <c r="CF36" s="1">
        <v>44160</v>
      </c>
      <c r="CI36">
        <v>2</v>
      </c>
      <c r="CJ36">
        <v>2</v>
      </c>
      <c r="CK36" t="s">
        <v>93</v>
      </c>
      <c r="CL36" t="s">
        <v>72</v>
      </c>
    </row>
    <row r="37" spans="1:90" x14ac:dyDescent="0.25">
      <c r="A37" t="s">
        <v>252</v>
      </c>
      <c r="B37" t="s">
        <v>253</v>
      </c>
      <c r="C37" t="s">
        <v>62</v>
      </c>
      <c r="E37" t="str">
        <f>"029908452244"</f>
        <v>029908452244</v>
      </c>
      <c r="F37" s="1">
        <v>44155</v>
      </c>
      <c r="G37">
        <v>202105</v>
      </c>
      <c r="H37" t="s">
        <v>63</v>
      </c>
      <c r="I37" t="s">
        <v>64</v>
      </c>
      <c r="J37" t="s">
        <v>328</v>
      </c>
      <c r="K37" t="s">
        <v>65</v>
      </c>
      <c r="L37" t="s">
        <v>107</v>
      </c>
      <c r="M37" t="s">
        <v>92</v>
      </c>
      <c r="N37" t="s">
        <v>350</v>
      </c>
      <c r="O37" t="s">
        <v>73</v>
      </c>
      <c r="P37" t="str">
        <f>"119 422 70FM                  "</f>
        <v xml:space="preserve">119 422 70FM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4.4000000000000004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 s="3"/>
      <c r="BD37" s="3"/>
      <c r="BE37" s="3"/>
      <c r="BF37" s="3"/>
      <c r="BG37">
        <v>0</v>
      </c>
      <c r="BH37">
        <v>1</v>
      </c>
      <c r="BI37">
        <v>1</v>
      </c>
      <c r="BJ37">
        <v>0.2</v>
      </c>
      <c r="BK37">
        <v>1</v>
      </c>
      <c r="BL37">
        <v>46.27</v>
      </c>
      <c r="BM37">
        <v>6.94</v>
      </c>
      <c r="BN37">
        <v>53.21</v>
      </c>
      <c r="BO37">
        <v>53.21</v>
      </c>
      <c r="BQ37" t="s">
        <v>351</v>
      </c>
      <c r="BR37" t="s">
        <v>352</v>
      </c>
      <c r="BS37" s="1">
        <v>44159</v>
      </c>
      <c r="BT37" s="2">
        <v>0.39652777777777781</v>
      </c>
      <c r="BU37" t="s">
        <v>353</v>
      </c>
      <c r="BV37" t="s">
        <v>72</v>
      </c>
      <c r="BW37" t="s">
        <v>76</v>
      </c>
      <c r="BX37" t="s">
        <v>135</v>
      </c>
      <c r="BY37">
        <v>1200</v>
      </c>
      <c r="BZ37" t="s">
        <v>80</v>
      </c>
      <c r="CA37" t="s">
        <v>103</v>
      </c>
      <c r="CC37" t="s">
        <v>92</v>
      </c>
      <c r="CD37">
        <v>8000</v>
      </c>
      <c r="CE37" t="s">
        <v>71</v>
      </c>
      <c r="CF37" s="1">
        <v>44160</v>
      </c>
      <c r="CI37">
        <v>1</v>
      </c>
      <c r="CJ37">
        <v>2</v>
      </c>
      <c r="CK37">
        <v>21</v>
      </c>
      <c r="CL37" t="s">
        <v>72</v>
      </c>
    </row>
    <row r="38" spans="1:90" x14ac:dyDescent="0.25">
      <c r="A38" t="s">
        <v>252</v>
      </c>
      <c r="B38" t="s">
        <v>253</v>
      </c>
      <c r="C38" t="s">
        <v>62</v>
      </c>
      <c r="E38" t="str">
        <f>"080002756768"</f>
        <v>080002756768</v>
      </c>
      <c r="F38" s="1">
        <v>44145</v>
      </c>
      <c r="G38">
        <v>202105</v>
      </c>
      <c r="H38" t="s">
        <v>109</v>
      </c>
      <c r="I38" t="s">
        <v>95</v>
      </c>
      <c r="J38" t="s">
        <v>354</v>
      </c>
      <c r="K38" t="s">
        <v>65</v>
      </c>
      <c r="L38" t="s">
        <v>107</v>
      </c>
      <c r="M38" t="s">
        <v>92</v>
      </c>
      <c r="N38" t="s">
        <v>305</v>
      </c>
      <c r="O38" t="s">
        <v>73</v>
      </c>
      <c r="P38" t="str">
        <f>"                              "</f>
        <v xml:space="preserve"> 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5.49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 s="3"/>
      <c r="BD38" s="3"/>
      <c r="BE38" s="3"/>
      <c r="BF38" s="3"/>
      <c r="BG38">
        <v>0</v>
      </c>
      <c r="BH38">
        <v>1</v>
      </c>
      <c r="BI38">
        <v>1.1000000000000001</v>
      </c>
      <c r="BJ38">
        <v>2.5</v>
      </c>
      <c r="BK38">
        <v>2.5</v>
      </c>
      <c r="BL38">
        <v>57.82</v>
      </c>
      <c r="BM38">
        <v>8.67</v>
      </c>
      <c r="BN38">
        <v>66.489999999999995</v>
      </c>
      <c r="BO38">
        <v>66.489999999999995</v>
      </c>
      <c r="BP38" t="s">
        <v>355</v>
      </c>
      <c r="BQ38" t="s">
        <v>356</v>
      </c>
      <c r="BR38" t="s">
        <v>357</v>
      </c>
      <c r="BS38" s="1">
        <v>44146</v>
      </c>
      <c r="BT38" s="2">
        <v>0.4375</v>
      </c>
      <c r="BU38" t="s">
        <v>288</v>
      </c>
      <c r="BV38" t="s">
        <v>69</v>
      </c>
      <c r="BY38">
        <v>12682.86</v>
      </c>
      <c r="BZ38" t="s">
        <v>19</v>
      </c>
      <c r="CA38" t="s">
        <v>133</v>
      </c>
      <c r="CC38" t="s">
        <v>92</v>
      </c>
      <c r="CD38">
        <v>7824</v>
      </c>
      <c r="CE38" t="s">
        <v>129</v>
      </c>
      <c r="CF38" s="1">
        <v>44147</v>
      </c>
      <c r="CI38">
        <v>0</v>
      </c>
      <c r="CJ38">
        <v>0</v>
      </c>
      <c r="CK38">
        <v>21</v>
      </c>
      <c r="CL38" t="s">
        <v>72</v>
      </c>
    </row>
    <row r="39" spans="1:90" x14ac:dyDescent="0.25">
      <c r="A39" t="s">
        <v>252</v>
      </c>
      <c r="B39" t="s">
        <v>253</v>
      </c>
      <c r="C39" t="s">
        <v>62</v>
      </c>
      <c r="E39" t="str">
        <f>"009940360390"</f>
        <v>009940360390</v>
      </c>
      <c r="F39" s="1">
        <v>44138</v>
      </c>
      <c r="G39">
        <v>202105</v>
      </c>
      <c r="H39" t="s">
        <v>101</v>
      </c>
      <c r="I39" t="s">
        <v>102</v>
      </c>
      <c r="J39" t="s">
        <v>328</v>
      </c>
      <c r="K39" t="s">
        <v>65</v>
      </c>
      <c r="L39" t="s">
        <v>107</v>
      </c>
      <c r="M39" t="s">
        <v>92</v>
      </c>
      <c r="N39" t="s">
        <v>358</v>
      </c>
      <c r="O39" t="s">
        <v>73</v>
      </c>
      <c r="P39" t="str">
        <f>"11912270 FM                   "</f>
        <v xml:space="preserve">11912270 FM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6.28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 s="3"/>
      <c r="BD39" s="3"/>
      <c r="BE39" s="3"/>
      <c r="BF39" s="3"/>
      <c r="BG39">
        <v>0</v>
      </c>
      <c r="BH39">
        <v>1</v>
      </c>
      <c r="BI39">
        <v>1</v>
      </c>
      <c r="BJ39">
        <v>0.2</v>
      </c>
      <c r="BK39">
        <v>1</v>
      </c>
      <c r="BL39">
        <v>48.15</v>
      </c>
      <c r="BM39">
        <v>7.22</v>
      </c>
      <c r="BN39">
        <v>55.37</v>
      </c>
      <c r="BO39">
        <v>55.37</v>
      </c>
      <c r="BQ39" t="s">
        <v>359</v>
      </c>
      <c r="BR39" t="s">
        <v>360</v>
      </c>
      <c r="BS39" s="1">
        <v>44139</v>
      </c>
      <c r="BT39" s="2">
        <v>0.45208333333333334</v>
      </c>
      <c r="BU39" t="s">
        <v>361</v>
      </c>
      <c r="BV39" t="s">
        <v>72</v>
      </c>
      <c r="BW39" t="s">
        <v>76</v>
      </c>
      <c r="BX39" t="s">
        <v>77</v>
      </c>
      <c r="BY39">
        <v>1200</v>
      </c>
      <c r="BZ39" t="s">
        <v>19</v>
      </c>
      <c r="CA39" t="s">
        <v>103</v>
      </c>
      <c r="CC39" t="s">
        <v>92</v>
      </c>
      <c r="CD39">
        <v>8000</v>
      </c>
      <c r="CE39" t="s">
        <v>71</v>
      </c>
      <c r="CF39" s="1">
        <v>44140</v>
      </c>
      <c r="CI39">
        <v>1</v>
      </c>
      <c r="CJ39">
        <v>1</v>
      </c>
      <c r="CK39">
        <v>21</v>
      </c>
      <c r="CL39" t="s">
        <v>72</v>
      </c>
    </row>
    <row r="40" spans="1:90" x14ac:dyDescent="0.25">
      <c r="A40" t="s">
        <v>252</v>
      </c>
      <c r="B40" t="s">
        <v>253</v>
      </c>
      <c r="C40" t="s">
        <v>62</v>
      </c>
      <c r="E40" t="str">
        <f>"009938634424"</f>
        <v>009938634424</v>
      </c>
      <c r="F40" s="1">
        <v>44158</v>
      </c>
      <c r="G40">
        <v>202105</v>
      </c>
      <c r="H40" t="s">
        <v>109</v>
      </c>
      <c r="I40" t="s">
        <v>95</v>
      </c>
      <c r="J40" t="s">
        <v>362</v>
      </c>
      <c r="K40" t="s">
        <v>65</v>
      </c>
      <c r="L40" t="s">
        <v>78</v>
      </c>
      <c r="M40" t="s">
        <v>79</v>
      </c>
      <c r="N40" t="s">
        <v>363</v>
      </c>
      <c r="O40" t="s">
        <v>73</v>
      </c>
      <c r="P40" t="str">
        <f>"NA                            "</f>
        <v xml:space="preserve">NA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31.85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 s="3"/>
      <c r="BD40" s="3"/>
      <c r="BE40" s="3"/>
      <c r="BF40" s="3"/>
      <c r="BG40">
        <v>0</v>
      </c>
      <c r="BH40">
        <v>1</v>
      </c>
      <c r="BI40">
        <v>12.1</v>
      </c>
      <c r="BJ40">
        <v>14.4</v>
      </c>
      <c r="BK40">
        <v>14.5</v>
      </c>
      <c r="BL40">
        <v>335.22</v>
      </c>
      <c r="BM40">
        <v>50.28</v>
      </c>
      <c r="BN40">
        <v>385.5</v>
      </c>
      <c r="BO40">
        <v>385.5</v>
      </c>
      <c r="BQ40" t="s">
        <v>364</v>
      </c>
      <c r="BR40" t="s">
        <v>331</v>
      </c>
      <c r="BS40" s="1">
        <v>44159</v>
      </c>
      <c r="BT40" s="2">
        <v>0.38194444444444442</v>
      </c>
      <c r="BU40" t="s">
        <v>365</v>
      </c>
      <c r="BV40" t="s">
        <v>69</v>
      </c>
      <c r="BY40">
        <v>71967.55</v>
      </c>
      <c r="BZ40" t="s">
        <v>80</v>
      </c>
      <c r="CA40" t="s">
        <v>226</v>
      </c>
      <c r="CC40" t="s">
        <v>79</v>
      </c>
      <c r="CD40">
        <v>2193</v>
      </c>
      <c r="CE40" t="s">
        <v>71</v>
      </c>
      <c r="CF40" s="1">
        <v>44160</v>
      </c>
      <c r="CI40">
        <v>1</v>
      </c>
      <c r="CJ40">
        <v>1</v>
      </c>
      <c r="CK40">
        <v>21</v>
      </c>
      <c r="CL40" t="s">
        <v>72</v>
      </c>
    </row>
    <row r="41" spans="1:90" x14ac:dyDescent="0.25">
      <c r="A41" t="s">
        <v>252</v>
      </c>
      <c r="B41" t="s">
        <v>253</v>
      </c>
      <c r="C41" t="s">
        <v>62</v>
      </c>
      <c r="E41" t="str">
        <f>"009940404964"</f>
        <v>009940404964</v>
      </c>
      <c r="F41" s="1">
        <v>44152</v>
      </c>
      <c r="G41">
        <v>202105</v>
      </c>
      <c r="H41" t="s">
        <v>139</v>
      </c>
      <c r="I41" t="s">
        <v>140</v>
      </c>
      <c r="J41" t="s">
        <v>366</v>
      </c>
      <c r="K41" t="s">
        <v>65</v>
      </c>
      <c r="L41" t="s">
        <v>101</v>
      </c>
      <c r="M41" t="s">
        <v>102</v>
      </c>
      <c r="N41" t="s">
        <v>366</v>
      </c>
      <c r="O41" t="s">
        <v>73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4.4000000000000004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 s="3"/>
      <c r="BD41" s="3"/>
      <c r="BE41" s="3"/>
      <c r="BF41" s="3"/>
      <c r="BG41">
        <v>0</v>
      </c>
      <c r="BH41">
        <v>1</v>
      </c>
      <c r="BI41">
        <v>1</v>
      </c>
      <c r="BJ41">
        <v>0.2</v>
      </c>
      <c r="BK41">
        <v>1</v>
      </c>
      <c r="BL41">
        <v>46.27</v>
      </c>
      <c r="BM41">
        <v>6.94</v>
      </c>
      <c r="BN41">
        <v>53.21</v>
      </c>
      <c r="BO41">
        <v>53.21</v>
      </c>
      <c r="BR41" t="s">
        <v>165</v>
      </c>
      <c r="BS41" s="1">
        <v>44153</v>
      </c>
      <c r="BT41" s="2">
        <v>0.41666666666666669</v>
      </c>
      <c r="BU41" t="s">
        <v>205</v>
      </c>
      <c r="BV41" t="s">
        <v>69</v>
      </c>
      <c r="BY41">
        <v>1200</v>
      </c>
      <c r="BZ41" t="s">
        <v>19</v>
      </c>
      <c r="CA41" t="s">
        <v>114</v>
      </c>
      <c r="CC41" t="s">
        <v>102</v>
      </c>
      <c r="CD41">
        <v>6000</v>
      </c>
      <c r="CE41" t="s">
        <v>71</v>
      </c>
      <c r="CF41" s="1">
        <v>44153</v>
      </c>
      <c r="CI41">
        <v>1</v>
      </c>
      <c r="CJ41">
        <v>1</v>
      </c>
      <c r="CK41">
        <v>21</v>
      </c>
      <c r="CL41" t="s">
        <v>72</v>
      </c>
    </row>
    <row r="42" spans="1:90" x14ac:dyDescent="0.25">
      <c r="A42" t="s">
        <v>252</v>
      </c>
      <c r="B42" t="s">
        <v>253</v>
      </c>
      <c r="C42" t="s">
        <v>62</v>
      </c>
      <c r="E42" t="str">
        <f>"009940360440"</f>
        <v>009940360440</v>
      </c>
      <c r="F42" s="1">
        <v>44145</v>
      </c>
      <c r="G42">
        <v>202105</v>
      </c>
      <c r="H42" t="s">
        <v>156</v>
      </c>
      <c r="I42" t="s">
        <v>157</v>
      </c>
      <c r="J42" t="s">
        <v>328</v>
      </c>
      <c r="K42" t="s">
        <v>65</v>
      </c>
      <c r="L42" t="s">
        <v>101</v>
      </c>
      <c r="M42" t="s">
        <v>102</v>
      </c>
      <c r="N42" t="s">
        <v>328</v>
      </c>
      <c r="O42" t="s">
        <v>154</v>
      </c>
      <c r="P42" t="str">
        <f>"11912270 FM                   "</f>
        <v xml:space="preserve">11912270 FM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8.52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 s="3"/>
      <c r="BD42" s="3"/>
      <c r="BE42" s="3"/>
      <c r="BF42" s="3"/>
      <c r="BG42">
        <v>0</v>
      </c>
      <c r="BH42">
        <v>1</v>
      </c>
      <c r="BI42">
        <v>1</v>
      </c>
      <c r="BJ42">
        <v>0.3</v>
      </c>
      <c r="BK42">
        <v>1</v>
      </c>
      <c r="BL42">
        <v>89.64</v>
      </c>
      <c r="BM42">
        <v>13.45</v>
      </c>
      <c r="BN42">
        <v>103.09</v>
      </c>
      <c r="BO42">
        <v>103.09</v>
      </c>
      <c r="BQ42" t="s">
        <v>210</v>
      </c>
      <c r="BR42" t="s">
        <v>227</v>
      </c>
      <c r="BS42" s="1">
        <v>44146</v>
      </c>
      <c r="BT42" s="2">
        <v>0.48680555555555555</v>
      </c>
      <c r="BU42" t="s">
        <v>214</v>
      </c>
      <c r="BV42" t="s">
        <v>69</v>
      </c>
      <c r="BY42">
        <v>1710</v>
      </c>
      <c r="BZ42" t="s">
        <v>19</v>
      </c>
      <c r="CA42" t="s">
        <v>114</v>
      </c>
      <c r="CC42" t="s">
        <v>102</v>
      </c>
      <c r="CD42">
        <v>6000</v>
      </c>
      <c r="CE42" t="s">
        <v>71</v>
      </c>
      <c r="CF42" s="1">
        <v>44146</v>
      </c>
      <c r="CI42">
        <v>1</v>
      </c>
      <c r="CJ42">
        <v>1</v>
      </c>
      <c r="CK42">
        <v>33</v>
      </c>
      <c r="CL42" t="s">
        <v>72</v>
      </c>
    </row>
    <row r="43" spans="1:90" x14ac:dyDescent="0.25">
      <c r="A43" t="s">
        <v>252</v>
      </c>
      <c r="B43" t="s">
        <v>253</v>
      </c>
      <c r="C43" t="s">
        <v>62</v>
      </c>
      <c r="E43" t="str">
        <f>"009940541763"</f>
        <v>009940541763</v>
      </c>
      <c r="F43" s="1">
        <v>44140</v>
      </c>
      <c r="G43">
        <v>202105</v>
      </c>
      <c r="H43" t="s">
        <v>107</v>
      </c>
      <c r="I43" t="s">
        <v>92</v>
      </c>
      <c r="J43" t="s">
        <v>247</v>
      </c>
      <c r="K43" t="s">
        <v>65</v>
      </c>
      <c r="L43" t="s">
        <v>107</v>
      </c>
      <c r="M43" t="s">
        <v>92</v>
      </c>
      <c r="N43" t="s">
        <v>367</v>
      </c>
      <c r="O43" t="s">
        <v>73</v>
      </c>
      <c r="P43" t="str">
        <f>"NA                            "</f>
        <v xml:space="preserve">NA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3.43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 s="3"/>
      <c r="BD43" s="3"/>
      <c r="BE43" s="3"/>
      <c r="BF43" s="3"/>
      <c r="BG43">
        <v>0</v>
      </c>
      <c r="BH43">
        <v>1</v>
      </c>
      <c r="BI43">
        <v>0.8</v>
      </c>
      <c r="BJ43">
        <v>1.8</v>
      </c>
      <c r="BK43">
        <v>2</v>
      </c>
      <c r="BL43">
        <v>36.14</v>
      </c>
      <c r="BM43">
        <v>5.42</v>
      </c>
      <c r="BN43">
        <v>41.56</v>
      </c>
      <c r="BO43">
        <v>41.56</v>
      </c>
      <c r="BQ43" t="s">
        <v>368</v>
      </c>
      <c r="BR43" t="s">
        <v>255</v>
      </c>
      <c r="BS43" s="1">
        <v>44141</v>
      </c>
      <c r="BT43" s="2">
        <v>0.41666666666666669</v>
      </c>
      <c r="BU43" t="s">
        <v>105</v>
      </c>
      <c r="BV43" t="s">
        <v>69</v>
      </c>
      <c r="BY43">
        <v>8978.0400000000009</v>
      </c>
      <c r="BZ43" t="s">
        <v>19</v>
      </c>
      <c r="CC43" t="s">
        <v>92</v>
      </c>
      <c r="CD43">
        <v>7550</v>
      </c>
      <c r="CE43" t="s">
        <v>71</v>
      </c>
      <c r="CF43" s="1">
        <v>44145</v>
      </c>
      <c r="CI43">
        <v>1</v>
      </c>
      <c r="CJ43">
        <v>1</v>
      </c>
      <c r="CK43">
        <v>22</v>
      </c>
      <c r="CL43" t="s">
        <v>72</v>
      </c>
    </row>
    <row r="44" spans="1:90" x14ac:dyDescent="0.25">
      <c r="A44" t="s">
        <v>252</v>
      </c>
      <c r="B44" t="s">
        <v>253</v>
      </c>
      <c r="C44" t="s">
        <v>62</v>
      </c>
      <c r="E44" t="str">
        <f>"009940360382"</f>
        <v>009940360382</v>
      </c>
      <c r="F44" s="1">
        <v>44158</v>
      </c>
      <c r="G44">
        <v>202105</v>
      </c>
      <c r="H44" t="s">
        <v>101</v>
      </c>
      <c r="I44" t="s">
        <v>102</v>
      </c>
      <c r="J44" t="s">
        <v>328</v>
      </c>
      <c r="K44" t="s">
        <v>65</v>
      </c>
      <c r="L44" t="s">
        <v>107</v>
      </c>
      <c r="M44" t="s">
        <v>92</v>
      </c>
      <c r="N44" t="s">
        <v>369</v>
      </c>
      <c r="O44" t="s">
        <v>73</v>
      </c>
      <c r="P44" t="str">
        <f>"11912270 FM                   "</f>
        <v xml:space="preserve">11912270 FM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4.4000000000000004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 s="3"/>
      <c r="BD44" s="3"/>
      <c r="BE44" s="3"/>
      <c r="BF44" s="3"/>
      <c r="BG44">
        <v>0</v>
      </c>
      <c r="BH44">
        <v>1</v>
      </c>
      <c r="BI44">
        <v>1</v>
      </c>
      <c r="BJ44">
        <v>0.2</v>
      </c>
      <c r="BK44">
        <v>1</v>
      </c>
      <c r="BL44">
        <v>46.27</v>
      </c>
      <c r="BM44">
        <v>6.94</v>
      </c>
      <c r="BN44">
        <v>53.21</v>
      </c>
      <c r="BO44">
        <v>53.21</v>
      </c>
      <c r="BQ44" t="s">
        <v>370</v>
      </c>
      <c r="BR44" t="s">
        <v>371</v>
      </c>
      <c r="BS44" s="1">
        <v>44159</v>
      </c>
      <c r="BT44" s="2">
        <v>0.3923611111111111</v>
      </c>
      <c r="BU44" t="s">
        <v>372</v>
      </c>
      <c r="BV44" t="s">
        <v>69</v>
      </c>
      <c r="BY44">
        <v>1200</v>
      </c>
      <c r="BZ44" t="s">
        <v>80</v>
      </c>
      <c r="CA44" t="s">
        <v>103</v>
      </c>
      <c r="CC44" t="s">
        <v>92</v>
      </c>
      <c r="CD44">
        <v>8000</v>
      </c>
      <c r="CE44" t="s">
        <v>71</v>
      </c>
      <c r="CF44" s="1">
        <v>44160</v>
      </c>
      <c r="CI44">
        <v>1</v>
      </c>
      <c r="CJ44">
        <v>1</v>
      </c>
      <c r="CK44">
        <v>21</v>
      </c>
      <c r="CL44" t="s">
        <v>72</v>
      </c>
    </row>
    <row r="45" spans="1:90" x14ac:dyDescent="0.25">
      <c r="A45" t="s">
        <v>252</v>
      </c>
      <c r="B45" t="s">
        <v>253</v>
      </c>
      <c r="C45" t="s">
        <v>62</v>
      </c>
      <c r="E45" t="str">
        <f>"009940541774"</f>
        <v>009940541774</v>
      </c>
      <c r="F45" s="1">
        <v>44152</v>
      </c>
      <c r="G45">
        <v>202105</v>
      </c>
      <c r="H45" t="s">
        <v>107</v>
      </c>
      <c r="I45" t="s">
        <v>92</v>
      </c>
      <c r="J45" t="s">
        <v>247</v>
      </c>
      <c r="K45" t="s">
        <v>65</v>
      </c>
      <c r="L45" t="s">
        <v>101</v>
      </c>
      <c r="M45" t="s">
        <v>102</v>
      </c>
      <c r="N45" t="s">
        <v>373</v>
      </c>
      <c r="O45" t="s">
        <v>73</v>
      </c>
      <c r="P45" t="str">
        <f>"MT CT                         "</f>
        <v xml:space="preserve">MT CT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4.4000000000000004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 s="3"/>
      <c r="BD45" s="3"/>
      <c r="BE45" s="3"/>
      <c r="BF45" s="3"/>
      <c r="BG45">
        <v>0</v>
      </c>
      <c r="BH45">
        <v>1</v>
      </c>
      <c r="BI45">
        <v>0.7</v>
      </c>
      <c r="BJ45">
        <v>1.9</v>
      </c>
      <c r="BK45">
        <v>2</v>
      </c>
      <c r="BL45">
        <v>46.27</v>
      </c>
      <c r="BM45">
        <v>6.94</v>
      </c>
      <c r="BN45">
        <v>53.21</v>
      </c>
      <c r="BO45">
        <v>53.21</v>
      </c>
      <c r="BQ45" t="s">
        <v>374</v>
      </c>
      <c r="BR45" t="s">
        <v>255</v>
      </c>
      <c r="BS45" s="1">
        <v>44153</v>
      </c>
      <c r="BT45" s="2">
        <v>0.65902777777777777</v>
      </c>
      <c r="BU45" t="s">
        <v>375</v>
      </c>
      <c r="BV45" t="s">
        <v>72</v>
      </c>
      <c r="BW45" t="s">
        <v>76</v>
      </c>
      <c r="BX45" t="s">
        <v>158</v>
      </c>
      <c r="BY45">
        <v>9655.7999999999993</v>
      </c>
      <c r="BZ45" t="s">
        <v>19</v>
      </c>
      <c r="CA45" t="s">
        <v>159</v>
      </c>
      <c r="CC45" t="s">
        <v>102</v>
      </c>
      <c r="CD45">
        <v>6001</v>
      </c>
      <c r="CE45" t="s">
        <v>71</v>
      </c>
      <c r="CF45" s="1">
        <v>44154</v>
      </c>
      <c r="CI45">
        <v>1</v>
      </c>
      <c r="CJ45">
        <v>1</v>
      </c>
      <c r="CK45">
        <v>21</v>
      </c>
      <c r="CL45" t="s">
        <v>72</v>
      </c>
    </row>
    <row r="46" spans="1:90" x14ac:dyDescent="0.25">
      <c r="A46" t="s">
        <v>252</v>
      </c>
      <c r="B46" t="s">
        <v>253</v>
      </c>
      <c r="C46" t="s">
        <v>62</v>
      </c>
      <c r="E46" t="str">
        <f>"009940541760"</f>
        <v>009940541760</v>
      </c>
      <c r="F46" s="1">
        <v>44146</v>
      </c>
      <c r="G46">
        <v>202105</v>
      </c>
      <c r="H46" t="s">
        <v>107</v>
      </c>
      <c r="I46" t="s">
        <v>92</v>
      </c>
      <c r="J46" t="s">
        <v>247</v>
      </c>
      <c r="K46" t="s">
        <v>65</v>
      </c>
      <c r="L46" t="s">
        <v>107</v>
      </c>
      <c r="M46" t="s">
        <v>92</v>
      </c>
      <c r="N46" t="s">
        <v>376</v>
      </c>
      <c r="O46" t="s">
        <v>73</v>
      </c>
      <c r="P46" t="str">
        <f>"MT CT                         "</f>
        <v xml:space="preserve">MT CT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3.43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 s="3"/>
      <c r="BD46" s="3"/>
      <c r="BE46" s="3"/>
      <c r="BF46" s="3"/>
      <c r="BG46">
        <v>0</v>
      </c>
      <c r="BH46">
        <v>1</v>
      </c>
      <c r="BI46">
        <v>1</v>
      </c>
      <c r="BJ46">
        <v>0.2</v>
      </c>
      <c r="BK46">
        <v>1</v>
      </c>
      <c r="BL46">
        <v>36.14</v>
      </c>
      <c r="BM46">
        <v>5.42</v>
      </c>
      <c r="BN46">
        <v>41.56</v>
      </c>
      <c r="BO46">
        <v>41.56</v>
      </c>
      <c r="BQ46" t="s">
        <v>377</v>
      </c>
      <c r="BR46" t="s">
        <v>255</v>
      </c>
      <c r="BS46" s="1">
        <v>44147</v>
      </c>
      <c r="BT46" s="2">
        <v>0.44305555555555554</v>
      </c>
      <c r="BU46" t="s">
        <v>378</v>
      </c>
      <c r="BV46" t="s">
        <v>72</v>
      </c>
      <c r="BW46" t="s">
        <v>76</v>
      </c>
      <c r="BX46" t="s">
        <v>83</v>
      </c>
      <c r="BY46">
        <v>1200</v>
      </c>
      <c r="BZ46" t="s">
        <v>19</v>
      </c>
      <c r="CA46" t="s">
        <v>174</v>
      </c>
      <c r="CC46" t="s">
        <v>92</v>
      </c>
      <c r="CD46">
        <v>8000</v>
      </c>
      <c r="CE46" t="s">
        <v>71</v>
      </c>
      <c r="CF46" s="1">
        <v>44148</v>
      </c>
      <c r="CI46">
        <v>1</v>
      </c>
      <c r="CJ46">
        <v>1</v>
      </c>
      <c r="CK46">
        <v>22</v>
      </c>
      <c r="CL46" t="s">
        <v>72</v>
      </c>
    </row>
    <row r="47" spans="1:90" x14ac:dyDescent="0.25">
      <c r="A47" t="s">
        <v>252</v>
      </c>
      <c r="B47" t="s">
        <v>253</v>
      </c>
      <c r="C47" t="s">
        <v>62</v>
      </c>
      <c r="E47" t="str">
        <f>"009940496959"</f>
        <v>009940496959</v>
      </c>
      <c r="F47" s="1">
        <v>44139</v>
      </c>
      <c r="G47">
        <v>202105</v>
      </c>
      <c r="H47" t="s">
        <v>379</v>
      </c>
      <c r="I47" t="s">
        <v>380</v>
      </c>
      <c r="J47" t="s">
        <v>381</v>
      </c>
      <c r="K47" t="s">
        <v>65</v>
      </c>
      <c r="L47" t="s">
        <v>78</v>
      </c>
      <c r="M47" t="s">
        <v>79</v>
      </c>
      <c r="N47" t="s">
        <v>382</v>
      </c>
      <c r="O47" t="s">
        <v>73</v>
      </c>
      <c r="P47" t="str">
        <f>"....                          "</f>
        <v xml:space="preserve">....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4.4000000000000004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 s="3"/>
      <c r="BD47" s="3"/>
      <c r="BE47" s="3"/>
      <c r="BF47" s="3"/>
      <c r="BG47">
        <v>0</v>
      </c>
      <c r="BH47">
        <v>1</v>
      </c>
      <c r="BI47">
        <v>1</v>
      </c>
      <c r="BJ47">
        <v>0.2</v>
      </c>
      <c r="BK47">
        <v>1</v>
      </c>
      <c r="BL47">
        <v>46.27</v>
      </c>
      <c r="BM47">
        <v>6.94</v>
      </c>
      <c r="BN47">
        <v>53.21</v>
      </c>
      <c r="BO47">
        <v>53.21</v>
      </c>
      <c r="BQ47" t="s">
        <v>383</v>
      </c>
      <c r="BR47" t="s">
        <v>171</v>
      </c>
      <c r="BS47" s="1">
        <v>44140</v>
      </c>
      <c r="BT47" s="2">
        <v>0.34652777777777777</v>
      </c>
      <c r="BU47" t="s">
        <v>384</v>
      </c>
      <c r="BV47" t="s">
        <v>69</v>
      </c>
      <c r="BY47">
        <v>1200</v>
      </c>
      <c r="BZ47" t="s">
        <v>19</v>
      </c>
      <c r="CA47" t="s">
        <v>70</v>
      </c>
      <c r="CC47" t="s">
        <v>79</v>
      </c>
      <c r="CD47">
        <v>2000</v>
      </c>
      <c r="CE47" t="s">
        <v>71</v>
      </c>
      <c r="CF47" s="1">
        <v>44141</v>
      </c>
      <c r="CI47">
        <v>1</v>
      </c>
      <c r="CJ47">
        <v>1</v>
      </c>
      <c r="CK47">
        <v>21</v>
      </c>
      <c r="CL47" t="s">
        <v>72</v>
      </c>
    </row>
    <row r="48" spans="1:90" x14ac:dyDescent="0.25">
      <c r="A48" t="s">
        <v>252</v>
      </c>
      <c r="B48" t="s">
        <v>253</v>
      </c>
      <c r="C48" t="s">
        <v>62</v>
      </c>
      <c r="E48" t="str">
        <f>"009940314605"</f>
        <v>009940314605</v>
      </c>
      <c r="F48" s="1">
        <v>44158</v>
      </c>
      <c r="G48">
        <v>202105</v>
      </c>
      <c r="H48" t="s">
        <v>150</v>
      </c>
      <c r="I48" t="s">
        <v>151</v>
      </c>
      <c r="J48" t="s">
        <v>251</v>
      </c>
      <c r="K48" t="s">
        <v>65</v>
      </c>
      <c r="L48" t="s">
        <v>101</v>
      </c>
      <c r="M48" t="s">
        <v>102</v>
      </c>
      <c r="N48" t="s">
        <v>385</v>
      </c>
      <c r="O48" t="s">
        <v>73</v>
      </c>
      <c r="P48" t="str">
        <f>"NA                            "</f>
        <v xml:space="preserve">NA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4.4000000000000004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 s="3"/>
      <c r="BD48" s="3"/>
      <c r="BE48" s="3"/>
      <c r="BF48" s="3"/>
      <c r="BG48">
        <v>0</v>
      </c>
      <c r="BH48">
        <v>1</v>
      </c>
      <c r="BI48">
        <v>1</v>
      </c>
      <c r="BJ48">
        <v>0.2</v>
      </c>
      <c r="BK48">
        <v>1</v>
      </c>
      <c r="BL48">
        <v>46.27</v>
      </c>
      <c r="BM48">
        <v>6.94</v>
      </c>
      <c r="BN48">
        <v>53.21</v>
      </c>
      <c r="BO48">
        <v>53.21</v>
      </c>
      <c r="BQ48" t="s">
        <v>386</v>
      </c>
      <c r="BR48" t="s">
        <v>142</v>
      </c>
      <c r="BS48" s="1">
        <v>44159</v>
      </c>
      <c r="BT48" s="2">
        <v>0.39930555555555558</v>
      </c>
      <c r="BU48" t="s">
        <v>387</v>
      </c>
      <c r="BV48" t="s">
        <v>69</v>
      </c>
      <c r="BY48">
        <v>1200</v>
      </c>
      <c r="BZ48" t="s">
        <v>80</v>
      </c>
      <c r="CA48" t="s">
        <v>160</v>
      </c>
      <c r="CC48" t="s">
        <v>102</v>
      </c>
      <c r="CD48">
        <v>6001</v>
      </c>
      <c r="CE48" t="s">
        <v>71</v>
      </c>
      <c r="CF48" s="1">
        <v>44159</v>
      </c>
      <c r="CI48">
        <v>1</v>
      </c>
      <c r="CJ48">
        <v>1</v>
      </c>
      <c r="CK48">
        <v>21</v>
      </c>
      <c r="CL48" t="s">
        <v>72</v>
      </c>
    </row>
    <row r="49" spans="1:90" x14ac:dyDescent="0.25">
      <c r="A49" t="s">
        <v>252</v>
      </c>
      <c r="B49" t="s">
        <v>253</v>
      </c>
      <c r="C49" t="s">
        <v>62</v>
      </c>
      <c r="E49" t="str">
        <f>"009939975319"</f>
        <v>009939975319</v>
      </c>
      <c r="F49" s="1">
        <v>44155</v>
      </c>
      <c r="G49">
        <v>202105</v>
      </c>
      <c r="H49" t="s">
        <v>99</v>
      </c>
      <c r="I49" t="s">
        <v>100</v>
      </c>
      <c r="J49" t="s">
        <v>328</v>
      </c>
      <c r="K49" t="s">
        <v>65</v>
      </c>
      <c r="L49" t="s">
        <v>101</v>
      </c>
      <c r="M49" t="s">
        <v>102</v>
      </c>
      <c r="N49" t="s">
        <v>329</v>
      </c>
      <c r="O49" t="s">
        <v>73</v>
      </c>
      <c r="P49" t="str">
        <f>"11912270 FM                   "</f>
        <v xml:space="preserve">11912270 FM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4.4000000000000004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 s="3"/>
      <c r="BD49" s="3"/>
      <c r="BE49" s="3"/>
      <c r="BF49" s="3"/>
      <c r="BG49">
        <v>0</v>
      </c>
      <c r="BH49">
        <v>1</v>
      </c>
      <c r="BI49">
        <v>1</v>
      </c>
      <c r="BJ49">
        <v>0.3</v>
      </c>
      <c r="BK49">
        <v>1</v>
      </c>
      <c r="BL49">
        <v>46.27</v>
      </c>
      <c r="BM49">
        <v>6.94</v>
      </c>
      <c r="BN49">
        <v>53.21</v>
      </c>
      <c r="BO49">
        <v>53.21</v>
      </c>
      <c r="BQ49" t="s">
        <v>388</v>
      </c>
      <c r="BR49" t="s">
        <v>389</v>
      </c>
      <c r="BS49" s="1">
        <v>44158</v>
      </c>
      <c r="BT49" s="2">
        <v>0.39583333333333331</v>
      </c>
      <c r="BU49" t="s">
        <v>390</v>
      </c>
      <c r="BV49" t="s">
        <v>69</v>
      </c>
      <c r="BY49">
        <v>1710</v>
      </c>
      <c r="BZ49" t="s">
        <v>19</v>
      </c>
      <c r="CA49" t="s">
        <v>114</v>
      </c>
      <c r="CC49" t="s">
        <v>102</v>
      </c>
      <c r="CD49">
        <v>6000</v>
      </c>
      <c r="CE49" t="s">
        <v>71</v>
      </c>
      <c r="CF49" s="1">
        <v>44158</v>
      </c>
      <c r="CI49">
        <v>1</v>
      </c>
      <c r="CJ49">
        <v>1</v>
      </c>
      <c r="CK49">
        <v>21</v>
      </c>
      <c r="CL49" t="s">
        <v>72</v>
      </c>
    </row>
    <row r="50" spans="1:90" x14ac:dyDescent="0.25">
      <c r="A50" t="s">
        <v>252</v>
      </c>
      <c r="B50" t="s">
        <v>253</v>
      </c>
      <c r="C50" t="s">
        <v>62</v>
      </c>
      <c r="E50" t="str">
        <f>"009940541784"</f>
        <v>009940541784</v>
      </c>
      <c r="F50" s="1">
        <v>44148</v>
      </c>
      <c r="G50">
        <v>202105</v>
      </c>
      <c r="H50" t="s">
        <v>107</v>
      </c>
      <c r="I50" t="s">
        <v>92</v>
      </c>
      <c r="J50" t="s">
        <v>247</v>
      </c>
      <c r="K50" t="s">
        <v>65</v>
      </c>
      <c r="L50" t="s">
        <v>85</v>
      </c>
      <c r="M50" t="s">
        <v>86</v>
      </c>
      <c r="N50" t="s">
        <v>391</v>
      </c>
      <c r="O50" t="s">
        <v>73</v>
      </c>
      <c r="P50" t="str">
        <f>"MT CT                         "</f>
        <v xml:space="preserve">MT CT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5.49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 s="3"/>
      <c r="BD50" s="3"/>
      <c r="BE50" s="3"/>
      <c r="BF50" s="3"/>
      <c r="BG50">
        <v>0</v>
      </c>
      <c r="BH50">
        <v>1</v>
      </c>
      <c r="BI50">
        <v>2.1</v>
      </c>
      <c r="BJ50">
        <v>2.2999999999999998</v>
      </c>
      <c r="BK50">
        <v>2.5</v>
      </c>
      <c r="BL50">
        <v>57.82</v>
      </c>
      <c r="BM50">
        <v>8.67</v>
      </c>
      <c r="BN50">
        <v>66.489999999999995</v>
      </c>
      <c r="BO50">
        <v>66.489999999999995</v>
      </c>
      <c r="BQ50" t="s">
        <v>392</v>
      </c>
      <c r="BR50" t="s">
        <v>255</v>
      </c>
      <c r="BS50" s="1">
        <v>44152</v>
      </c>
      <c r="BT50" s="2">
        <v>0.3666666666666667</v>
      </c>
      <c r="BU50" t="s">
        <v>393</v>
      </c>
      <c r="BV50" t="s">
        <v>72</v>
      </c>
      <c r="BW50" t="s">
        <v>87</v>
      </c>
      <c r="BX50" t="s">
        <v>88</v>
      </c>
      <c r="BY50">
        <v>11529.44</v>
      </c>
      <c r="BZ50" t="s">
        <v>19</v>
      </c>
      <c r="CA50" t="s">
        <v>231</v>
      </c>
      <c r="CC50" t="s">
        <v>86</v>
      </c>
      <c r="CD50">
        <v>3201</v>
      </c>
      <c r="CE50" t="s">
        <v>394</v>
      </c>
      <c r="CF50" s="1">
        <v>44153</v>
      </c>
      <c r="CI50">
        <v>1</v>
      </c>
      <c r="CJ50">
        <v>2</v>
      </c>
      <c r="CK50">
        <v>21</v>
      </c>
      <c r="CL50" t="s">
        <v>72</v>
      </c>
    </row>
    <row r="51" spans="1:90" x14ac:dyDescent="0.25">
      <c r="A51" t="s">
        <v>252</v>
      </c>
      <c r="B51" t="s">
        <v>253</v>
      </c>
      <c r="C51" t="s">
        <v>62</v>
      </c>
      <c r="E51" t="str">
        <f>"009939486978"</f>
        <v>009939486978</v>
      </c>
      <c r="F51" s="1">
        <v>44141</v>
      </c>
      <c r="G51">
        <v>202105</v>
      </c>
      <c r="H51" t="s">
        <v>66</v>
      </c>
      <c r="I51" t="s">
        <v>67</v>
      </c>
      <c r="J51" t="s">
        <v>329</v>
      </c>
      <c r="K51" t="s">
        <v>65</v>
      </c>
      <c r="L51" t="s">
        <v>107</v>
      </c>
      <c r="M51" t="s">
        <v>92</v>
      </c>
      <c r="N51" t="s">
        <v>350</v>
      </c>
      <c r="O51" t="s">
        <v>73</v>
      </c>
      <c r="P51" t="str">
        <f>"...                           "</f>
        <v xml:space="preserve">...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4.4000000000000004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 s="3"/>
      <c r="BD51" s="3"/>
      <c r="BE51" s="3"/>
      <c r="BF51" s="3"/>
      <c r="BG51">
        <v>0</v>
      </c>
      <c r="BH51">
        <v>1</v>
      </c>
      <c r="BI51">
        <v>1</v>
      </c>
      <c r="BJ51">
        <v>0.2</v>
      </c>
      <c r="BK51">
        <v>1</v>
      </c>
      <c r="BL51">
        <v>46.27</v>
      </c>
      <c r="BM51">
        <v>6.94</v>
      </c>
      <c r="BN51">
        <v>53.21</v>
      </c>
      <c r="BO51">
        <v>53.21</v>
      </c>
      <c r="BQ51" t="s">
        <v>395</v>
      </c>
      <c r="BR51" t="s">
        <v>245</v>
      </c>
      <c r="BS51" s="1">
        <v>44144</v>
      </c>
      <c r="BT51" s="2">
        <v>0.42291666666666666</v>
      </c>
      <c r="BU51" t="s">
        <v>372</v>
      </c>
      <c r="BV51" t="s">
        <v>69</v>
      </c>
      <c r="BY51">
        <v>1200</v>
      </c>
      <c r="BZ51" t="s">
        <v>19</v>
      </c>
      <c r="CA51" t="s">
        <v>103</v>
      </c>
      <c r="CC51" t="s">
        <v>92</v>
      </c>
      <c r="CD51">
        <v>8000</v>
      </c>
      <c r="CE51" t="s">
        <v>71</v>
      </c>
      <c r="CF51" s="1">
        <v>44145</v>
      </c>
      <c r="CI51">
        <v>1</v>
      </c>
      <c r="CJ51">
        <v>1</v>
      </c>
      <c r="CK51">
        <v>21</v>
      </c>
      <c r="CL51" t="s">
        <v>72</v>
      </c>
    </row>
    <row r="52" spans="1:90" x14ac:dyDescent="0.25">
      <c r="A52" t="s">
        <v>252</v>
      </c>
      <c r="B52" t="s">
        <v>253</v>
      </c>
      <c r="C52" t="s">
        <v>62</v>
      </c>
      <c r="E52" t="str">
        <f>"009939486977"</f>
        <v>009939486977</v>
      </c>
      <c r="F52" s="1">
        <v>44158</v>
      </c>
      <c r="G52">
        <v>202105</v>
      </c>
      <c r="H52" t="s">
        <v>66</v>
      </c>
      <c r="I52" t="s">
        <v>67</v>
      </c>
      <c r="J52" t="s">
        <v>329</v>
      </c>
      <c r="K52" t="s">
        <v>65</v>
      </c>
      <c r="L52" t="s">
        <v>107</v>
      </c>
      <c r="M52" t="s">
        <v>92</v>
      </c>
      <c r="N52" t="s">
        <v>350</v>
      </c>
      <c r="O52" t="s">
        <v>73</v>
      </c>
      <c r="P52" t="str">
        <f>"...                           "</f>
        <v xml:space="preserve">...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4.4000000000000004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 s="3"/>
      <c r="BD52" s="3"/>
      <c r="BE52" s="3"/>
      <c r="BF52" s="3"/>
      <c r="BG52">
        <v>0</v>
      </c>
      <c r="BH52">
        <v>1</v>
      </c>
      <c r="BI52">
        <v>1</v>
      </c>
      <c r="BJ52">
        <v>0.2</v>
      </c>
      <c r="BK52">
        <v>1</v>
      </c>
      <c r="BL52">
        <v>46.27</v>
      </c>
      <c r="BM52">
        <v>6.94</v>
      </c>
      <c r="BN52">
        <v>53.21</v>
      </c>
      <c r="BO52">
        <v>53.21</v>
      </c>
      <c r="BQ52" t="s">
        <v>396</v>
      </c>
      <c r="BR52" t="s">
        <v>245</v>
      </c>
      <c r="BS52" s="1">
        <v>44159</v>
      </c>
      <c r="BT52" s="2">
        <v>0.3923611111111111</v>
      </c>
      <c r="BU52" t="s">
        <v>372</v>
      </c>
      <c r="BV52" t="s">
        <v>69</v>
      </c>
      <c r="BY52">
        <v>1200</v>
      </c>
      <c r="BZ52" t="s">
        <v>80</v>
      </c>
      <c r="CA52" t="s">
        <v>103</v>
      </c>
      <c r="CC52" t="s">
        <v>92</v>
      </c>
      <c r="CD52">
        <v>8000</v>
      </c>
      <c r="CE52" t="s">
        <v>71</v>
      </c>
      <c r="CF52" s="1">
        <v>44160</v>
      </c>
      <c r="CI52">
        <v>1</v>
      </c>
      <c r="CJ52">
        <v>1</v>
      </c>
      <c r="CK52">
        <v>21</v>
      </c>
      <c r="CL52" t="s">
        <v>72</v>
      </c>
    </row>
    <row r="53" spans="1:90" x14ac:dyDescent="0.25">
      <c r="A53" t="s">
        <v>252</v>
      </c>
      <c r="B53" t="s">
        <v>253</v>
      </c>
      <c r="C53" t="s">
        <v>62</v>
      </c>
      <c r="E53" t="str">
        <f>"009940541778"</f>
        <v>009940541778</v>
      </c>
      <c r="F53" s="1">
        <v>44152</v>
      </c>
      <c r="G53">
        <v>202105</v>
      </c>
      <c r="H53" t="s">
        <v>107</v>
      </c>
      <c r="I53" t="s">
        <v>92</v>
      </c>
      <c r="J53" t="s">
        <v>247</v>
      </c>
      <c r="K53" t="s">
        <v>65</v>
      </c>
      <c r="L53" t="s">
        <v>195</v>
      </c>
      <c r="M53" t="s">
        <v>196</v>
      </c>
      <c r="N53" t="s">
        <v>397</v>
      </c>
      <c r="O53" t="s">
        <v>73</v>
      </c>
      <c r="P53" t="str">
        <f>"MT CT                         "</f>
        <v xml:space="preserve">MT CT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6.18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 s="3"/>
      <c r="BD53" s="3"/>
      <c r="BE53" s="3"/>
      <c r="BF53" s="3"/>
      <c r="BG53">
        <v>0</v>
      </c>
      <c r="BH53">
        <v>1</v>
      </c>
      <c r="BI53">
        <v>0.4</v>
      </c>
      <c r="BJ53">
        <v>1.3</v>
      </c>
      <c r="BK53">
        <v>1.5</v>
      </c>
      <c r="BL53">
        <v>65.06</v>
      </c>
      <c r="BM53">
        <v>9.76</v>
      </c>
      <c r="BN53">
        <v>74.819999999999993</v>
      </c>
      <c r="BO53">
        <v>74.819999999999993</v>
      </c>
      <c r="BQ53" t="s">
        <v>398</v>
      </c>
      <c r="BR53" t="s">
        <v>255</v>
      </c>
      <c r="BS53" s="1">
        <v>44153</v>
      </c>
      <c r="BT53" s="2">
        <v>0.53541666666666665</v>
      </c>
      <c r="BU53" t="s">
        <v>399</v>
      </c>
      <c r="BV53" t="s">
        <v>69</v>
      </c>
      <c r="BY53">
        <v>6361.03</v>
      </c>
      <c r="BZ53" t="s">
        <v>19</v>
      </c>
      <c r="CA53" t="s">
        <v>134</v>
      </c>
      <c r="CC53" t="s">
        <v>196</v>
      </c>
      <c r="CD53">
        <v>7129</v>
      </c>
      <c r="CE53" t="s">
        <v>71</v>
      </c>
      <c r="CF53" s="1">
        <v>44154</v>
      </c>
      <c r="CI53">
        <v>1</v>
      </c>
      <c r="CJ53">
        <v>1</v>
      </c>
      <c r="CK53">
        <v>24</v>
      </c>
      <c r="CL53" t="s">
        <v>72</v>
      </c>
    </row>
    <row r="54" spans="1:90" x14ac:dyDescent="0.25">
      <c r="A54" t="s">
        <v>252</v>
      </c>
      <c r="B54" t="s">
        <v>253</v>
      </c>
      <c r="C54" t="s">
        <v>62</v>
      </c>
      <c r="E54" t="str">
        <f>"009940541758"</f>
        <v>009940541758</v>
      </c>
      <c r="F54" s="1">
        <v>44144</v>
      </c>
      <c r="G54">
        <v>202105</v>
      </c>
      <c r="H54" t="s">
        <v>107</v>
      </c>
      <c r="I54" t="s">
        <v>92</v>
      </c>
      <c r="J54" t="s">
        <v>247</v>
      </c>
      <c r="K54" t="s">
        <v>65</v>
      </c>
      <c r="L54" t="s">
        <v>99</v>
      </c>
      <c r="M54" t="s">
        <v>100</v>
      </c>
      <c r="N54" t="s">
        <v>400</v>
      </c>
      <c r="O54" t="s">
        <v>73</v>
      </c>
      <c r="P54" t="str">
        <f>"MT-CT                         "</f>
        <v xml:space="preserve">MT-CT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4.4000000000000004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 s="3"/>
      <c r="BD54" s="3"/>
      <c r="BE54" s="3"/>
      <c r="BF54" s="3"/>
      <c r="BG54">
        <v>0</v>
      </c>
      <c r="BH54">
        <v>1</v>
      </c>
      <c r="BI54">
        <v>0.6</v>
      </c>
      <c r="BJ54">
        <v>1.8</v>
      </c>
      <c r="BK54">
        <v>2</v>
      </c>
      <c r="BL54">
        <v>46.27</v>
      </c>
      <c r="BM54">
        <v>6.94</v>
      </c>
      <c r="BN54">
        <v>53.21</v>
      </c>
      <c r="BO54">
        <v>53.21</v>
      </c>
      <c r="BQ54" t="s">
        <v>401</v>
      </c>
      <c r="BR54" t="s">
        <v>255</v>
      </c>
      <c r="BS54" s="1">
        <v>44145</v>
      </c>
      <c r="BT54" s="2">
        <v>0.65277777777777779</v>
      </c>
      <c r="BU54" t="s">
        <v>402</v>
      </c>
      <c r="BV54" t="s">
        <v>72</v>
      </c>
      <c r="BW54" t="s">
        <v>76</v>
      </c>
      <c r="BX54" t="s">
        <v>403</v>
      </c>
      <c r="BY54">
        <v>8977.5</v>
      </c>
      <c r="BZ54" t="s">
        <v>19</v>
      </c>
      <c r="CA54" t="s">
        <v>164</v>
      </c>
      <c r="CC54" t="s">
        <v>100</v>
      </c>
      <c r="CD54">
        <v>5241</v>
      </c>
      <c r="CE54" t="s">
        <v>71</v>
      </c>
      <c r="CF54" s="1">
        <v>44146</v>
      </c>
      <c r="CI54">
        <v>1</v>
      </c>
      <c r="CJ54">
        <v>1</v>
      </c>
      <c r="CK54">
        <v>21</v>
      </c>
      <c r="CL54" t="s">
        <v>72</v>
      </c>
    </row>
    <row r="55" spans="1:90" x14ac:dyDescent="0.25">
      <c r="A55" t="s">
        <v>308</v>
      </c>
      <c r="B55" t="s">
        <v>253</v>
      </c>
      <c r="C55" t="s">
        <v>62</v>
      </c>
      <c r="E55" t="str">
        <f>"009939975317"</f>
        <v>009939975317</v>
      </c>
      <c r="F55" s="1">
        <v>44138</v>
      </c>
      <c r="G55">
        <v>202105</v>
      </c>
      <c r="H55" t="s">
        <v>99</v>
      </c>
      <c r="I55" t="s">
        <v>100</v>
      </c>
      <c r="J55" t="s">
        <v>328</v>
      </c>
      <c r="K55" t="s">
        <v>65</v>
      </c>
      <c r="L55" t="s">
        <v>101</v>
      </c>
      <c r="M55" t="s">
        <v>102</v>
      </c>
      <c r="N55" t="s">
        <v>328</v>
      </c>
      <c r="O55" t="s">
        <v>73</v>
      </c>
      <c r="P55" t="str">
        <f>"                              "</f>
        <v xml:space="preserve"> 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6.28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3"/>
      <c r="BD55" s="3"/>
      <c r="BE55" s="3"/>
      <c r="BF55" s="3"/>
      <c r="BG55">
        <v>0</v>
      </c>
      <c r="BH55">
        <v>1</v>
      </c>
      <c r="BI55">
        <v>1</v>
      </c>
      <c r="BJ55">
        <v>0.3</v>
      </c>
      <c r="BK55">
        <v>1</v>
      </c>
      <c r="BL55">
        <v>48.15</v>
      </c>
      <c r="BM55">
        <v>7.22</v>
      </c>
      <c r="BN55">
        <v>55.37</v>
      </c>
      <c r="BO55">
        <v>55.37</v>
      </c>
      <c r="BQ55" t="s">
        <v>210</v>
      </c>
      <c r="BR55" t="s">
        <v>389</v>
      </c>
      <c r="BS55" s="1">
        <v>44140</v>
      </c>
      <c r="BT55" s="2">
        <v>0.41666666666666669</v>
      </c>
      <c r="BU55" t="s">
        <v>205</v>
      </c>
      <c r="BV55" t="s">
        <v>72</v>
      </c>
      <c r="BW55" t="s">
        <v>76</v>
      </c>
      <c r="BX55" t="s">
        <v>120</v>
      </c>
      <c r="BY55">
        <v>1710</v>
      </c>
      <c r="BZ55" t="s">
        <v>19</v>
      </c>
      <c r="CA55" t="s">
        <v>114</v>
      </c>
      <c r="CC55" t="s">
        <v>102</v>
      </c>
      <c r="CD55">
        <v>6045</v>
      </c>
      <c r="CE55" t="s">
        <v>71</v>
      </c>
      <c r="CF55" s="1">
        <v>44140</v>
      </c>
      <c r="CI55">
        <v>1</v>
      </c>
      <c r="CJ55">
        <v>2</v>
      </c>
      <c r="CK55">
        <v>21</v>
      </c>
      <c r="CL55" t="s">
        <v>72</v>
      </c>
    </row>
    <row r="56" spans="1:90" x14ac:dyDescent="0.25">
      <c r="A56" t="s">
        <v>252</v>
      </c>
      <c r="B56" t="s">
        <v>253</v>
      </c>
      <c r="C56" t="s">
        <v>62</v>
      </c>
      <c r="E56" t="str">
        <f>"009940360349"</f>
        <v>009940360349</v>
      </c>
      <c r="F56" s="1">
        <v>44159</v>
      </c>
      <c r="G56">
        <v>202105</v>
      </c>
      <c r="H56" t="s">
        <v>101</v>
      </c>
      <c r="I56" t="s">
        <v>102</v>
      </c>
      <c r="J56" t="s">
        <v>328</v>
      </c>
      <c r="K56" t="s">
        <v>65</v>
      </c>
      <c r="L56" t="s">
        <v>139</v>
      </c>
      <c r="M56" t="s">
        <v>140</v>
      </c>
      <c r="N56" t="s">
        <v>329</v>
      </c>
      <c r="O56" t="s">
        <v>73</v>
      </c>
      <c r="P56" t="str">
        <f>"11912270 FM                   "</f>
        <v xml:space="preserve">11912270 FM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8.7899999999999991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 s="3"/>
      <c r="BD56" s="3"/>
      <c r="BE56" s="3"/>
      <c r="BF56" s="3"/>
      <c r="BG56">
        <v>0</v>
      </c>
      <c r="BH56">
        <v>1</v>
      </c>
      <c r="BI56">
        <v>1</v>
      </c>
      <c r="BJ56">
        <v>3.6</v>
      </c>
      <c r="BK56">
        <v>4</v>
      </c>
      <c r="BL56">
        <v>92.5</v>
      </c>
      <c r="BM56">
        <v>13.88</v>
      </c>
      <c r="BN56">
        <v>106.38</v>
      </c>
      <c r="BO56">
        <v>106.38</v>
      </c>
      <c r="BQ56" t="s">
        <v>404</v>
      </c>
      <c r="BR56" t="s">
        <v>371</v>
      </c>
      <c r="BS56" s="1">
        <v>44160</v>
      </c>
      <c r="BT56" s="2">
        <v>0.40972222222222227</v>
      </c>
      <c r="BU56" t="s">
        <v>183</v>
      </c>
      <c r="BV56" t="s">
        <v>69</v>
      </c>
      <c r="BY56">
        <v>18000</v>
      </c>
      <c r="BZ56" t="s">
        <v>74</v>
      </c>
      <c r="CC56" t="s">
        <v>140</v>
      </c>
      <c r="CD56">
        <v>6530</v>
      </c>
      <c r="CE56" t="s">
        <v>71</v>
      </c>
      <c r="CF56" s="1">
        <v>44162</v>
      </c>
      <c r="CI56">
        <v>1</v>
      </c>
      <c r="CJ56">
        <v>1</v>
      </c>
      <c r="CK56">
        <v>21</v>
      </c>
      <c r="CL56" t="s">
        <v>72</v>
      </c>
    </row>
    <row r="57" spans="1:90" x14ac:dyDescent="0.25">
      <c r="A57" t="s">
        <v>252</v>
      </c>
      <c r="B57" t="s">
        <v>253</v>
      </c>
      <c r="C57" t="s">
        <v>62</v>
      </c>
      <c r="E57" t="str">
        <f>"009940360381"</f>
        <v>009940360381</v>
      </c>
      <c r="F57" s="1">
        <v>44155</v>
      </c>
      <c r="G57">
        <v>202105</v>
      </c>
      <c r="H57" t="s">
        <v>101</v>
      </c>
      <c r="I57" t="s">
        <v>102</v>
      </c>
      <c r="J57" t="s">
        <v>328</v>
      </c>
      <c r="K57" t="s">
        <v>65</v>
      </c>
      <c r="L57" t="s">
        <v>139</v>
      </c>
      <c r="M57" t="s">
        <v>140</v>
      </c>
      <c r="N57" t="s">
        <v>329</v>
      </c>
      <c r="O57" t="s">
        <v>73</v>
      </c>
      <c r="P57" t="str">
        <f>"11912270 FM                   "</f>
        <v xml:space="preserve">11912270 FM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4.4000000000000004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 s="3"/>
      <c r="BD57" s="3"/>
      <c r="BE57" s="3"/>
      <c r="BF57" s="3"/>
      <c r="BG57">
        <v>0</v>
      </c>
      <c r="BH57">
        <v>1</v>
      </c>
      <c r="BI57">
        <v>1</v>
      </c>
      <c r="BJ57">
        <v>0.2</v>
      </c>
      <c r="BK57">
        <v>1</v>
      </c>
      <c r="BL57">
        <v>46.27</v>
      </c>
      <c r="BM57">
        <v>6.94</v>
      </c>
      <c r="BN57">
        <v>53.21</v>
      </c>
      <c r="BO57">
        <v>53.21</v>
      </c>
      <c r="BQ57" t="s">
        <v>404</v>
      </c>
      <c r="BR57" t="s">
        <v>371</v>
      </c>
      <c r="BS57" s="1">
        <v>44158</v>
      </c>
      <c r="BT57" s="2">
        <v>0.59166666666666667</v>
      </c>
      <c r="BU57" t="s">
        <v>405</v>
      </c>
      <c r="BV57" t="s">
        <v>72</v>
      </c>
      <c r="BY57">
        <v>1200</v>
      </c>
      <c r="BZ57" t="s">
        <v>19</v>
      </c>
      <c r="CC57" t="s">
        <v>140</v>
      </c>
      <c r="CD57">
        <v>6530</v>
      </c>
      <c r="CE57" t="s">
        <v>71</v>
      </c>
      <c r="CF57" s="1">
        <v>44160</v>
      </c>
      <c r="CI57">
        <v>1</v>
      </c>
      <c r="CJ57">
        <v>1</v>
      </c>
      <c r="CK57">
        <v>21</v>
      </c>
      <c r="CL57" t="s">
        <v>72</v>
      </c>
    </row>
    <row r="58" spans="1:90" x14ac:dyDescent="0.25">
      <c r="A58" t="s">
        <v>252</v>
      </c>
      <c r="B58" t="s">
        <v>253</v>
      </c>
      <c r="C58" t="s">
        <v>62</v>
      </c>
      <c r="E58" t="str">
        <f>"009939921443"</f>
        <v>009939921443</v>
      </c>
      <c r="F58" s="1">
        <v>44145</v>
      </c>
      <c r="G58">
        <v>202105</v>
      </c>
      <c r="H58" t="s">
        <v>222</v>
      </c>
      <c r="I58" t="s">
        <v>223</v>
      </c>
      <c r="J58" t="s">
        <v>328</v>
      </c>
      <c r="K58" t="s">
        <v>65</v>
      </c>
      <c r="L58" t="s">
        <v>107</v>
      </c>
      <c r="M58" t="s">
        <v>92</v>
      </c>
      <c r="N58" t="s">
        <v>350</v>
      </c>
      <c r="O58" t="s">
        <v>73</v>
      </c>
      <c r="P58" t="str">
        <f>"                              "</f>
        <v xml:space="preserve"> 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4.4000000000000004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 s="3"/>
      <c r="BD58" s="3"/>
      <c r="BE58" s="3"/>
      <c r="BF58" s="3"/>
      <c r="BG58">
        <v>0</v>
      </c>
      <c r="BH58">
        <v>1</v>
      </c>
      <c r="BI58">
        <v>0.2</v>
      </c>
      <c r="BJ58">
        <v>0.5</v>
      </c>
      <c r="BK58">
        <v>0.5</v>
      </c>
      <c r="BL58">
        <v>46.27</v>
      </c>
      <c r="BM58">
        <v>6.94</v>
      </c>
      <c r="BN58">
        <v>53.21</v>
      </c>
      <c r="BO58">
        <v>53.21</v>
      </c>
      <c r="BR58" t="s">
        <v>406</v>
      </c>
      <c r="BS58" s="1">
        <v>44148</v>
      </c>
      <c r="BT58" s="2">
        <v>0.4770833333333333</v>
      </c>
      <c r="BU58" t="s">
        <v>407</v>
      </c>
      <c r="BV58" t="s">
        <v>72</v>
      </c>
      <c r="BW58" t="s">
        <v>76</v>
      </c>
      <c r="BX58" t="s">
        <v>135</v>
      </c>
      <c r="BY58">
        <v>2355.94</v>
      </c>
      <c r="BZ58" t="s">
        <v>19</v>
      </c>
      <c r="CA58" t="s">
        <v>103</v>
      </c>
      <c r="CC58" t="s">
        <v>92</v>
      </c>
      <c r="CD58">
        <v>8000</v>
      </c>
      <c r="CE58" t="s">
        <v>71</v>
      </c>
      <c r="CF58" s="1">
        <v>44151</v>
      </c>
      <c r="CI58">
        <v>0</v>
      </c>
      <c r="CJ58">
        <v>0</v>
      </c>
      <c r="CK58">
        <v>21</v>
      </c>
      <c r="CL58" t="s">
        <v>72</v>
      </c>
    </row>
    <row r="59" spans="1:90" x14ac:dyDescent="0.25">
      <c r="A59" t="s">
        <v>252</v>
      </c>
      <c r="B59" t="s">
        <v>253</v>
      </c>
      <c r="C59" t="s">
        <v>62</v>
      </c>
      <c r="E59" t="str">
        <f>"009940360347"</f>
        <v>009940360347</v>
      </c>
      <c r="F59" s="1">
        <v>44153</v>
      </c>
      <c r="G59">
        <v>202105</v>
      </c>
      <c r="H59" t="s">
        <v>101</v>
      </c>
      <c r="I59" t="s">
        <v>102</v>
      </c>
      <c r="J59" t="s">
        <v>328</v>
      </c>
      <c r="K59" t="s">
        <v>65</v>
      </c>
      <c r="L59" t="s">
        <v>78</v>
      </c>
      <c r="M59" t="s">
        <v>79</v>
      </c>
      <c r="N59" t="s">
        <v>329</v>
      </c>
      <c r="O59" t="s">
        <v>73</v>
      </c>
      <c r="P59" t="str">
        <f>"11912270 FM                   "</f>
        <v xml:space="preserve">11912270 FM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4.4000000000000004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 s="3"/>
      <c r="BD59" s="3"/>
      <c r="BE59" s="3"/>
      <c r="BF59" s="3"/>
      <c r="BG59">
        <v>0</v>
      </c>
      <c r="BH59">
        <v>1</v>
      </c>
      <c r="BI59">
        <v>1</v>
      </c>
      <c r="BJ59">
        <v>0.2</v>
      </c>
      <c r="BK59">
        <v>1</v>
      </c>
      <c r="BL59">
        <v>46.27</v>
      </c>
      <c r="BM59">
        <v>6.94</v>
      </c>
      <c r="BN59">
        <v>53.21</v>
      </c>
      <c r="BO59">
        <v>53.21</v>
      </c>
      <c r="BQ59" t="s">
        <v>408</v>
      </c>
      <c r="BR59" t="s">
        <v>371</v>
      </c>
      <c r="BS59" s="1">
        <v>44154</v>
      </c>
      <c r="BT59" s="2">
        <v>0.32500000000000001</v>
      </c>
      <c r="BU59" t="s">
        <v>409</v>
      </c>
      <c r="BV59" t="s">
        <v>69</v>
      </c>
      <c r="BY59">
        <v>1200</v>
      </c>
      <c r="BZ59" t="s">
        <v>19</v>
      </c>
      <c r="CA59" t="s">
        <v>179</v>
      </c>
      <c r="CC59" t="s">
        <v>79</v>
      </c>
      <c r="CD59">
        <v>2000</v>
      </c>
      <c r="CE59" t="s">
        <v>71</v>
      </c>
      <c r="CF59" s="1">
        <v>44155</v>
      </c>
      <c r="CI59">
        <v>1</v>
      </c>
      <c r="CJ59">
        <v>1</v>
      </c>
      <c r="CK59">
        <v>21</v>
      </c>
      <c r="CL59" t="s">
        <v>72</v>
      </c>
    </row>
    <row r="60" spans="1:90" x14ac:dyDescent="0.25">
      <c r="A60" t="s">
        <v>252</v>
      </c>
      <c r="B60" t="s">
        <v>253</v>
      </c>
      <c r="C60" t="s">
        <v>62</v>
      </c>
      <c r="E60" t="str">
        <f>"029908452229"</f>
        <v>029908452229</v>
      </c>
      <c r="F60" s="1">
        <v>44144</v>
      </c>
      <c r="G60">
        <v>202105</v>
      </c>
      <c r="H60" t="s">
        <v>63</v>
      </c>
      <c r="I60" t="s">
        <v>64</v>
      </c>
      <c r="J60" t="s">
        <v>410</v>
      </c>
      <c r="K60" t="s">
        <v>65</v>
      </c>
      <c r="L60" t="s">
        <v>107</v>
      </c>
      <c r="M60" t="s">
        <v>92</v>
      </c>
      <c r="N60" t="s">
        <v>350</v>
      </c>
      <c r="O60" t="s">
        <v>73</v>
      </c>
      <c r="P60" t="str">
        <f>"119 422 70FM                  "</f>
        <v xml:space="preserve">119 422 70FM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4.4000000000000004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 s="3"/>
      <c r="BD60" s="3"/>
      <c r="BE60" s="3"/>
      <c r="BF60" s="3"/>
      <c r="BG60">
        <v>0</v>
      </c>
      <c r="BH60">
        <v>1</v>
      </c>
      <c r="BI60">
        <v>1.3</v>
      </c>
      <c r="BJ60">
        <v>0.7</v>
      </c>
      <c r="BK60">
        <v>1.5</v>
      </c>
      <c r="BL60">
        <v>46.27</v>
      </c>
      <c r="BM60">
        <v>6.94</v>
      </c>
      <c r="BN60">
        <v>53.21</v>
      </c>
      <c r="BO60">
        <v>53.21</v>
      </c>
      <c r="BQ60" t="s">
        <v>359</v>
      </c>
      <c r="BR60" t="s">
        <v>352</v>
      </c>
      <c r="BS60" s="1">
        <v>44146</v>
      </c>
      <c r="BT60" s="2">
        <v>0.44791666666666669</v>
      </c>
      <c r="BU60" t="s">
        <v>411</v>
      </c>
      <c r="BV60" t="s">
        <v>72</v>
      </c>
      <c r="BW60" t="s">
        <v>76</v>
      </c>
      <c r="BX60" t="s">
        <v>135</v>
      </c>
      <c r="BY60">
        <v>3600</v>
      </c>
      <c r="BZ60" t="s">
        <v>19</v>
      </c>
      <c r="CA60" t="s">
        <v>103</v>
      </c>
      <c r="CC60" t="s">
        <v>92</v>
      </c>
      <c r="CD60">
        <v>8000</v>
      </c>
      <c r="CE60" t="s">
        <v>71</v>
      </c>
      <c r="CF60" s="1">
        <v>44147</v>
      </c>
      <c r="CI60">
        <v>0</v>
      </c>
      <c r="CJ60">
        <v>0</v>
      </c>
      <c r="CK60">
        <v>21</v>
      </c>
      <c r="CL60" t="s">
        <v>72</v>
      </c>
    </row>
    <row r="61" spans="1:90" x14ac:dyDescent="0.25">
      <c r="A61" t="s">
        <v>252</v>
      </c>
      <c r="B61" t="s">
        <v>253</v>
      </c>
      <c r="C61" t="s">
        <v>62</v>
      </c>
      <c r="E61" t="str">
        <f>"009940541786"</f>
        <v>009940541786</v>
      </c>
      <c r="F61" s="1">
        <v>44155</v>
      </c>
      <c r="G61">
        <v>202105</v>
      </c>
      <c r="H61" t="s">
        <v>107</v>
      </c>
      <c r="I61" t="s">
        <v>92</v>
      </c>
      <c r="J61" t="s">
        <v>247</v>
      </c>
      <c r="K61" t="s">
        <v>65</v>
      </c>
      <c r="L61" t="s">
        <v>107</v>
      </c>
      <c r="M61" t="s">
        <v>92</v>
      </c>
      <c r="N61" t="s">
        <v>412</v>
      </c>
      <c r="O61" t="s">
        <v>73</v>
      </c>
      <c r="P61" t="str">
        <f>"MT CT                         "</f>
        <v xml:space="preserve">MT CT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3.43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 s="3"/>
      <c r="BD61" s="3"/>
      <c r="BE61" s="3"/>
      <c r="BF61" s="3"/>
      <c r="BG61">
        <v>0</v>
      </c>
      <c r="BH61">
        <v>1</v>
      </c>
      <c r="BI61">
        <v>1.1000000000000001</v>
      </c>
      <c r="BJ61">
        <v>1.5</v>
      </c>
      <c r="BK61">
        <v>2</v>
      </c>
      <c r="BL61">
        <v>36.14</v>
      </c>
      <c r="BM61">
        <v>5.42</v>
      </c>
      <c r="BN61">
        <v>41.56</v>
      </c>
      <c r="BO61">
        <v>41.56</v>
      </c>
      <c r="BQ61" t="s">
        <v>413</v>
      </c>
      <c r="BR61" t="s">
        <v>255</v>
      </c>
      <c r="BS61" s="1">
        <v>44158</v>
      </c>
      <c r="BT61" s="2">
        <v>0.38194444444444442</v>
      </c>
      <c r="BU61" t="s">
        <v>172</v>
      </c>
      <c r="BV61" t="s">
        <v>69</v>
      </c>
      <c r="BY61">
        <v>7530</v>
      </c>
      <c r="BZ61" t="s">
        <v>19</v>
      </c>
      <c r="CA61" t="s">
        <v>148</v>
      </c>
      <c r="CC61" t="s">
        <v>92</v>
      </c>
      <c r="CD61">
        <v>7925</v>
      </c>
      <c r="CE61" t="s">
        <v>71</v>
      </c>
      <c r="CF61" s="1">
        <v>44159</v>
      </c>
      <c r="CI61">
        <v>1</v>
      </c>
      <c r="CJ61">
        <v>1</v>
      </c>
      <c r="CK61">
        <v>22</v>
      </c>
      <c r="CL61" t="s">
        <v>72</v>
      </c>
    </row>
    <row r="62" spans="1:90" x14ac:dyDescent="0.25">
      <c r="A62" t="s">
        <v>252</v>
      </c>
      <c r="B62" t="s">
        <v>253</v>
      </c>
      <c r="C62" t="s">
        <v>62</v>
      </c>
      <c r="E62" t="str">
        <f>"009940360387"</f>
        <v>009940360387</v>
      </c>
      <c r="F62" s="1">
        <v>44148</v>
      </c>
      <c r="G62">
        <v>202105</v>
      </c>
      <c r="H62" t="s">
        <v>101</v>
      </c>
      <c r="I62" t="s">
        <v>102</v>
      </c>
      <c r="J62" t="s">
        <v>328</v>
      </c>
      <c r="K62" t="s">
        <v>65</v>
      </c>
      <c r="L62" t="s">
        <v>99</v>
      </c>
      <c r="M62" t="s">
        <v>100</v>
      </c>
      <c r="N62" t="s">
        <v>329</v>
      </c>
      <c r="O62" t="s">
        <v>73</v>
      </c>
      <c r="P62" t="str">
        <f>"11912270 FM                   "</f>
        <v xml:space="preserve">11912270 FM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4.4000000000000004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 s="3"/>
      <c r="BD62" s="3"/>
      <c r="BE62" s="3"/>
      <c r="BF62" s="3"/>
      <c r="BG62">
        <v>0</v>
      </c>
      <c r="BH62">
        <v>1</v>
      </c>
      <c r="BI62">
        <v>1</v>
      </c>
      <c r="BJ62">
        <v>0.2</v>
      </c>
      <c r="BK62">
        <v>1</v>
      </c>
      <c r="BL62">
        <v>46.27</v>
      </c>
      <c r="BM62">
        <v>6.94</v>
      </c>
      <c r="BN62">
        <v>53.21</v>
      </c>
      <c r="BO62">
        <v>53.21</v>
      </c>
      <c r="BQ62" t="s">
        <v>414</v>
      </c>
      <c r="BR62" t="s">
        <v>371</v>
      </c>
      <c r="BS62" s="1">
        <v>44151</v>
      </c>
      <c r="BT62" s="2">
        <v>0.41875000000000001</v>
      </c>
      <c r="BU62" t="s">
        <v>415</v>
      </c>
      <c r="BV62" t="s">
        <v>69</v>
      </c>
      <c r="BY62">
        <v>1200</v>
      </c>
      <c r="BZ62" t="s">
        <v>19</v>
      </c>
      <c r="CA62" t="s">
        <v>106</v>
      </c>
      <c r="CC62" t="s">
        <v>100</v>
      </c>
      <c r="CD62">
        <v>5247</v>
      </c>
      <c r="CE62" t="s">
        <v>71</v>
      </c>
      <c r="CF62" s="1">
        <v>44151</v>
      </c>
      <c r="CI62">
        <v>1</v>
      </c>
      <c r="CJ62">
        <v>1</v>
      </c>
      <c r="CK62">
        <v>21</v>
      </c>
      <c r="CL62" t="s">
        <v>72</v>
      </c>
    </row>
    <row r="63" spans="1:90" x14ac:dyDescent="0.25">
      <c r="A63" t="s">
        <v>308</v>
      </c>
      <c r="B63" t="s">
        <v>253</v>
      </c>
      <c r="C63" t="s">
        <v>62</v>
      </c>
      <c r="E63" t="str">
        <f>"009939921446"</f>
        <v>009939921446</v>
      </c>
      <c r="F63" s="1">
        <v>44153</v>
      </c>
      <c r="G63">
        <v>202105</v>
      </c>
      <c r="H63" t="s">
        <v>222</v>
      </c>
      <c r="I63" t="s">
        <v>223</v>
      </c>
      <c r="J63" t="s">
        <v>416</v>
      </c>
      <c r="K63" t="s">
        <v>65</v>
      </c>
      <c r="L63" t="s">
        <v>78</v>
      </c>
      <c r="M63" t="s">
        <v>79</v>
      </c>
      <c r="N63" t="s">
        <v>417</v>
      </c>
      <c r="O63" t="s">
        <v>73</v>
      </c>
      <c r="P63" t="str">
        <f>"                              "</f>
        <v xml:space="preserve">  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4.4000000000000004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 s="3"/>
      <c r="BD63" s="3"/>
      <c r="BE63" s="3"/>
      <c r="BF63" s="3"/>
      <c r="BG63">
        <v>0</v>
      </c>
      <c r="BH63">
        <v>1</v>
      </c>
      <c r="BI63">
        <v>1</v>
      </c>
      <c r="BJ63">
        <v>0.2</v>
      </c>
      <c r="BK63">
        <v>1</v>
      </c>
      <c r="BL63">
        <v>46.27</v>
      </c>
      <c r="BM63">
        <v>6.94</v>
      </c>
      <c r="BN63">
        <v>53.21</v>
      </c>
      <c r="BO63">
        <v>53.21</v>
      </c>
      <c r="BQ63" t="s">
        <v>418</v>
      </c>
      <c r="BR63" t="s">
        <v>419</v>
      </c>
      <c r="BS63" s="1">
        <v>44154</v>
      </c>
      <c r="BT63" s="2">
        <v>0.32916666666666666</v>
      </c>
      <c r="BU63" t="s">
        <v>420</v>
      </c>
      <c r="BV63" t="s">
        <v>69</v>
      </c>
      <c r="BY63">
        <v>1200</v>
      </c>
      <c r="BZ63" t="s">
        <v>19</v>
      </c>
      <c r="CA63" t="s">
        <v>70</v>
      </c>
      <c r="CC63" t="s">
        <v>79</v>
      </c>
      <c r="CD63">
        <v>2000</v>
      </c>
      <c r="CE63" t="s">
        <v>71</v>
      </c>
      <c r="CF63" s="1">
        <v>44154</v>
      </c>
      <c r="CI63">
        <v>1</v>
      </c>
      <c r="CJ63">
        <v>1</v>
      </c>
      <c r="CK63">
        <v>21</v>
      </c>
      <c r="CL63" t="s">
        <v>72</v>
      </c>
    </row>
    <row r="64" spans="1:90" x14ac:dyDescent="0.25">
      <c r="A64" t="s">
        <v>252</v>
      </c>
      <c r="B64" t="s">
        <v>253</v>
      </c>
      <c r="C64" t="s">
        <v>62</v>
      </c>
      <c r="E64" t="str">
        <f>"009940541757"</f>
        <v>009940541757</v>
      </c>
      <c r="F64" s="1">
        <v>44144</v>
      </c>
      <c r="G64">
        <v>202105</v>
      </c>
      <c r="H64" t="s">
        <v>107</v>
      </c>
      <c r="I64" t="s">
        <v>92</v>
      </c>
      <c r="J64" t="s">
        <v>247</v>
      </c>
      <c r="K64" t="s">
        <v>65</v>
      </c>
      <c r="L64" t="s">
        <v>126</v>
      </c>
      <c r="M64" t="s">
        <v>127</v>
      </c>
      <c r="N64" t="s">
        <v>421</v>
      </c>
      <c r="O64" t="s">
        <v>154</v>
      </c>
      <c r="P64" t="str">
        <f>"MT -CT                        "</f>
        <v xml:space="preserve">MT -CT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8.52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 s="3"/>
      <c r="BD64" s="3"/>
      <c r="BE64" s="3"/>
      <c r="BF64" s="3"/>
      <c r="BG64">
        <v>0</v>
      </c>
      <c r="BH64">
        <v>1</v>
      </c>
      <c r="BI64">
        <v>1.7</v>
      </c>
      <c r="BJ64">
        <v>2.6</v>
      </c>
      <c r="BK64">
        <v>3</v>
      </c>
      <c r="BL64">
        <v>89.64</v>
      </c>
      <c r="BM64">
        <v>13.45</v>
      </c>
      <c r="BN64">
        <v>103.09</v>
      </c>
      <c r="BO64">
        <v>103.09</v>
      </c>
      <c r="BQ64" t="s">
        <v>422</v>
      </c>
      <c r="BR64" t="s">
        <v>255</v>
      </c>
      <c r="BS64" s="1">
        <v>44145</v>
      </c>
      <c r="BT64" s="2">
        <v>0.46736111111111112</v>
      </c>
      <c r="BU64" t="s">
        <v>423</v>
      </c>
      <c r="BV64" t="s">
        <v>69</v>
      </c>
      <c r="BY64">
        <v>13002.08</v>
      </c>
      <c r="BZ64" t="s">
        <v>191</v>
      </c>
      <c r="CA64" t="s">
        <v>106</v>
      </c>
      <c r="CC64" t="s">
        <v>127</v>
      </c>
      <c r="CD64">
        <v>6506</v>
      </c>
      <c r="CE64" t="s">
        <v>71</v>
      </c>
      <c r="CF64" s="1">
        <v>44147</v>
      </c>
      <c r="CI64">
        <v>1</v>
      </c>
      <c r="CJ64">
        <v>1</v>
      </c>
      <c r="CK64">
        <v>33</v>
      </c>
      <c r="CL64" t="s">
        <v>72</v>
      </c>
    </row>
    <row r="65" spans="1:90" x14ac:dyDescent="0.25">
      <c r="A65" t="s">
        <v>252</v>
      </c>
      <c r="B65" t="s">
        <v>253</v>
      </c>
      <c r="C65" t="s">
        <v>62</v>
      </c>
      <c r="E65" t="str">
        <f>"009940360383"</f>
        <v>009940360383</v>
      </c>
      <c r="F65" s="1">
        <v>44155</v>
      </c>
      <c r="G65">
        <v>202105</v>
      </c>
      <c r="H65" t="s">
        <v>101</v>
      </c>
      <c r="I65" t="s">
        <v>102</v>
      </c>
      <c r="J65" t="s">
        <v>328</v>
      </c>
      <c r="K65" t="s">
        <v>65</v>
      </c>
      <c r="L65" t="s">
        <v>99</v>
      </c>
      <c r="M65" t="s">
        <v>100</v>
      </c>
      <c r="N65" t="s">
        <v>329</v>
      </c>
      <c r="O65" t="s">
        <v>73</v>
      </c>
      <c r="P65" t="str">
        <f>"11912270 FM                   "</f>
        <v xml:space="preserve">11912270 FM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4.4000000000000004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 s="3"/>
      <c r="BD65" s="3"/>
      <c r="BE65" s="3"/>
      <c r="BF65" s="3"/>
      <c r="BG65">
        <v>0</v>
      </c>
      <c r="BH65">
        <v>1</v>
      </c>
      <c r="BI65">
        <v>1</v>
      </c>
      <c r="BJ65">
        <v>0.2</v>
      </c>
      <c r="BK65">
        <v>1</v>
      </c>
      <c r="BL65">
        <v>46.27</v>
      </c>
      <c r="BM65">
        <v>6.94</v>
      </c>
      <c r="BN65">
        <v>53.21</v>
      </c>
      <c r="BO65">
        <v>53.21</v>
      </c>
      <c r="BQ65" t="s">
        <v>424</v>
      </c>
      <c r="BR65" t="s">
        <v>371</v>
      </c>
      <c r="BS65" s="1">
        <v>44158</v>
      </c>
      <c r="BT65" s="2">
        <v>0.63541666666666663</v>
      </c>
      <c r="BU65" t="s">
        <v>425</v>
      </c>
      <c r="BV65" t="s">
        <v>72</v>
      </c>
      <c r="BW65" t="s">
        <v>76</v>
      </c>
      <c r="BX65" t="s">
        <v>118</v>
      </c>
      <c r="BY65">
        <v>1200</v>
      </c>
      <c r="BZ65" t="s">
        <v>19</v>
      </c>
      <c r="CA65" t="s">
        <v>164</v>
      </c>
      <c r="CC65" t="s">
        <v>100</v>
      </c>
      <c r="CD65">
        <v>5247</v>
      </c>
      <c r="CE65" t="s">
        <v>71</v>
      </c>
      <c r="CF65" s="1">
        <v>44158</v>
      </c>
      <c r="CI65">
        <v>1</v>
      </c>
      <c r="CJ65">
        <v>1</v>
      </c>
      <c r="CK65">
        <v>21</v>
      </c>
      <c r="CL65" t="s">
        <v>72</v>
      </c>
    </row>
    <row r="66" spans="1:90" x14ac:dyDescent="0.25">
      <c r="A66" t="s">
        <v>252</v>
      </c>
      <c r="B66" t="s">
        <v>253</v>
      </c>
      <c r="C66" t="s">
        <v>62</v>
      </c>
      <c r="E66" t="str">
        <f>"009940377933"</f>
        <v>009940377933</v>
      </c>
      <c r="F66" s="1">
        <v>44145</v>
      </c>
      <c r="G66">
        <v>202105</v>
      </c>
      <c r="H66" t="s">
        <v>107</v>
      </c>
      <c r="I66" t="s">
        <v>92</v>
      </c>
      <c r="J66" t="s">
        <v>328</v>
      </c>
      <c r="K66" t="s">
        <v>65</v>
      </c>
      <c r="L66" t="s">
        <v>78</v>
      </c>
      <c r="M66" t="s">
        <v>79</v>
      </c>
      <c r="N66" t="s">
        <v>426</v>
      </c>
      <c r="O66" t="s">
        <v>73</v>
      </c>
      <c r="P66" t="str">
        <f>"                              "</f>
        <v xml:space="preserve"> 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4.4000000000000004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 s="3"/>
      <c r="BD66" s="3"/>
      <c r="BE66" s="3"/>
      <c r="BF66" s="3"/>
      <c r="BG66">
        <v>0</v>
      </c>
      <c r="BH66">
        <v>1</v>
      </c>
      <c r="BI66">
        <v>0.2</v>
      </c>
      <c r="BJ66">
        <v>1.4</v>
      </c>
      <c r="BK66">
        <v>1.5</v>
      </c>
      <c r="BL66">
        <v>46.27</v>
      </c>
      <c r="BM66">
        <v>6.94</v>
      </c>
      <c r="BN66">
        <v>53.21</v>
      </c>
      <c r="BO66">
        <v>53.21</v>
      </c>
      <c r="BR66" t="s">
        <v>427</v>
      </c>
      <c r="BS66" s="1">
        <v>44146</v>
      </c>
      <c r="BT66" s="2">
        <v>0.3298611111111111</v>
      </c>
      <c r="BU66" t="s">
        <v>178</v>
      </c>
      <c r="BV66" t="s">
        <v>69</v>
      </c>
      <c r="BY66">
        <v>7163.1</v>
      </c>
      <c r="BZ66" t="s">
        <v>19</v>
      </c>
      <c r="CA66" t="s">
        <v>179</v>
      </c>
      <c r="CC66" t="s">
        <v>79</v>
      </c>
      <c r="CD66">
        <v>2021</v>
      </c>
      <c r="CE66" t="s">
        <v>71</v>
      </c>
      <c r="CF66" s="1">
        <v>44146</v>
      </c>
      <c r="CI66">
        <v>1</v>
      </c>
      <c r="CJ66">
        <v>1</v>
      </c>
      <c r="CK66">
        <v>21</v>
      </c>
      <c r="CL66" t="s">
        <v>72</v>
      </c>
    </row>
    <row r="67" spans="1:90" x14ac:dyDescent="0.25">
      <c r="A67" t="s">
        <v>252</v>
      </c>
      <c r="B67" t="s">
        <v>253</v>
      </c>
      <c r="C67" t="s">
        <v>62</v>
      </c>
      <c r="E67" t="str">
        <f>"009940541779"</f>
        <v>009940541779</v>
      </c>
      <c r="F67" s="1">
        <v>44152</v>
      </c>
      <c r="G67">
        <v>202105</v>
      </c>
      <c r="H67" t="s">
        <v>107</v>
      </c>
      <c r="I67" t="s">
        <v>92</v>
      </c>
      <c r="J67" t="s">
        <v>247</v>
      </c>
      <c r="K67" t="s">
        <v>65</v>
      </c>
      <c r="L67" t="s">
        <v>195</v>
      </c>
      <c r="M67" t="s">
        <v>196</v>
      </c>
      <c r="N67" t="s">
        <v>428</v>
      </c>
      <c r="O67" t="s">
        <v>73</v>
      </c>
      <c r="P67" t="str">
        <f>"MT CT                         "</f>
        <v xml:space="preserve">MT CT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7.69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 s="3"/>
      <c r="BD67" s="3"/>
      <c r="BE67" s="3"/>
      <c r="BF67" s="3"/>
      <c r="BG67">
        <v>0</v>
      </c>
      <c r="BH67">
        <v>1</v>
      </c>
      <c r="BI67">
        <v>1.6</v>
      </c>
      <c r="BJ67">
        <v>2.2000000000000002</v>
      </c>
      <c r="BK67">
        <v>2.5</v>
      </c>
      <c r="BL67">
        <v>80.91</v>
      </c>
      <c r="BM67">
        <v>12.14</v>
      </c>
      <c r="BN67">
        <v>93.05</v>
      </c>
      <c r="BO67">
        <v>93.05</v>
      </c>
      <c r="BQ67" t="s">
        <v>429</v>
      </c>
      <c r="BR67" t="s">
        <v>255</v>
      </c>
      <c r="BS67" s="1">
        <v>44153</v>
      </c>
      <c r="BT67" s="2">
        <v>0.59861111111111109</v>
      </c>
      <c r="BU67" t="s">
        <v>430</v>
      </c>
      <c r="BV67" t="s">
        <v>72</v>
      </c>
      <c r="BW67" t="s">
        <v>76</v>
      </c>
      <c r="BX67" t="s">
        <v>169</v>
      </c>
      <c r="BY67">
        <v>11130.5</v>
      </c>
      <c r="BZ67" t="s">
        <v>19</v>
      </c>
      <c r="CA67" t="s">
        <v>134</v>
      </c>
      <c r="CC67" t="s">
        <v>196</v>
      </c>
      <c r="CD67">
        <v>7129</v>
      </c>
      <c r="CE67" t="s">
        <v>71</v>
      </c>
      <c r="CF67" s="1">
        <v>44154</v>
      </c>
      <c r="CI67">
        <v>1</v>
      </c>
      <c r="CJ67">
        <v>1</v>
      </c>
      <c r="CK67">
        <v>24</v>
      </c>
      <c r="CL67" t="s">
        <v>72</v>
      </c>
    </row>
    <row r="68" spans="1:90" x14ac:dyDescent="0.25">
      <c r="A68" t="s">
        <v>252</v>
      </c>
      <c r="B68" t="s">
        <v>253</v>
      </c>
      <c r="C68" t="s">
        <v>62</v>
      </c>
      <c r="E68" t="str">
        <f>"009940618509"</f>
        <v>009940618509</v>
      </c>
      <c r="F68" s="1">
        <v>44144</v>
      </c>
      <c r="G68">
        <v>202105</v>
      </c>
      <c r="H68" t="s">
        <v>101</v>
      </c>
      <c r="I68" t="s">
        <v>102</v>
      </c>
      <c r="J68" t="s">
        <v>431</v>
      </c>
      <c r="K68" t="s">
        <v>65</v>
      </c>
      <c r="L68" t="s">
        <v>150</v>
      </c>
      <c r="M68" t="s">
        <v>151</v>
      </c>
      <c r="N68" t="s">
        <v>247</v>
      </c>
      <c r="O68" t="s">
        <v>73</v>
      </c>
      <c r="P68" t="str">
        <f>"                              "</f>
        <v xml:space="preserve">  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4.4000000000000004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 s="3"/>
      <c r="BD68" s="3"/>
      <c r="BE68" s="3"/>
      <c r="BF68" s="3"/>
      <c r="BG68">
        <v>0</v>
      </c>
      <c r="BH68">
        <v>1</v>
      </c>
      <c r="BI68">
        <v>1</v>
      </c>
      <c r="BJ68">
        <v>0.2</v>
      </c>
      <c r="BK68">
        <v>1</v>
      </c>
      <c r="BL68">
        <v>46.27</v>
      </c>
      <c r="BM68">
        <v>6.94</v>
      </c>
      <c r="BN68">
        <v>53.21</v>
      </c>
      <c r="BO68">
        <v>53.21</v>
      </c>
      <c r="BQ68" t="s">
        <v>432</v>
      </c>
      <c r="BR68" t="s">
        <v>433</v>
      </c>
      <c r="BS68" s="1">
        <v>44145</v>
      </c>
      <c r="BT68" s="2">
        <v>0.3611111111111111</v>
      </c>
      <c r="BU68" t="s">
        <v>215</v>
      </c>
      <c r="BV68" t="s">
        <v>69</v>
      </c>
      <c r="BY68">
        <v>1200</v>
      </c>
      <c r="BZ68" t="s">
        <v>19</v>
      </c>
      <c r="CA68" t="s">
        <v>125</v>
      </c>
      <c r="CC68" t="s">
        <v>151</v>
      </c>
      <c r="CD68">
        <v>1683</v>
      </c>
      <c r="CE68" t="s">
        <v>71</v>
      </c>
      <c r="CF68" s="1">
        <v>44146</v>
      </c>
      <c r="CI68">
        <v>1</v>
      </c>
      <c r="CJ68">
        <v>1</v>
      </c>
      <c r="CK68">
        <v>21</v>
      </c>
      <c r="CL68" t="s">
        <v>72</v>
      </c>
    </row>
    <row r="69" spans="1:90" x14ac:dyDescent="0.25">
      <c r="A69" t="s">
        <v>252</v>
      </c>
      <c r="B69" t="s">
        <v>253</v>
      </c>
      <c r="C69" t="s">
        <v>62</v>
      </c>
      <c r="E69" t="str">
        <f>"009940084890"</f>
        <v>009940084890</v>
      </c>
      <c r="F69" s="1">
        <v>44158</v>
      </c>
      <c r="G69">
        <v>202105</v>
      </c>
      <c r="H69" t="s">
        <v>78</v>
      </c>
      <c r="I69" t="s">
        <v>79</v>
      </c>
      <c r="J69" t="s">
        <v>434</v>
      </c>
      <c r="K69" t="s">
        <v>65</v>
      </c>
      <c r="L69" t="s">
        <v>435</v>
      </c>
      <c r="M69" t="s">
        <v>436</v>
      </c>
      <c r="N69" t="s">
        <v>437</v>
      </c>
      <c r="O69" t="s">
        <v>73</v>
      </c>
      <c r="P69" t="str">
        <f>"11005506HR                    "</f>
        <v xml:space="preserve">11005506HR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8.52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 s="3"/>
      <c r="BD69" s="3"/>
      <c r="BE69" s="3"/>
      <c r="BF69" s="3"/>
      <c r="BG69">
        <v>0</v>
      </c>
      <c r="BH69">
        <v>1</v>
      </c>
      <c r="BI69">
        <v>0.8</v>
      </c>
      <c r="BJ69">
        <v>1.7</v>
      </c>
      <c r="BK69">
        <v>2</v>
      </c>
      <c r="BL69">
        <v>89.64</v>
      </c>
      <c r="BM69">
        <v>13.45</v>
      </c>
      <c r="BN69">
        <v>103.09</v>
      </c>
      <c r="BO69">
        <v>103.09</v>
      </c>
      <c r="BQ69" t="s">
        <v>438</v>
      </c>
      <c r="BR69" t="s">
        <v>439</v>
      </c>
      <c r="BS69" s="1">
        <v>44160</v>
      </c>
      <c r="BT69" s="2">
        <v>0.67222222222222217</v>
      </c>
      <c r="BU69" t="s">
        <v>440</v>
      </c>
      <c r="BV69" t="s">
        <v>69</v>
      </c>
      <c r="BY69">
        <v>8349.14</v>
      </c>
      <c r="BZ69" t="s">
        <v>19</v>
      </c>
      <c r="CA69" t="s">
        <v>163</v>
      </c>
      <c r="CC69" t="s">
        <v>436</v>
      </c>
      <c r="CD69">
        <v>7220</v>
      </c>
      <c r="CE69" t="s">
        <v>71</v>
      </c>
      <c r="CF69" s="1">
        <v>44165</v>
      </c>
      <c r="CI69">
        <v>3</v>
      </c>
      <c r="CJ69">
        <v>2</v>
      </c>
      <c r="CK69">
        <v>23</v>
      </c>
      <c r="CL69" t="s">
        <v>72</v>
      </c>
    </row>
    <row r="70" spans="1:90" x14ac:dyDescent="0.25">
      <c r="A70" t="s">
        <v>252</v>
      </c>
      <c r="B70" t="s">
        <v>253</v>
      </c>
      <c r="C70" t="s">
        <v>62</v>
      </c>
      <c r="E70" t="str">
        <f>"009940541759"</f>
        <v>009940541759</v>
      </c>
      <c r="F70" s="1">
        <v>44148</v>
      </c>
      <c r="G70">
        <v>202105</v>
      </c>
      <c r="H70" t="s">
        <v>107</v>
      </c>
      <c r="I70" t="s">
        <v>92</v>
      </c>
      <c r="J70" t="s">
        <v>247</v>
      </c>
      <c r="K70" t="s">
        <v>65</v>
      </c>
      <c r="L70" t="s">
        <v>101</v>
      </c>
      <c r="M70" t="s">
        <v>102</v>
      </c>
      <c r="N70" t="s">
        <v>441</v>
      </c>
      <c r="O70" t="s">
        <v>154</v>
      </c>
      <c r="P70" t="str">
        <f>"MT CT                         "</f>
        <v xml:space="preserve">MT CT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8.24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 s="3"/>
      <c r="BD70" s="3"/>
      <c r="BE70" s="3"/>
      <c r="BF70" s="3"/>
      <c r="BG70">
        <v>0</v>
      </c>
      <c r="BH70">
        <v>1</v>
      </c>
      <c r="BI70">
        <v>2.1</v>
      </c>
      <c r="BJ70">
        <v>2.8</v>
      </c>
      <c r="BK70">
        <v>3</v>
      </c>
      <c r="BL70">
        <v>86.74</v>
      </c>
      <c r="BM70">
        <v>13.01</v>
      </c>
      <c r="BN70">
        <v>99.75</v>
      </c>
      <c r="BO70">
        <v>99.75</v>
      </c>
      <c r="BQ70" t="s">
        <v>442</v>
      </c>
      <c r="BR70" t="s">
        <v>255</v>
      </c>
      <c r="BS70" s="1">
        <v>44151</v>
      </c>
      <c r="BT70" s="2">
        <v>0.41666666666666669</v>
      </c>
      <c r="BU70" t="s">
        <v>443</v>
      </c>
      <c r="BV70" t="s">
        <v>69</v>
      </c>
      <c r="BY70">
        <v>14092.16</v>
      </c>
      <c r="BZ70" t="s">
        <v>191</v>
      </c>
      <c r="CA70" t="s">
        <v>106</v>
      </c>
      <c r="CC70" t="s">
        <v>102</v>
      </c>
      <c r="CD70">
        <v>6001</v>
      </c>
      <c r="CE70" t="s">
        <v>394</v>
      </c>
      <c r="CF70" s="1">
        <v>44151</v>
      </c>
      <c r="CI70">
        <v>1</v>
      </c>
      <c r="CJ70">
        <v>1</v>
      </c>
      <c r="CK70">
        <v>31</v>
      </c>
      <c r="CL70" t="s">
        <v>72</v>
      </c>
    </row>
    <row r="71" spans="1:90" x14ac:dyDescent="0.25">
      <c r="A71" t="s">
        <v>252</v>
      </c>
      <c r="B71" t="s">
        <v>253</v>
      </c>
      <c r="C71" t="s">
        <v>62</v>
      </c>
      <c r="E71" t="str">
        <f>"009940360385"</f>
        <v>009940360385</v>
      </c>
      <c r="F71" s="1">
        <v>44154</v>
      </c>
      <c r="G71">
        <v>202105</v>
      </c>
      <c r="H71" t="s">
        <v>101</v>
      </c>
      <c r="I71" t="s">
        <v>102</v>
      </c>
      <c r="J71" t="s">
        <v>328</v>
      </c>
      <c r="K71" t="s">
        <v>65</v>
      </c>
      <c r="L71" t="s">
        <v>139</v>
      </c>
      <c r="M71" t="s">
        <v>140</v>
      </c>
      <c r="N71" t="s">
        <v>329</v>
      </c>
      <c r="O71" t="s">
        <v>73</v>
      </c>
      <c r="P71" t="str">
        <f>"11912270 FM                   "</f>
        <v xml:space="preserve">11912270 FM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10.99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 s="3"/>
      <c r="BD71" s="3"/>
      <c r="BE71" s="3"/>
      <c r="BF71" s="3"/>
      <c r="BG71">
        <v>0</v>
      </c>
      <c r="BH71">
        <v>1</v>
      </c>
      <c r="BI71">
        <v>5</v>
      </c>
      <c r="BJ71">
        <v>2.7</v>
      </c>
      <c r="BK71">
        <v>5</v>
      </c>
      <c r="BL71">
        <v>115.62</v>
      </c>
      <c r="BM71">
        <v>17.34</v>
      </c>
      <c r="BN71">
        <v>132.96</v>
      </c>
      <c r="BO71">
        <v>132.96</v>
      </c>
      <c r="BQ71" t="s">
        <v>404</v>
      </c>
      <c r="BR71" t="s">
        <v>371</v>
      </c>
      <c r="BS71" s="1">
        <v>44158</v>
      </c>
      <c r="BT71" s="2">
        <v>0.45833333333333331</v>
      </c>
      <c r="BU71" t="s">
        <v>183</v>
      </c>
      <c r="BV71" t="s">
        <v>72</v>
      </c>
      <c r="BY71">
        <v>13600</v>
      </c>
      <c r="BZ71" t="s">
        <v>19</v>
      </c>
      <c r="CC71" t="s">
        <v>140</v>
      </c>
      <c r="CD71">
        <v>6530</v>
      </c>
      <c r="CE71" t="s">
        <v>71</v>
      </c>
      <c r="CF71" s="1">
        <v>44160</v>
      </c>
      <c r="CI71">
        <v>1</v>
      </c>
      <c r="CJ71">
        <v>2</v>
      </c>
      <c r="CK71">
        <v>21</v>
      </c>
      <c r="CL71" t="s">
        <v>72</v>
      </c>
    </row>
    <row r="72" spans="1:90" x14ac:dyDescent="0.25">
      <c r="A72" t="s">
        <v>252</v>
      </c>
      <c r="B72" t="s">
        <v>253</v>
      </c>
      <c r="C72" t="s">
        <v>62</v>
      </c>
      <c r="E72" t="str">
        <f>"009940618508"</f>
        <v>009940618508</v>
      </c>
      <c r="F72" s="1">
        <v>44144</v>
      </c>
      <c r="G72">
        <v>202105</v>
      </c>
      <c r="H72" t="s">
        <v>101</v>
      </c>
      <c r="I72" t="s">
        <v>102</v>
      </c>
      <c r="J72" t="s">
        <v>431</v>
      </c>
      <c r="K72" t="s">
        <v>65</v>
      </c>
      <c r="L72" t="s">
        <v>107</v>
      </c>
      <c r="M72" t="s">
        <v>92</v>
      </c>
      <c r="N72" t="s">
        <v>444</v>
      </c>
      <c r="O72" t="s">
        <v>73</v>
      </c>
      <c r="P72" t="str">
        <f>"                              "</f>
        <v xml:space="preserve"> 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4.4000000000000004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 s="3"/>
      <c r="BD72" s="3"/>
      <c r="BE72" s="3"/>
      <c r="BF72" s="3"/>
      <c r="BG72">
        <v>0</v>
      </c>
      <c r="BH72">
        <v>1</v>
      </c>
      <c r="BI72">
        <v>1</v>
      </c>
      <c r="BJ72">
        <v>0.2</v>
      </c>
      <c r="BK72">
        <v>1</v>
      </c>
      <c r="BL72">
        <v>46.27</v>
      </c>
      <c r="BM72">
        <v>6.94</v>
      </c>
      <c r="BN72">
        <v>53.21</v>
      </c>
      <c r="BO72">
        <v>53.21</v>
      </c>
      <c r="BQ72" t="s">
        <v>445</v>
      </c>
      <c r="BR72" t="s">
        <v>433</v>
      </c>
      <c r="BS72" s="1">
        <v>44145</v>
      </c>
      <c r="BT72" s="2">
        <v>0.41736111111111113</v>
      </c>
      <c r="BU72" t="s">
        <v>193</v>
      </c>
      <c r="BV72" t="s">
        <v>69</v>
      </c>
      <c r="BY72">
        <v>1200</v>
      </c>
      <c r="BZ72" t="s">
        <v>19</v>
      </c>
      <c r="CA72" t="s">
        <v>228</v>
      </c>
      <c r="CC72" t="s">
        <v>92</v>
      </c>
      <c r="CD72">
        <v>8000</v>
      </c>
      <c r="CE72" t="s">
        <v>71</v>
      </c>
      <c r="CF72" s="1">
        <v>44146</v>
      </c>
      <c r="CI72">
        <v>1</v>
      </c>
      <c r="CJ72">
        <v>1</v>
      </c>
      <c r="CK72">
        <v>21</v>
      </c>
      <c r="CL72" t="s">
        <v>72</v>
      </c>
    </row>
    <row r="73" spans="1:90" x14ac:dyDescent="0.25">
      <c r="A73" t="s">
        <v>252</v>
      </c>
      <c r="B73" t="s">
        <v>253</v>
      </c>
      <c r="C73" t="s">
        <v>62</v>
      </c>
      <c r="E73" t="str">
        <f>"009938822262"</f>
        <v>009938822262</v>
      </c>
      <c r="F73" s="1">
        <v>44154</v>
      </c>
      <c r="G73">
        <v>202105</v>
      </c>
      <c r="H73" t="s">
        <v>66</v>
      </c>
      <c r="I73" t="s">
        <v>67</v>
      </c>
      <c r="J73" t="s">
        <v>329</v>
      </c>
      <c r="K73" t="s">
        <v>65</v>
      </c>
      <c r="L73" t="s">
        <v>222</v>
      </c>
      <c r="M73" t="s">
        <v>223</v>
      </c>
      <c r="N73" t="s">
        <v>382</v>
      </c>
      <c r="O73" t="s">
        <v>73</v>
      </c>
      <c r="P73" t="str">
        <f>"...                           "</f>
        <v xml:space="preserve">...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5.49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 s="3"/>
      <c r="BD73" s="3"/>
      <c r="BE73" s="3"/>
      <c r="BF73" s="3"/>
      <c r="BG73">
        <v>0</v>
      </c>
      <c r="BH73">
        <v>1</v>
      </c>
      <c r="BI73">
        <v>0.2</v>
      </c>
      <c r="BJ73">
        <v>2.1</v>
      </c>
      <c r="BK73">
        <v>2.5</v>
      </c>
      <c r="BL73">
        <v>57.82</v>
      </c>
      <c r="BM73">
        <v>8.67</v>
      </c>
      <c r="BN73">
        <v>66.489999999999995</v>
      </c>
      <c r="BO73">
        <v>66.489999999999995</v>
      </c>
      <c r="BQ73" t="s">
        <v>446</v>
      </c>
      <c r="BR73" t="s">
        <v>447</v>
      </c>
      <c r="BS73" s="1">
        <v>44155</v>
      </c>
      <c r="BT73" s="2">
        <v>0.47500000000000003</v>
      </c>
      <c r="BU73" t="s">
        <v>448</v>
      </c>
      <c r="BV73" t="s">
        <v>72</v>
      </c>
      <c r="BW73" t="s">
        <v>81</v>
      </c>
      <c r="BX73" t="s">
        <v>236</v>
      </c>
      <c r="BY73">
        <v>10499.64</v>
      </c>
      <c r="BZ73" t="s">
        <v>19</v>
      </c>
      <c r="CA73" t="s">
        <v>241</v>
      </c>
      <c r="CC73" t="s">
        <v>223</v>
      </c>
      <c r="CD73">
        <v>9300</v>
      </c>
      <c r="CE73" t="s">
        <v>71</v>
      </c>
      <c r="CF73" s="1">
        <v>44158</v>
      </c>
      <c r="CI73">
        <v>1</v>
      </c>
      <c r="CJ73">
        <v>1</v>
      </c>
      <c r="CK73">
        <v>21</v>
      </c>
      <c r="CL73" t="s">
        <v>72</v>
      </c>
    </row>
    <row r="74" spans="1:90" x14ac:dyDescent="0.25">
      <c r="A74" t="s">
        <v>308</v>
      </c>
      <c r="B74" t="s">
        <v>253</v>
      </c>
      <c r="C74" t="s">
        <v>62</v>
      </c>
      <c r="E74" t="str">
        <f>"009939921444"</f>
        <v>009939921444</v>
      </c>
      <c r="F74" s="1">
        <v>44148</v>
      </c>
      <c r="G74">
        <v>202105</v>
      </c>
      <c r="H74" t="s">
        <v>222</v>
      </c>
      <c r="I74" t="s">
        <v>223</v>
      </c>
      <c r="J74" t="s">
        <v>382</v>
      </c>
      <c r="K74" t="s">
        <v>65</v>
      </c>
      <c r="L74" t="s">
        <v>109</v>
      </c>
      <c r="M74" t="s">
        <v>95</v>
      </c>
      <c r="N74" t="s">
        <v>449</v>
      </c>
      <c r="O74" t="s">
        <v>73</v>
      </c>
      <c r="P74" t="str">
        <f>"                              "</f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4.4000000000000004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 s="3"/>
      <c r="BD74" s="3"/>
      <c r="BE74" s="3"/>
      <c r="BF74" s="3"/>
      <c r="BG74">
        <v>0</v>
      </c>
      <c r="BH74">
        <v>1</v>
      </c>
      <c r="BI74">
        <v>1</v>
      </c>
      <c r="BJ74">
        <v>0.2</v>
      </c>
      <c r="BK74">
        <v>1</v>
      </c>
      <c r="BL74">
        <v>46.27</v>
      </c>
      <c r="BM74">
        <v>6.94</v>
      </c>
      <c r="BN74">
        <v>53.21</v>
      </c>
      <c r="BO74">
        <v>53.21</v>
      </c>
      <c r="BR74" t="s">
        <v>450</v>
      </c>
      <c r="BS74" s="1">
        <v>44151</v>
      </c>
      <c r="BT74" s="2">
        <v>0.47222222222222227</v>
      </c>
      <c r="BU74" t="s">
        <v>451</v>
      </c>
      <c r="BV74" t="s">
        <v>72</v>
      </c>
      <c r="BW74" t="s">
        <v>81</v>
      </c>
      <c r="BX74" t="s">
        <v>149</v>
      </c>
      <c r="BY74">
        <v>1200</v>
      </c>
      <c r="BZ74" t="s">
        <v>19</v>
      </c>
      <c r="CC74" t="s">
        <v>95</v>
      </c>
      <c r="CD74">
        <v>157</v>
      </c>
      <c r="CE74" t="s">
        <v>71</v>
      </c>
      <c r="CF74" s="1">
        <v>44152</v>
      </c>
      <c r="CI74">
        <v>1</v>
      </c>
      <c r="CJ74">
        <v>1</v>
      </c>
      <c r="CK74">
        <v>21</v>
      </c>
      <c r="CL74" t="s">
        <v>72</v>
      </c>
    </row>
    <row r="75" spans="1:90" x14ac:dyDescent="0.25">
      <c r="A75" t="s">
        <v>252</v>
      </c>
      <c r="B75" t="s">
        <v>253</v>
      </c>
      <c r="C75" t="s">
        <v>62</v>
      </c>
      <c r="E75" t="str">
        <f>"009938822261"</f>
        <v>009938822261</v>
      </c>
      <c r="F75" s="1">
        <v>44154</v>
      </c>
      <c r="G75">
        <v>202105</v>
      </c>
      <c r="H75" t="s">
        <v>66</v>
      </c>
      <c r="I75" t="s">
        <v>67</v>
      </c>
      <c r="J75" t="s">
        <v>329</v>
      </c>
      <c r="K75" t="s">
        <v>65</v>
      </c>
      <c r="L75" t="s">
        <v>379</v>
      </c>
      <c r="M75" t="s">
        <v>380</v>
      </c>
      <c r="N75" t="s">
        <v>382</v>
      </c>
      <c r="O75" t="s">
        <v>73</v>
      </c>
      <c r="P75" t="str">
        <f>"...                           "</f>
        <v xml:space="preserve">...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14.28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 s="3"/>
      <c r="BD75" s="3"/>
      <c r="BE75" s="3"/>
      <c r="BF75" s="3"/>
      <c r="BG75">
        <v>0</v>
      </c>
      <c r="BH75">
        <v>2</v>
      </c>
      <c r="BI75">
        <v>2.2999999999999998</v>
      </c>
      <c r="BJ75">
        <v>6.3</v>
      </c>
      <c r="BK75">
        <v>6.5</v>
      </c>
      <c r="BL75">
        <v>150.29</v>
      </c>
      <c r="BM75">
        <v>22.54</v>
      </c>
      <c r="BN75">
        <v>172.83</v>
      </c>
      <c r="BO75">
        <v>172.83</v>
      </c>
      <c r="BQ75" t="s">
        <v>452</v>
      </c>
      <c r="BR75" t="s">
        <v>447</v>
      </c>
      <c r="BS75" s="1">
        <v>44155</v>
      </c>
      <c r="BT75" s="2">
        <v>0.44861111111111113</v>
      </c>
      <c r="BU75" t="s">
        <v>197</v>
      </c>
      <c r="BV75" t="s">
        <v>72</v>
      </c>
      <c r="BY75">
        <v>31264.62</v>
      </c>
      <c r="BZ75" t="s">
        <v>19</v>
      </c>
      <c r="CA75" t="s">
        <v>232</v>
      </c>
      <c r="CC75" t="s">
        <v>380</v>
      </c>
      <c r="CD75">
        <v>1240</v>
      </c>
      <c r="CE75" t="s">
        <v>71</v>
      </c>
      <c r="CF75" s="1">
        <v>44155</v>
      </c>
      <c r="CI75">
        <v>1</v>
      </c>
      <c r="CJ75">
        <v>1</v>
      </c>
      <c r="CK75">
        <v>21</v>
      </c>
      <c r="CL75" t="s">
        <v>72</v>
      </c>
    </row>
    <row r="76" spans="1:90" x14ac:dyDescent="0.25">
      <c r="A76" t="s">
        <v>252</v>
      </c>
      <c r="B76" t="s">
        <v>253</v>
      </c>
      <c r="C76" t="s">
        <v>62</v>
      </c>
      <c r="E76" t="str">
        <f>"009938634374"</f>
        <v>009938634374</v>
      </c>
      <c r="F76" s="1">
        <v>44147</v>
      </c>
      <c r="G76">
        <v>202105</v>
      </c>
      <c r="H76" t="s">
        <v>109</v>
      </c>
      <c r="I76" t="s">
        <v>95</v>
      </c>
      <c r="J76" t="s">
        <v>328</v>
      </c>
      <c r="K76" t="s">
        <v>65</v>
      </c>
      <c r="L76" t="s">
        <v>189</v>
      </c>
      <c r="M76" t="s">
        <v>190</v>
      </c>
      <c r="N76" t="s">
        <v>329</v>
      </c>
      <c r="O76" t="s">
        <v>73</v>
      </c>
      <c r="P76" t="str">
        <f>"NO REF.                       "</f>
        <v xml:space="preserve">NO REF.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51.62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 s="3"/>
      <c r="BD76" s="3"/>
      <c r="BE76" s="3"/>
      <c r="BF76" s="3"/>
      <c r="BG76">
        <v>0</v>
      </c>
      <c r="BH76">
        <v>2</v>
      </c>
      <c r="BI76">
        <v>23.4</v>
      </c>
      <c r="BJ76">
        <v>22.7</v>
      </c>
      <c r="BK76">
        <v>23.5</v>
      </c>
      <c r="BL76">
        <v>543.27</v>
      </c>
      <c r="BM76">
        <v>81.489999999999995</v>
      </c>
      <c r="BN76">
        <v>624.76</v>
      </c>
      <c r="BO76">
        <v>624.76</v>
      </c>
      <c r="BQ76" t="s">
        <v>453</v>
      </c>
      <c r="BR76" t="s">
        <v>331</v>
      </c>
      <c r="BS76" s="1">
        <v>44148</v>
      </c>
      <c r="BT76" s="2">
        <v>0.37777777777777777</v>
      </c>
      <c r="BU76" t="s">
        <v>180</v>
      </c>
      <c r="BV76" t="s">
        <v>69</v>
      </c>
      <c r="BY76">
        <v>113328.36</v>
      </c>
      <c r="BZ76" t="s">
        <v>19</v>
      </c>
      <c r="CA76" t="s">
        <v>332</v>
      </c>
      <c r="CC76" t="s">
        <v>190</v>
      </c>
      <c r="CD76">
        <v>699</v>
      </c>
      <c r="CE76" t="s">
        <v>108</v>
      </c>
      <c r="CF76" s="1">
        <v>44148</v>
      </c>
      <c r="CI76">
        <v>1</v>
      </c>
      <c r="CJ76">
        <v>1</v>
      </c>
      <c r="CK76">
        <v>21</v>
      </c>
      <c r="CL76" t="s">
        <v>72</v>
      </c>
    </row>
    <row r="77" spans="1:90" x14ac:dyDescent="0.25">
      <c r="A77" t="s">
        <v>252</v>
      </c>
      <c r="B77" t="s">
        <v>253</v>
      </c>
      <c r="C77" t="s">
        <v>62</v>
      </c>
      <c r="E77" t="str">
        <f>"080002765252"</f>
        <v>080002765252</v>
      </c>
      <c r="F77" s="1">
        <v>44154</v>
      </c>
      <c r="G77">
        <v>202105</v>
      </c>
      <c r="H77" t="s">
        <v>110</v>
      </c>
      <c r="I77" t="s">
        <v>110</v>
      </c>
      <c r="J77" t="s">
        <v>454</v>
      </c>
      <c r="K77" t="s">
        <v>65</v>
      </c>
      <c r="L77" t="s">
        <v>107</v>
      </c>
      <c r="M77" t="s">
        <v>92</v>
      </c>
      <c r="N77" t="s">
        <v>305</v>
      </c>
      <c r="O77" t="s">
        <v>73</v>
      </c>
      <c r="P77" t="str">
        <f>"                              "</f>
        <v xml:space="preserve"> 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16.72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 s="3"/>
      <c r="BD77" s="3"/>
      <c r="BE77" s="3"/>
      <c r="BF77" s="3"/>
      <c r="BG77">
        <v>0</v>
      </c>
      <c r="BH77">
        <v>1</v>
      </c>
      <c r="BI77">
        <v>5.3</v>
      </c>
      <c r="BJ77">
        <v>4.4000000000000004</v>
      </c>
      <c r="BK77">
        <v>5.5</v>
      </c>
      <c r="BL77">
        <v>175.98</v>
      </c>
      <c r="BM77">
        <v>26.4</v>
      </c>
      <c r="BN77">
        <v>202.38</v>
      </c>
      <c r="BO77">
        <v>202.38</v>
      </c>
      <c r="BQ77" t="s">
        <v>455</v>
      </c>
      <c r="BR77" t="s">
        <v>456</v>
      </c>
      <c r="BS77" s="1">
        <v>44155</v>
      </c>
      <c r="BT77" s="2">
        <v>0.42430555555555555</v>
      </c>
      <c r="BU77" t="s">
        <v>288</v>
      </c>
      <c r="BV77" t="s">
        <v>69</v>
      </c>
      <c r="BY77">
        <v>22064.39</v>
      </c>
      <c r="CA77" t="s">
        <v>133</v>
      </c>
      <c r="CC77" t="s">
        <v>92</v>
      </c>
      <c r="CD77">
        <v>7824</v>
      </c>
      <c r="CE77" t="s">
        <v>129</v>
      </c>
      <c r="CF77" s="1">
        <v>44158</v>
      </c>
      <c r="CI77">
        <v>0</v>
      </c>
      <c r="CJ77">
        <v>0</v>
      </c>
      <c r="CK77">
        <v>24</v>
      </c>
      <c r="CL77" t="s">
        <v>72</v>
      </c>
    </row>
    <row r="78" spans="1:90" x14ac:dyDescent="0.25">
      <c r="A78" t="s">
        <v>252</v>
      </c>
      <c r="B78" t="s">
        <v>253</v>
      </c>
      <c r="C78" t="s">
        <v>62</v>
      </c>
      <c r="E78" t="str">
        <f>"009939486907"</f>
        <v>009939486907</v>
      </c>
      <c r="F78" s="1">
        <v>44148</v>
      </c>
      <c r="G78">
        <v>202105</v>
      </c>
      <c r="H78" t="s">
        <v>66</v>
      </c>
      <c r="I78" t="s">
        <v>67</v>
      </c>
      <c r="J78" t="s">
        <v>457</v>
      </c>
      <c r="K78" t="s">
        <v>65</v>
      </c>
      <c r="L78" t="s">
        <v>107</v>
      </c>
      <c r="M78" t="s">
        <v>92</v>
      </c>
      <c r="N78" t="s">
        <v>350</v>
      </c>
      <c r="O78" t="s">
        <v>73</v>
      </c>
      <c r="P78" t="str">
        <f>"...                           "</f>
        <v xml:space="preserve">...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4.4000000000000004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 s="3"/>
      <c r="BD78" s="3"/>
      <c r="BE78" s="3"/>
      <c r="BF78" s="3"/>
      <c r="BG78">
        <v>0</v>
      </c>
      <c r="BH78">
        <v>1</v>
      </c>
      <c r="BI78">
        <v>1</v>
      </c>
      <c r="BJ78">
        <v>0.2</v>
      </c>
      <c r="BK78">
        <v>1</v>
      </c>
      <c r="BL78">
        <v>46.27</v>
      </c>
      <c r="BM78">
        <v>6.94</v>
      </c>
      <c r="BN78">
        <v>53.21</v>
      </c>
      <c r="BO78">
        <v>53.21</v>
      </c>
      <c r="BQ78" t="s">
        <v>396</v>
      </c>
      <c r="BR78" t="s">
        <v>245</v>
      </c>
      <c r="BS78" s="1">
        <v>44151</v>
      </c>
      <c r="BT78" s="2">
        <v>0.41875000000000001</v>
      </c>
      <c r="BU78" t="s">
        <v>458</v>
      </c>
      <c r="BV78" t="s">
        <v>69</v>
      </c>
      <c r="BY78">
        <v>1200</v>
      </c>
      <c r="BZ78" t="s">
        <v>19</v>
      </c>
      <c r="CA78" t="s">
        <v>103</v>
      </c>
      <c r="CC78" t="s">
        <v>92</v>
      </c>
      <c r="CD78">
        <v>8000</v>
      </c>
      <c r="CE78" t="s">
        <v>71</v>
      </c>
      <c r="CF78" s="1">
        <v>44153</v>
      </c>
      <c r="CI78">
        <v>1</v>
      </c>
      <c r="CJ78">
        <v>1</v>
      </c>
      <c r="CK78">
        <v>21</v>
      </c>
      <c r="CL78" t="s">
        <v>72</v>
      </c>
    </row>
    <row r="79" spans="1:90" x14ac:dyDescent="0.25">
      <c r="A79" t="s">
        <v>252</v>
      </c>
      <c r="B79" t="s">
        <v>253</v>
      </c>
      <c r="C79" t="s">
        <v>62</v>
      </c>
      <c r="E79" t="str">
        <f>"009940541729"</f>
        <v>009940541729</v>
      </c>
      <c r="F79" s="1">
        <v>44153</v>
      </c>
      <c r="G79">
        <v>202105</v>
      </c>
      <c r="H79" t="s">
        <v>107</v>
      </c>
      <c r="I79" t="s">
        <v>92</v>
      </c>
      <c r="J79" t="s">
        <v>247</v>
      </c>
      <c r="K79" t="s">
        <v>65</v>
      </c>
      <c r="L79" t="s">
        <v>150</v>
      </c>
      <c r="M79" t="s">
        <v>151</v>
      </c>
      <c r="N79" t="s">
        <v>459</v>
      </c>
      <c r="O79" t="s">
        <v>73</v>
      </c>
      <c r="P79" t="str">
        <f>"JHB                           "</f>
        <v xml:space="preserve">JHB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4.4000000000000004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 s="3"/>
      <c r="BD79" s="3"/>
      <c r="BE79" s="3"/>
      <c r="BF79" s="3"/>
      <c r="BG79">
        <v>0</v>
      </c>
      <c r="BH79">
        <v>1</v>
      </c>
      <c r="BI79">
        <v>0.8</v>
      </c>
      <c r="BJ79">
        <v>0.7</v>
      </c>
      <c r="BK79">
        <v>1</v>
      </c>
      <c r="BL79">
        <v>46.27</v>
      </c>
      <c r="BM79">
        <v>6.94</v>
      </c>
      <c r="BN79">
        <v>53.21</v>
      </c>
      <c r="BO79">
        <v>53.21</v>
      </c>
      <c r="BQ79" t="s">
        <v>460</v>
      </c>
      <c r="BR79" t="s">
        <v>255</v>
      </c>
      <c r="BS79" s="1">
        <v>44155</v>
      </c>
      <c r="BT79" s="2">
        <v>0.34722222222222227</v>
      </c>
      <c r="BU79" t="s">
        <v>215</v>
      </c>
      <c r="BV79" t="s">
        <v>72</v>
      </c>
      <c r="BW79" t="s">
        <v>81</v>
      </c>
      <c r="BX79" t="s">
        <v>132</v>
      </c>
      <c r="BY79">
        <v>3492.72</v>
      </c>
      <c r="BZ79" t="s">
        <v>19</v>
      </c>
      <c r="CA79" t="s">
        <v>125</v>
      </c>
      <c r="CC79" t="s">
        <v>151</v>
      </c>
      <c r="CD79">
        <v>1683</v>
      </c>
      <c r="CE79" t="s">
        <v>71</v>
      </c>
      <c r="CF79" s="1">
        <v>44156</v>
      </c>
      <c r="CI79">
        <v>1</v>
      </c>
      <c r="CJ79">
        <v>2</v>
      </c>
      <c r="CK79">
        <v>21</v>
      </c>
      <c r="CL79" t="s">
        <v>72</v>
      </c>
    </row>
    <row r="80" spans="1:90" x14ac:dyDescent="0.25">
      <c r="A80" t="s">
        <v>252</v>
      </c>
      <c r="B80" t="s">
        <v>253</v>
      </c>
      <c r="C80" t="s">
        <v>62</v>
      </c>
      <c r="E80" t="str">
        <f>"009938634375"</f>
        <v>009938634375</v>
      </c>
      <c r="F80" s="1">
        <v>44147</v>
      </c>
      <c r="G80">
        <v>202105</v>
      </c>
      <c r="H80" t="s">
        <v>109</v>
      </c>
      <c r="I80" t="s">
        <v>95</v>
      </c>
      <c r="J80" t="s">
        <v>328</v>
      </c>
      <c r="K80" t="s">
        <v>65</v>
      </c>
      <c r="L80" t="s">
        <v>107</v>
      </c>
      <c r="M80" t="s">
        <v>92</v>
      </c>
      <c r="N80" t="s">
        <v>461</v>
      </c>
      <c r="O80" t="s">
        <v>73</v>
      </c>
      <c r="P80" t="str">
        <f>"NO REF.                       "</f>
        <v xml:space="preserve">NO REF.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4.4000000000000004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 s="3"/>
      <c r="BD80" s="3"/>
      <c r="BE80" s="3"/>
      <c r="BF80" s="3"/>
      <c r="BG80">
        <v>0</v>
      </c>
      <c r="BH80">
        <v>1</v>
      </c>
      <c r="BI80">
        <v>1</v>
      </c>
      <c r="BJ80">
        <v>0.2</v>
      </c>
      <c r="BK80">
        <v>1</v>
      </c>
      <c r="BL80">
        <v>46.27</v>
      </c>
      <c r="BM80">
        <v>6.94</v>
      </c>
      <c r="BN80">
        <v>53.21</v>
      </c>
      <c r="BO80">
        <v>53.21</v>
      </c>
      <c r="BQ80" t="s">
        <v>396</v>
      </c>
      <c r="BR80" t="s">
        <v>331</v>
      </c>
      <c r="BS80" s="1">
        <v>44148</v>
      </c>
      <c r="BT80" s="2">
        <v>0.4770833333333333</v>
      </c>
      <c r="BU80" t="s">
        <v>407</v>
      </c>
      <c r="BV80" t="s">
        <v>72</v>
      </c>
      <c r="BY80">
        <v>1200</v>
      </c>
      <c r="BZ80" t="s">
        <v>19</v>
      </c>
      <c r="CA80" t="s">
        <v>103</v>
      </c>
      <c r="CC80" t="s">
        <v>92</v>
      </c>
      <c r="CD80">
        <v>8000</v>
      </c>
      <c r="CE80" t="s">
        <v>108</v>
      </c>
      <c r="CF80" s="1">
        <v>44151</v>
      </c>
      <c r="CI80">
        <v>1</v>
      </c>
      <c r="CJ80">
        <v>1</v>
      </c>
      <c r="CK80">
        <v>21</v>
      </c>
      <c r="CL80" t="s">
        <v>72</v>
      </c>
    </row>
    <row r="81" spans="1:90" x14ac:dyDescent="0.25">
      <c r="A81" t="s">
        <v>252</v>
      </c>
      <c r="B81" t="s">
        <v>253</v>
      </c>
      <c r="C81" t="s">
        <v>62</v>
      </c>
      <c r="E81" t="str">
        <f>"009940541775"</f>
        <v>009940541775</v>
      </c>
      <c r="F81" s="1">
        <v>44153</v>
      </c>
      <c r="G81">
        <v>202105</v>
      </c>
      <c r="H81" t="s">
        <v>107</v>
      </c>
      <c r="I81" t="s">
        <v>92</v>
      </c>
      <c r="J81" t="s">
        <v>247</v>
      </c>
      <c r="K81" t="s">
        <v>65</v>
      </c>
      <c r="L81" t="s">
        <v>107</v>
      </c>
      <c r="M81" t="s">
        <v>92</v>
      </c>
      <c r="N81" t="s">
        <v>299</v>
      </c>
      <c r="O81" t="s">
        <v>154</v>
      </c>
      <c r="P81" t="str">
        <f>"MT CT                         "</f>
        <v xml:space="preserve">MT CT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3.43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 s="3"/>
      <c r="BD81" s="3"/>
      <c r="BE81" s="3"/>
      <c r="BF81" s="3"/>
      <c r="BG81">
        <v>0</v>
      </c>
      <c r="BH81">
        <v>1</v>
      </c>
      <c r="BI81">
        <v>1</v>
      </c>
      <c r="BJ81">
        <v>0.2</v>
      </c>
      <c r="BK81">
        <v>1</v>
      </c>
      <c r="BL81">
        <v>36.14</v>
      </c>
      <c r="BM81">
        <v>5.42</v>
      </c>
      <c r="BN81">
        <v>41.56</v>
      </c>
      <c r="BO81">
        <v>41.56</v>
      </c>
      <c r="BQ81" t="s">
        <v>462</v>
      </c>
      <c r="BR81" t="s">
        <v>255</v>
      </c>
      <c r="BS81" s="1">
        <v>44154</v>
      </c>
      <c r="BT81" s="2">
        <v>0.31875000000000003</v>
      </c>
      <c r="BU81" t="s">
        <v>184</v>
      </c>
      <c r="BV81" t="s">
        <v>69</v>
      </c>
      <c r="BY81">
        <v>1200</v>
      </c>
      <c r="CA81" t="s">
        <v>112</v>
      </c>
      <c r="CC81" t="s">
        <v>92</v>
      </c>
      <c r="CD81">
        <v>7505</v>
      </c>
      <c r="CE81" t="s">
        <v>71</v>
      </c>
      <c r="CF81" s="1">
        <v>44155</v>
      </c>
      <c r="CI81">
        <v>1</v>
      </c>
      <c r="CJ81">
        <v>1</v>
      </c>
      <c r="CK81">
        <v>32</v>
      </c>
      <c r="CL81" t="s">
        <v>72</v>
      </c>
    </row>
    <row r="82" spans="1:90" x14ac:dyDescent="0.25">
      <c r="A82" t="s">
        <v>252</v>
      </c>
      <c r="B82" t="s">
        <v>253</v>
      </c>
      <c r="C82" t="s">
        <v>62</v>
      </c>
      <c r="E82" t="str">
        <f>"009940541783"</f>
        <v>009940541783</v>
      </c>
      <c r="F82" s="1">
        <v>44151</v>
      </c>
      <c r="G82">
        <v>202105</v>
      </c>
      <c r="H82" t="s">
        <v>107</v>
      </c>
      <c r="I82" t="s">
        <v>92</v>
      </c>
      <c r="J82" t="s">
        <v>247</v>
      </c>
      <c r="K82" t="s">
        <v>65</v>
      </c>
      <c r="L82" t="s">
        <v>463</v>
      </c>
      <c r="M82" t="s">
        <v>464</v>
      </c>
      <c r="N82" t="s">
        <v>208</v>
      </c>
      <c r="O82" t="s">
        <v>73</v>
      </c>
      <c r="P82" t="str">
        <f>"MT-CT                         "</f>
        <v xml:space="preserve">MT-CT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6.18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 s="3"/>
      <c r="BD82" s="3"/>
      <c r="BE82" s="3"/>
      <c r="BF82" s="3"/>
      <c r="BG82">
        <v>0</v>
      </c>
      <c r="BH82">
        <v>1</v>
      </c>
      <c r="BI82">
        <v>0.8</v>
      </c>
      <c r="BJ82">
        <v>1.5</v>
      </c>
      <c r="BK82">
        <v>1.5</v>
      </c>
      <c r="BL82">
        <v>65.06</v>
      </c>
      <c r="BM82">
        <v>9.76</v>
      </c>
      <c r="BN82">
        <v>74.819999999999993</v>
      </c>
      <c r="BO82">
        <v>74.819999999999993</v>
      </c>
      <c r="BQ82" t="s">
        <v>465</v>
      </c>
      <c r="BR82" t="s">
        <v>255</v>
      </c>
      <c r="BS82" s="1">
        <v>44152</v>
      </c>
      <c r="BT82" s="2">
        <v>0.31736111111111115</v>
      </c>
      <c r="BU82" t="s">
        <v>466</v>
      </c>
      <c r="BV82" t="s">
        <v>69</v>
      </c>
      <c r="BY82">
        <v>7353.01</v>
      </c>
      <c r="BZ82" t="s">
        <v>19</v>
      </c>
      <c r="CA82" t="s">
        <v>467</v>
      </c>
      <c r="CC82" t="s">
        <v>464</v>
      </c>
      <c r="CD82">
        <v>8190</v>
      </c>
      <c r="CE82" t="s">
        <v>71</v>
      </c>
      <c r="CF82" s="1">
        <v>44154</v>
      </c>
      <c r="CI82">
        <v>2</v>
      </c>
      <c r="CJ82">
        <v>1</v>
      </c>
      <c r="CK82">
        <v>24</v>
      </c>
      <c r="CL82" t="s">
        <v>72</v>
      </c>
    </row>
    <row r="83" spans="1:90" x14ac:dyDescent="0.25">
      <c r="A83" t="s">
        <v>252</v>
      </c>
      <c r="B83" t="s">
        <v>253</v>
      </c>
      <c r="C83" t="s">
        <v>62</v>
      </c>
      <c r="E83" t="str">
        <f>"009940360386"</f>
        <v>009940360386</v>
      </c>
      <c r="F83" s="1">
        <v>44154</v>
      </c>
      <c r="G83">
        <v>202105</v>
      </c>
      <c r="H83" t="s">
        <v>101</v>
      </c>
      <c r="I83" t="s">
        <v>102</v>
      </c>
      <c r="J83" t="s">
        <v>328</v>
      </c>
      <c r="K83" t="s">
        <v>65</v>
      </c>
      <c r="L83" t="s">
        <v>121</v>
      </c>
      <c r="M83" t="s">
        <v>122</v>
      </c>
      <c r="N83" t="s">
        <v>468</v>
      </c>
      <c r="O83" t="s">
        <v>73</v>
      </c>
      <c r="P83" t="str">
        <f>"11912270 FM                   "</f>
        <v xml:space="preserve">11912270 FM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4.4000000000000004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 s="3"/>
      <c r="BD83" s="3"/>
      <c r="BE83" s="3"/>
      <c r="BF83" s="3"/>
      <c r="BG83">
        <v>0</v>
      </c>
      <c r="BH83">
        <v>1</v>
      </c>
      <c r="BI83">
        <v>1</v>
      </c>
      <c r="BJ83">
        <v>0.2</v>
      </c>
      <c r="BK83">
        <v>1</v>
      </c>
      <c r="BL83">
        <v>46.27</v>
      </c>
      <c r="BM83">
        <v>6.94</v>
      </c>
      <c r="BN83">
        <v>53.21</v>
      </c>
      <c r="BO83">
        <v>53.21</v>
      </c>
      <c r="BQ83" t="s">
        <v>469</v>
      </c>
      <c r="BR83" t="s">
        <v>371</v>
      </c>
      <c r="BS83" s="1">
        <v>44155</v>
      </c>
      <c r="BT83" s="2">
        <v>0.49236111111111108</v>
      </c>
      <c r="BU83" t="s">
        <v>470</v>
      </c>
      <c r="BV83" t="s">
        <v>72</v>
      </c>
      <c r="BW83" t="s">
        <v>81</v>
      </c>
      <c r="BX83" t="s">
        <v>147</v>
      </c>
      <c r="BY83">
        <v>1200</v>
      </c>
      <c r="BZ83" t="s">
        <v>19</v>
      </c>
      <c r="CA83" t="s">
        <v>128</v>
      </c>
      <c r="CC83" t="s">
        <v>122</v>
      </c>
      <c r="CD83">
        <v>46</v>
      </c>
      <c r="CE83" t="s">
        <v>71</v>
      </c>
      <c r="CF83" s="1">
        <v>44158</v>
      </c>
      <c r="CI83">
        <v>1</v>
      </c>
      <c r="CJ83">
        <v>1</v>
      </c>
      <c r="CK83">
        <v>21</v>
      </c>
      <c r="CL83" t="s">
        <v>72</v>
      </c>
    </row>
    <row r="84" spans="1:90" x14ac:dyDescent="0.25">
      <c r="A84" t="s">
        <v>252</v>
      </c>
      <c r="B84" t="s">
        <v>253</v>
      </c>
      <c r="C84" t="s">
        <v>62</v>
      </c>
      <c r="E84" t="str">
        <f>"009940377934"</f>
        <v>009940377934</v>
      </c>
      <c r="F84" s="1">
        <v>44148</v>
      </c>
      <c r="G84">
        <v>202105</v>
      </c>
      <c r="H84" t="s">
        <v>107</v>
      </c>
      <c r="I84" t="s">
        <v>92</v>
      </c>
      <c r="J84" t="s">
        <v>328</v>
      </c>
      <c r="K84" t="s">
        <v>65</v>
      </c>
      <c r="L84" t="s">
        <v>109</v>
      </c>
      <c r="M84" t="s">
        <v>95</v>
      </c>
      <c r="N84" t="s">
        <v>471</v>
      </c>
      <c r="O84" t="s">
        <v>154</v>
      </c>
      <c r="P84" t="str">
        <f>"                              "</f>
        <v xml:space="preserve">  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8.24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 s="3"/>
      <c r="BD84" s="3"/>
      <c r="BE84" s="3"/>
      <c r="BF84" s="3"/>
      <c r="BG84">
        <v>0</v>
      </c>
      <c r="BH84">
        <v>1</v>
      </c>
      <c r="BI84">
        <v>0.1</v>
      </c>
      <c r="BJ84">
        <v>0.1</v>
      </c>
      <c r="BK84">
        <v>1</v>
      </c>
      <c r="BL84">
        <v>86.74</v>
      </c>
      <c r="BM84">
        <v>13.01</v>
      </c>
      <c r="BN84">
        <v>99.75</v>
      </c>
      <c r="BO84">
        <v>99.75</v>
      </c>
      <c r="BQ84" t="s">
        <v>472</v>
      </c>
      <c r="BR84" t="s">
        <v>473</v>
      </c>
      <c r="BS84" s="1">
        <v>44151</v>
      </c>
      <c r="BT84" s="2">
        <v>0.47222222222222227</v>
      </c>
      <c r="BU84" t="s">
        <v>474</v>
      </c>
      <c r="BV84" t="s">
        <v>69</v>
      </c>
      <c r="BY84">
        <v>715.29</v>
      </c>
      <c r="BZ84" t="s">
        <v>191</v>
      </c>
      <c r="CA84" t="s">
        <v>106</v>
      </c>
      <c r="CC84" t="s">
        <v>95</v>
      </c>
      <c r="CD84">
        <v>157</v>
      </c>
      <c r="CE84" t="s">
        <v>475</v>
      </c>
      <c r="CF84" s="1">
        <v>44152</v>
      </c>
      <c r="CI84">
        <v>1</v>
      </c>
      <c r="CJ84">
        <v>1</v>
      </c>
      <c r="CK84">
        <v>31</v>
      </c>
      <c r="CL84" t="s">
        <v>72</v>
      </c>
    </row>
    <row r="85" spans="1:90" x14ac:dyDescent="0.25">
      <c r="A85" t="s">
        <v>252</v>
      </c>
      <c r="B85" t="s">
        <v>253</v>
      </c>
      <c r="C85" t="s">
        <v>62</v>
      </c>
      <c r="E85" t="str">
        <f>"009940360384"</f>
        <v>009940360384</v>
      </c>
      <c r="F85" s="1">
        <v>44154</v>
      </c>
      <c r="G85">
        <v>202105</v>
      </c>
      <c r="H85" t="s">
        <v>101</v>
      </c>
      <c r="I85" t="s">
        <v>102</v>
      </c>
      <c r="J85" t="s">
        <v>328</v>
      </c>
      <c r="K85" t="s">
        <v>65</v>
      </c>
      <c r="L85" t="s">
        <v>99</v>
      </c>
      <c r="M85" t="s">
        <v>100</v>
      </c>
      <c r="N85" t="s">
        <v>329</v>
      </c>
      <c r="O85" t="s">
        <v>73</v>
      </c>
      <c r="P85" t="str">
        <f>"11912270 FM                   "</f>
        <v xml:space="preserve">11912270 FM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10.99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 s="3"/>
      <c r="BD85" s="3"/>
      <c r="BE85" s="3"/>
      <c r="BF85" s="3"/>
      <c r="BG85">
        <v>0</v>
      </c>
      <c r="BH85">
        <v>1</v>
      </c>
      <c r="BI85">
        <v>5</v>
      </c>
      <c r="BJ85">
        <v>2.7</v>
      </c>
      <c r="BK85">
        <v>5</v>
      </c>
      <c r="BL85">
        <v>115.62</v>
      </c>
      <c r="BM85">
        <v>17.34</v>
      </c>
      <c r="BN85">
        <v>132.96</v>
      </c>
      <c r="BO85">
        <v>132.96</v>
      </c>
      <c r="BQ85" t="s">
        <v>476</v>
      </c>
      <c r="BR85" t="s">
        <v>371</v>
      </c>
      <c r="BS85" s="1">
        <v>44158</v>
      </c>
      <c r="BT85" s="2">
        <v>0.58333333333333337</v>
      </c>
      <c r="BU85" t="s">
        <v>425</v>
      </c>
      <c r="BV85" t="s">
        <v>72</v>
      </c>
      <c r="BW85" t="s">
        <v>76</v>
      </c>
      <c r="BX85" t="s">
        <v>118</v>
      </c>
      <c r="BY85">
        <v>13600</v>
      </c>
      <c r="BZ85" t="s">
        <v>19</v>
      </c>
      <c r="CA85" t="s">
        <v>164</v>
      </c>
      <c r="CC85" t="s">
        <v>100</v>
      </c>
      <c r="CD85">
        <v>5247</v>
      </c>
      <c r="CE85" t="s">
        <v>71</v>
      </c>
      <c r="CF85" s="1">
        <v>44158</v>
      </c>
      <c r="CI85">
        <v>1</v>
      </c>
      <c r="CJ85">
        <v>2</v>
      </c>
      <c r="CK85">
        <v>21</v>
      </c>
      <c r="CL85" t="s">
        <v>72</v>
      </c>
    </row>
    <row r="86" spans="1:90" x14ac:dyDescent="0.25">
      <c r="A86" t="s">
        <v>252</v>
      </c>
      <c r="B86" t="s">
        <v>253</v>
      </c>
      <c r="C86" t="s">
        <v>62</v>
      </c>
      <c r="E86" t="str">
        <f>"029908452230"</f>
        <v>029908452230</v>
      </c>
      <c r="F86" s="1">
        <v>44146</v>
      </c>
      <c r="G86">
        <v>202105</v>
      </c>
      <c r="H86" t="s">
        <v>63</v>
      </c>
      <c r="I86" t="s">
        <v>64</v>
      </c>
      <c r="J86" t="s">
        <v>426</v>
      </c>
      <c r="K86" t="s">
        <v>65</v>
      </c>
      <c r="L86" t="s">
        <v>78</v>
      </c>
      <c r="M86" t="s">
        <v>79</v>
      </c>
      <c r="N86" t="s">
        <v>477</v>
      </c>
      <c r="O86" t="s">
        <v>73</v>
      </c>
      <c r="P86" t="str">
        <f>"11972270FM                    "</f>
        <v xml:space="preserve">11972270FM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147.18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 s="3"/>
      <c r="BD86" s="3"/>
      <c r="BE86" s="3"/>
      <c r="BF86" s="3"/>
      <c r="BG86">
        <v>0</v>
      </c>
      <c r="BH86">
        <v>4</v>
      </c>
      <c r="BI86">
        <v>18.899999999999999</v>
      </c>
      <c r="BJ86">
        <v>66.900000000000006</v>
      </c>
      <c r="BK86">
        <v>67</v>
      </c>
      <c r="BL86">
        <v>1548.85</v>
      </c>
      <c r="BM86">
        <v>232.33</v>
      </c>
      <c r="BN86">
        <v>1781.18</v>
      </c>
      <c r="BO86">
        <v>1781.18</v>
      </c>
      <c r="BQ86" t="s">
        <v>478</v>
      </c>
      <c r="BR86" t="s">
        <v>479</v>
      </c>
      <c r="BS86" s="1">
        <v>44147</v>
      </c>
      <c r="BT86" s="2">
        <v>0.41111111111111115</v>
      </c>
      <c r="BU86" t="s">
        <v>480</v>
      </c>
      <c r="BV86" t="s">
        <v>69</v>
      </c>
      <c r="BY86">
        <v>147030</v>
      </c>
      <c r="BZ86" t="s">
        <v>19</v>
      </c>
      <c r="CA86" t="s">
        <v>106</v>
      </c>
      <c r="CC86" t="s">
        <v>79</v>
      </c>
      <c r="CD86">
        <v>2021</v>
      </c>
      <c r="CE86" t="s">
        <v>71</v>
      </c>
      <c r="CF86" s="1">
        <v>44148</v>
      </c>
      <c r="CI86">
        <v>1</v>
      </c>
      <c r="CJ86">
        <v>1</v>
      </c>
      <c r="CK86">
        <v>21</v>
      </c>
      <c r="CL86" t="s">
        <v>72</v>
      </c>
    </row>
    <row r="87" spans="1:90" x14ac:dyDescent="0.25">
      <c r="A87" t="s">
        <v>252</v>
      </c>
      <c r="B87" t="s">
        <v>253</v>
      </c>
      <c r="C87" t="s">
        <v>62</v>
      </c>
      <c r="E87" t="str">
        <f>"009940170347"</f>
        <v>009940170347</v>
      </c>
      <c r="F87" s="1">
        <v>44155</v>
      </c>
      <c r="G87">
        <v>202105</v>
      </c>
      <c r="H87" t="s">
        <v>78</v>
      </c>
      <c r="I87" t="s">
        <v>79</v>
      </c>
      <c r="J87" t="s">
        <v>481</v>
      </c>
      <c r="K87" t="s">
        <v>65</v>
      </c>
      <c r="L87" t="s">
        <v>161</v>
      </c>
      <c r="M87" t="s">
        <v>162</v>
      </c>
      <c r="N87" t="s">
        <v>482</v>
      </c>
      <c r="O87" t="s">
        <v>73</v>
      </c>
      <c r="P87" t="str">
        <f>"11005506HR 460060             "</f>
        <v xml:space="preserve">11005506HR 460060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8.52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 s="3"/>
      <c r="BD87" s="3"/>
      <c r="BE87" s="3"/>
      <c r="BF87" s="3"/>
      <c r="BG87">
        <v>0</v>
      </c>
      <c r="BH87">
        <v>1</v>
      </c>
      <c r="BI87">
        <v>0.2</v>
      </c>
      <c r="BJ87">
        <v>0.8</v>
      </c>
      <c r="BK87">
        <v>1</v>
      </c>
      <c r="BL87">
        <v>89.64</v>
      </c>
      <c r="BM87">
        <v>13.45</v>
      </c>
      <c r="BN87">
        <v>103.09</v>
      </c>
      <c r="BO87">
        <v>103.09</v>
      </c>
      <c r="BQ87" t="s">
        <v>483</v>
      </c>
      <c r="BR87" t="s">
        <v>484</v>
      </c>
      <c r="BS87" s="1">
        <v>44159</v>
      </c>
      <c r="BT87" s="2">
        <v>0.61111111111111105</v>
      </c>
      <c r="BU87" t="s">
        <v>485</v>
      </c>
      <c r="BV87" t="s">
        <v>69</v>
      </c>
      <c r="BY87">
        <v>3815.62</v>
      </c>
      <c r="BZ87" t="s">
        <v>19</v>
      </c>
      <c r="CA87" t="s">
        <v>163</v>
      </c>
      <c r="CC87" t="s">
        <v>162</v>
      </c>
      <c r="CD87">
        <v>7200</v>
      </c>
      <c r="CE87" t="s">
        <v>71</v>
      </c>
      <c r="CF87" s="1">
        <v>44161</v>
      </c>
      <c r="CI87">
        <v>3</v>
      </c>
      <c r="CJ87">
        <v>2</v>
      </c>
      <c r="CK87">
        <v>23</v>
      </c>
      <c r="CL87" t="s">
        <v>72</v>
      </c>
    </row>
    <row r="88" spans="1:90" x14ac:dyDescent="0.25">
      <c r="A88" t="s">
        <v>252</v>
      </c>
      <c r="B88" t="s">
        <v>253</v>
      </c>
      <c r="C88" t="s">
        <v>62</v>
      </c>
      <c r="E88" t="str">
        <f>"009940360388"</f>
        <v>009940360388</v>
      </c>
      <c r="F88" s="1">
        <v>44146</v>
      </c>
      <c r="G88">
        <v>202105</v>
      </c>
      <c r="H88" t="s">
        <v>101</v>
      </c>
      <c r="I88" t="s">
        <v>102</v>
      </c>
      <c r="J88" t="s">
        <v>328</v>
      </c>
      <c r="K88" t="s">
        <v>65</v>
      </c>
      <c r="L88" t="s">
        <v>78</v>
      </c>
      <c r="M88" t="s">
        <v>79</v>
      </c>
      <c r="N88" t="s">
        <v>329</v>
      </c>
      <c r="O88" t="s">
        <v>73</v>
      </c>
      <c r="P88" t="str">
        <f>"11912270 FM                   "</f>
        <v xml:space="preserve">11912270 FM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4.4000000000000004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 s="3"/>
      <c r="BD88" s="3"/>
      <c r="BE88" s="3"/>
      <c r="BF88" s="3"/>
      <c r="BG88">
        <v>0</v>
      </c>
      <c r="BH88">
        <v>1</v>
      </c>
      <c r="BI88">
        <v>1</v>
      </c>
      <c r="BJ88">
        <v>1.2</v>
      </c>
      <c r="BK88">
        <v>1.5</v>
      </c>
      <c r="BL88">
        <v>46.27</v>
      </c>
      <c r="BM88">
        <v>6.94</v>
      </c>
      <c r="BN88">
        <v>53.21</v>
      </c>
      <c r="BO88">
        <v>53.21</v>
      </c>
      <c r="BQ88" t="s">
        <v>486</v>
      </c>
      <c r="BR88" t="s">
        <v>371</v>
      </c>
      <c r="BS88" s="1">
        <v>44147</v>
      </c>
      <c r="BT88" s="2">
        <v>0.32083333333333336</v>
      </c>
      <c r="BU88" t="s">
        <v>178</v>
      </c>
      <c r="BV88" t="s">
        <v>69</v>
      </c>
      <c r="BY88">
        <v>6000</v>
      </c>
      <c r="BZ88" t="s">
        <v>19</v>
      </c>
      <c r="CA88" t="s">
        <v>179</v>
      </c>
      <c r="CC88" t="s">
        <v>79</v>
      </c>
      <c r="CD88">
        <v>2021</v>
      </c>
      <c r="CE88" t="s">
        <v>71</v>
      </c>
      <c r="CF88" s="1">
        <v>44148</v>
      </c>
      <c r="CI88">
        <v>1</v>
      </c>
      <c r="CJ88">
        <v>1</v>
      </c>
      <c r="CK88">
        <v>21</v>
      </c>
      <c r="CL88" t="s">
        <v>72</v>
      </c>
    </row>
    <row r="89" spans="1:90" x14ac:dyDescent="0.25">
      <c r="A89" t="s">
        <v>252</v>
      </c>
      <c r="B89" t="s">
        <v>253</v>
      </c>
      <c r="C89" t="s">
        <v>62</v>
      </c>
      <c r="E89" t="str">
        <f>"009938822214"</f>
        <v>009938822214</v>
      </c>
      <c r="F89" s="1">
        <v>44153</v>
      </c>
      <c r="G89">
        <v>202105</v>
      </c>
      <c r="H89" t="s">
        <v>66</v>
      </c>
      <c r="I89" t="s">
        <v>67</v>
      </c>
      <c r="J89" t="s">
        <v>329</v>
      </c>
      <c r="K89" t="s">
        <v>65</v>
      </c>
      <c r="L89" t="s">
        <v>107</v>
      </c>
      <c r="M89" t="s">
        <v>92</v>
      </c>
      <c r="N89" t="s">
        <v>350</v>
      </c>
      <c r="O89" t="s">
        <v>73</v>
      </c>
      <c r="P89" t="str">
        <f>"...                           "</f>
        <v xml:space="preserve">...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4.4000000000000004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 s="3"/>
      <c r="BD89" s="3"/>
      <c r="BE89" s="3"/>
      <c r="BF89" s="3"/>
      <c r="BG89">
        <v>0</v>
      </c>
      <c r="BH89">
        <v>1</v>
      </c>
      <c r="BI89">
        <v>1</v>
      </c>
      <c r="BJ89">
        <v>0.2</v>
      </c>
      <c r="BK89">
        <v>1</v>
      </c>
      <c r="BL89">
        <v>46.27</v>
      </c>
      <c r="BM89">
        <v>6.94</v>
      </c>
      <c r="BN89">
        <v>53.21</v>
      </c>
      <c r="BO89">
        <v>53.21</v>
      </c>
      <c r="BQ89" t="s">
        <v>487</v>
      </c>
      <c r="BR89" t="s">
        <v>488</v>
      </c>
      <c r="BS89" s="1">
        <v>44154</v>
      </c>
      <c r="BT89" s="2">
        <v>0.43263888888888885</v>
      </c>
      <c r="BU89" t="s">
        <v>489</v>
      </c>
      <c r="BV89" t="s">
        <v>69</v>
      </c>
      <c r="BY89">
        <v>1200</v>
      </c>
      <c r="BZ89" t="s">
        <v>19</v>
      </c>
      <c r="CA89" t="s">
        <v>103</v>
      </c>
      <c r="CC89" t="s">
        <v>92</v>
      </c>
      <c r="CD89">
        <v>8000</v>
      </c>
      <c r="CE89" t="s">
        <v>71</v>
      </c>
      <c r="CF89" s="1">
        <v>44155</v>
      </c>
      <c r="CI89">
        <v>1</v>
      </c>
      <c r="CJ89">
        <v>1</v>
      </c>
      <c r="CK89">
        <v>21</v>
      </c>
      <c r="CL89" t="s">
        <v>72</v>
      </c>
    </row>
    <row r="90" spans="1:90" x14ac:dyDescent="0.25">
      <c r="A90" t="s">
        <v>252</v>
      </c>
      <c r="B90" t="s">
        <v>253</v>
      </c>
      <c r="C90" t="s">
        <v>62</v>
      </c>
      <c r="E90" t="str">
        <f>"009940541756"</f>
        <v>009940541756</v>
      </c>
      <c r="F90" s="1">
        <v>44140</v>
      </c>
      <c r="G90">
        <v>202105</v>
      </c>
      <c r="H90" t="s">
        <v>107</v>
      </c>
      <c r="I90" t="s">
        <v>92</v>
      </c>
      <c r="J90" t="s">
        <v>247</v>
      </c>
      <c r="K90" t="s">
        <v>65</v>
      </c>
      <c r="L90" t="s">
        <v>107</v>
      </c>
      <c r="M90" t="s">
        <v>92</v>
      </c>
      <c r="N90" t="s">
        <v>65</v>
      </c>
      <c r="O90" t="s">
        <v>73</v>
      </c>
      <c r="P90" t="str">
        <f>"NA                            "</f>
        <v xml:space="preserve">NA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3.43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 s="3"/>
      <c r="BD90" s="3"/>
      <c r="BE90" s="3"/>
      <c r="BF90" s="3"/>
      <c r="BG90">
        <v>0</v>
      </c>
      <c r="BH90">
        <v>1</v>
      </c>
      <c r="BI90">
        <v>0.7</v>
      </c>
      <c r="BJ90">
        <v>1.4</v>
      </c>
      <c r="BK90">
        <v>2</v>
      </c>
      <c r="BL90">
        <v>36.14</v>
      </c>
      <c r="BM90">
        <v>5.42</v>
      </c>
      <c r="BN90">
        <v>41.56</v>
      </c>
      <c r="BO90">
        <v>41.56</v>
      </c>
      <c r="BQ90" t="s">
        <v>490</v>
      </c>
      <c r="BR90" t="s">
        <v>255</v>
      </c>
      <c r="BS90" s="1">
        <v>44144</v>
      </c>
      <c r="BT90" s="2">
        <v>0.3444444444444445</v>
      </c>
      <c r="BU90" t="s">
        <v>491</v>
      </c>
      <c r="BV90" t="s">
        <v>72</v>
      </c>
      <c r="BW90" t="s">
        <v>76</v>
      </c>
      <c r="BX90" t="s">
        <v>120</v>
      </c>
      <c r="BY90">
        <v>7066.4</v>
      </c>
      <c r="BZ90" t="s">
        <v>19</v>
      </c>
      <c r="CC90" t="s">
        <v>92</v>
      </c>
      <c r="CD90">
        <v>8000</v>
      </c>
      <c r="CE90" t="s">
        <v>71</v>
      </c>
      <c r="CF90" s="1">
        <v>44144</v>
      </c>
      <c r="CI90">
        <v>1</v>
      </c>
      <c r="CJ90">
        <v>2</v>
      </c>
      <c r="CK90">
        <v>22</v>
      </c>
      <c r="CL90" t="s">
        <v>72</v>
      </c>
    </row>
    <row r="91" spans="1:90" x14ac:dyDescent="0.25">
      <c r="A91" t="s">
        <v>252</v>
      </c>
      <c r="B91" t="s">
        <v>253</v>
      </c>
      <c r="C91" t="s">
        <v>62</v>
      </c>
      <c r="E91" t="str">
        <f>"009940541769"</f>
        <v>009940541769</v>
      </c>
      <c r="F91" s="1">
        <v>44139</v>
      </c>
      <c r="G91">
        <v>202105</v>
      </c>
      <c r="H91" t="s">
        <v>107</v>
      </c>
      <c r="I91" t="s">
        <v>92</v>
      </c>
      <c r="J91" t="s">
        <v>247</v>
      </c>
      <c r="K91" t="s">
        <v>65</v>
      </c>
      <c r="L91" t="s">
        <v>101</v>
      </c>
      <c r="M91" t="s">
        <v>102</v>
      </c>
      <c r="N91" t="s">
        <v>492</v>
      </c>
      <c r="O91" t="s">
        <v>73</v>
      </c>
      <c r="P91" t="str">
        <f>"NA                            "</f>
        <v xml:space="preserve">NA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4.4000000000000004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 s="3"/>
      <c r="BD91" s="3"/>
      <c r="BE91" s="3"/>
      <c r="BF91" s="3"/>
      <c r="BG91">
        <v>0</v>
      </c>
      <c r="BH91">
        <v>1</v>
      </c>
      <c r="BI91">
        <v>1</v>
      </c>
      <c r="BJ91">
        <v>0.2</v>
      </c>
      <c r="BK91">
        <v>1</v>
      </c>
      <c r="BL91">
        <v>46.27</v>
      </c>
      <c r="BM91">
        <v>6.94</v>
      </c>
      <c r="BN91">
        <v>53.21</v>
      </c>
      <c r="BO91">
        <v>53.21</v>
      </c>
      <c r="BP91" t="s">
        <v>493</v>
      </c>
      <c r="BQ91" t="s">
        <v>386</v>
      </c>
      <c r="BR91" t="s">
        <v>494</v>
      </c>
      <c r="BS91" s="1">
        <v>44140</v>
      </c>
      <c r="BT91" s="2">
        <v>0.40972222222222227</v>
      </c>
      <c r="BU91" t="s">
        <v>433</v>
      </c>
      <c r="BV91" t="s">
        <v>69</v>
      </c>
      <c r="BY91">
        <v>1200</v>
      </c>
      <c r="BZ91" t="s">
        <v>19</v>
      </c>
      <c r="CC91" t="s">
        <v>102</v>
      </c>
      <c r="CD91">
        <v>6001</v>
      </c>
      <c r="CE91" t="s">
        <v>495</v>
      </c>
      <c r="CF91" s="1">
        <v>44140</v>
      </c>
      <c r="CI91">
        <v>1</v>
      </c>
      <c r="CJ91">
        <v>1</v>
      </c>
      <c r="CK91">
        <v>21</v>
      </c>
      <c r="CL91" t="s">
        <v>72</v>
      </c>
    </row>
    <row r="92" spans="1:90" x14ac:dyDescent="0.25">
      <c r="A92" t="s">
        <v>252</v>
      </c>
      <c r="B92" t="s">
        <v>253</v>
      </c>
      <c r="C92" t="s">
        <v>62</v>
      </c>
      <c r="E92" t="str">
        <f>"009940541746"</f>
        <v>009940541746</v>
      </c>
      <c r="F92" s="1">
        <v>44141</v>
      </c>
      <c r="G92">
        <v>202105</v>
      </c>
      <c r="H92" t="s">
        <v>107</v>
      </c>
      <c r="I92" t="s">
        <v>92</v>
      </c>
      <c r="J92" t="s">
        <v>247</v>
      </c>
      <c r="K92" t="s">
        <v>65</v>
      </c>
      <c r="L92" t="s">
        <v>222</v>
      </c>
      <c r="M92" t="s">
        <v>223</v>
      </c>
      <c r="N92" t="s">
        <v>211</v>
      </c>
      <c r="O92" t="s">
        <v>73</v>
      </c>
      <c r="P92" t="str">
        <f>"MT CT                         "</f>
        <v xml:space="preserve">MT CT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4.4000000000000004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 s="3"/>
      <c r="BD92" s="3"/>
      <c r="BE92" s="3"/>
      <c r="BF92" s="3"/>
      <c r="BG92">
        <v>0</v>
      </c>
      <c r="BH92">
        <v>1</v>
      </c>
      <c r="BI92">
        <v>1</v>
      </c>
      <c r="BJ92">
        <v>0.2</v>
      </c>
      <c r="BK92">
        <v>1</v>
      </c>
      <c r="BL92">
        <v>46.27</v>
      </c>
      <c r="BM92">
        <v>6.94</v>
      </c>
      <c r="BN92">
        <v>53.21</v>
      </c>
      <c r="BO92">
        <v>53.21</v>
      </c>
      <c r="BQ92" t="s">
        <v>496</v>
      </c>
      <c r="BR92" t="s">
        <v>255</v>
      </c>
      <c r="BS92" s="1">
        <v>44144</v>
      </c>
      <c r="BT92" s="2">
        <v>0.5</v>
      </c>
      <c r="BU92" t="s">
        <v>201</v>
      </c>
      <c r="BV92" t="s">
        <v>72</v>
      </c>
      <c r="BW92" t="s">
        <v>81</v>
      </c>
      <c r="BX92" t="s">
        <v>236</v>
      </c>
      <c r="BY92">
        <v>1200</v>
      </c>
      <c r="BZ92" t="s">
        <v>19</v>
      </c>
      <c r="CA92" t="s">
        <v>224</v>
      </c>
      <c r="CC92" t="s">
        <v>223</v>
      </c>
      <c r="CD92">
        <v>9330</v>
      </c>
      <c r="CE92" t="s">
        <v>394</v>
      </c>
      <c r="CF92" s="1">
        <v>44145</v>
      </c>
      <c r="CI92">
        <v>1</v>
      </c>
      <c r="CJ92">
        <v>1</v>
      </c>
      <c r="CK92">
        <v>21</v>
      </c>
      <c r="CL92" t="s">
        <v>72</v>
      </c>
    </row>
    <row r="93" spans="1:90" x14ac:dyDescent="0.25">
      <c r="A93" t="s">
        <v>252</v>
      </c>
      <c r="B93" t="s">
        <v>253</v>
      </c>
      <c r="C93" t="s">
        <v>62</v>
      </c>
      <c r="E93" t="str">
        <f>"009940496976"</f>
        <v>009940496976</v>
      </c>
      <c r="F93" s="1">
        <v>44137</v>
      </c>
      <c r="G93">
        <v>202105</v>
      </c>
      <c r="H93" t="s">
        <v>379</v>
      </c>
      <c r="I93" t="s">
        <v>380</v>
      </c>
      <c r="J93" t="s">
        <v>381</v>
      </c>
      <c r="K93" t="s">
        <v>65</v>
      </c>
      <c r="L93" t="s">
        <v>78</v>
      </c>
      <c r="M93" t="s">
        <v>79</v>
      </c>
      <c r="N93" t="s">
        <v>382</v>
      </c>
      <c r="O93" t="s">
        <v>73</v>
      </c>
      <c r="P93" t="str">
        <f>"....                          "</f>
        <v xml:space="preserve">....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6.28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 s="3"/>
      <c r="BD93" s="3"/>
      <c r="BE93" s="3"/>
      <c r="BF93" s="3"/>
      <c r="BG93">
        <v>0</v>
      </c>
      <c r="BH93">
        <v>1</v>
      </c>
      <c r="BI93">
        <v>1</v>
      </c>
      <c r="BJ93">
        <v>0.2</v>
      </c>
      <c r="BK93">
        <v>1</v>
      </c>
      <c r="BL93">
        <v>48.15</v>
      </c>
      <c r="BM93">
        <v>7.22</v>
      </c>
      <c r="BN93">
        <v>55.37</v>
      </c>
      <c r="BO93">
        <v>55.37</v>
      </c>
      <c r="BQ93" t="s">
        <v>230</v>
      </c>
      <c r="BR93" t="s">
        <v>171</v>
      </c>
      <c r="BS93" s="1">
        <v>44138</v>
      </c>
      <c r="BT93" s="2">
        <v>0.32916666666666666</v>
      </c>
      <c r="BU93" t="s">
        <v>384</v>
      </c>
      <c r="BV93" t="s">
        <v>69</v>
      </c>
      <c r="BY93">
        <v>1200</v>
      </c>
      <c r="BZ93" t="s">
        <v>19</v>
      </c>
      <c r="CA93" t="s">
        <v>70</v>
      </c>
      <c r="CC93" t="s">
        <v>79</v>
      </c>
      <c r="CD93">
        <v>2000</v>
      </c>
      <c r="CE93" t="s">
        <v>71</v>
      </c>
      <c r="CF93" s="1">
        <v>44139</v>
      </c>
      <c r="CI93">
        <v>1</v>
      </c>
      <c r="CJ93">
        <v>1</v>
      </c>
      <c r="CK93">
        <v>21</v>
      </c>
      <c r="CL93" t="s">
        <v>72</v>
      </c>
    </row>
    <row r="94" spans="1:90" x14ac:dyDescent="0.25">
      <c r="A94" t="s">
        <v>252</v>
      </c>
      <c r="B94" t="s">
        <v>253</v>
      </c>
      <c r="C94" t="s">
        <v>62</v>
      </c>
      <c r="E94" t="str">
        <f>"009940541755"</f>
        <v>009940541755</v>
      </c>
      <c r="F94" s="1">
        <v>44140</v>
      </c>
      <c r="G94">
        <v>202105</v>
      </c>
      <c r="H94" t="s">
        <v>107</v>
      </c>
      <c r="I94" t="s">
        <v>92</v>
      </c>
      <c r="J94" t="s">
        <v>247</v>
      </c>
      <c r="K94" t="s">
        <v>65</v>
      </c>
      <c r="L94" t="s">
        <v>497</v>
      </c>
      <c r="M94" t="s">
        <v>498</v>
      </c>
      <c r="N94" t="s">
        <v>499</v>
      </c>
      <c r="O94" t="s">
        <v>73</v>
      </c>
      <c r="P94" t="str">
        <f>"NA                            "</f>
        <v xml:space="preserve">NA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8.52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 s="3"/>
      <c r="BD94" s="3"/>
      <c r="BE94" s="3"/>
      <c r="BF94" s="3"/>
      <c r="BG94">
        <v>0</v>
      </c>
      <c r="BH94">
        <v>1</v>
      </c>
      <c r="BI94">
        <v>0.4</v>
      </c>
      <c r="BJ94">
        <v>0.9</v>
      </c>
      <c r="BK94">
        <v>1</v>
      </c>
      <c r="BL94">
        <v>89.64</v>
      </c>
      <c r="BM94">
        <v>13.45</v>
      </c>
      <c r="BN94">
        <v>103.09</v>
      </c>
      <c r="BO94">
        <v>103.09</v>
      </c>
      <c r="BQ94" t="s">
        <v>500</v>
      </c>
      <c r="BR94" t="s">
        <v>255</v>
      </c>
      <c r="BS94" s="1">
        <v>44141</v>
      </c>
      <c r="BT94" s="2">
        <v>0.53472222222222221</v>
      </c>
      <c r="BU94" t="s">
        <v>203</v>
      </c>
      <c r="BV94" t="s">
        <v>69</v>
      </c>
      <c r="BY94">
        <v>4654.08</v>
      </c>
      <c r="BZ94" t="s">
        <v>19</v>
      </c>
      <c r="CC94" t="s">
        <v>498</v>
      </c>
      <c r="CD94">
        <v>6570</v>
      </c>
      <c r="CE94" t="s">
        <v>71</v>
      </c>
      <c r="CF94" s="1">
        <v>44151</v>
      </c>
      <c r="CI94">
        <v>1</v>
      </c>
      <c r="CJ94">
        <v>1</v>
      </c>
      <c r="CK94">
        <v>23</v>
      </c>
      <c r="CL94" t="s">
        <v>72</v>
      </c>
    </row>
    <row r="95" spans="1:90" x14ac:dyDescent="0.25">
      <c r="A95" t="s">
        <v>252</v>
      </c>
      <c r="B95" t="s">
        <v>253</v>
      </c>
      <c r="C95" t="s">
        <v>62</v>
      </c>
      <c r="E95" t="str">
        <f>"009940541770"</f>
        <v>009940541770</v>
      </c>
      <c r="F95" s="1">
        <v>44139</v>
      </c>
      <c r="G95">
        <v>202105</v>
      </c>
      <c r="H95" t="s">
        <v>107</v>
      </c>
      <c r="I95" t="s">
        <v>92</v>
      </c>
      <c r="J95" t="s">
        <v>247</v>
      </c>
      <c r="K95" t="s">
        <v>65</v>
      </c>
      <c r="L95" t="s">
        <v>107</v>
      </c>
      <c r="M95" t="s">
        <v>92</v>
      </c>
      <c r="N95" t="s">
        <v>501</v>
      </c>
      <c r="O95" t="s">
        <v>73</v>
      </c>
      <c r="P95" t="str">
        <f>"NA                            "</f>
        <v xml:space="preserve">NA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3.43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 s="3"/>
      <c r="BD95" s="3"/>
      <c r="BE95" s="3"/>
      <c r="BF95" s="3"/>
      <c r="BG95">
        <v>0</v>
      </c>
      <c r="BH95">
        <v>1</v>
      </c>
      <c r="BI95">
        <v>1</v>
      </c>
      <c r="BJ95">
        <v>0.2</v>
      </c>
      <c r="BK95">
        <v>1</v>
      </c>
      <c r="BL95">
        <v>36.14</v>
      </c>
      <c r="BM95">
        <v>5.42</v>
      </c>
      <c r="BN95">
        <v>41.56</v>
      </c>
      <c r="BO95">
        <v>41.56</v>
      </c>
      <c r="BQ95" t="s">
        <v>502</v>
      </c>
      <c r="BR95" t="s">
        <v>503</v>
      </c>
      <c r="BS95" s="1">
        <v>44140</v>
      </c>
      <c r="BT95" s="2">
        <v>0.4375</v>
      </c>
      <c r="BU95" t="s">
        <v>504</v>
      </c>
      <c r="BV95" t="s">
        <v>69</v>
      </c>
      <c r="BY95">
        <v>1200</v>
      </c>
      <c r="BZ95" t="s">
        <v>19</v>
      </c>
      <c r="CC95" t="s">
        <v>92</v>
      </c>
      <c r="CD95">
        <v>8001</v>
      </c>
      <c r="CE95" t="s">
        <v>495</v>
      </c>
      <c r="CF95" s="1">
        <v>44141</v>
      </c>
      <c r="CI95">
        <v>1</v>
      </c>
      <c r="CJ95">
        <v>1</v>
      </c>
      <c r="CK95">
        <v>22</v>
      </c>
      <c r="CL95" t="s">
        <v>72</v>
      </c>
    </row>
    <row r="96" spans="1:90" x14ac:dyDescent="0.25">
      <c r="A96" t="s">
        <v>252</v>
      </c>
      <c r="B96" t="s">
        <v>253</v>
      </c>
      <c r="C96" t="s">
        <v>62</v>
      </c>
      <c r="E96" t="str">
        <f>"009939975318"</f>
        <v>009939975318</v>
      </c>
      <c r="F96" s="1">
        <v>44140</v>
      </c>
      <c r="G96">
        <v>202105</v>
      </c>
      <c r="H96" t="s">
        <v>99</v>
      </c>
      <c r="I96" t="s">
        <v>100</v>
      </c>
      <c r="J96" t="s">
        <v>328</v>
      </c>
      <c r="K96" t="s">
        <v>65</v>
      </c>
      <c r="L96" t="s">
        <v>101</v>
      </c>
      <c r="M96" t="s">
        <v>102</v>
      </c>
      <c r="N96" t="s">
        <v>328</v>
      </c>
      <c r="O96" t="s">
        <v>73</v>
      </c>
      <c r="P96" t="str">
        <f>"11912270 FM                   "</f>
        <v xml:space="preserve">11912270 FM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4.4000000000000004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 s="3"/>
      <c r="BD96" s="3"/>
      <c r="BE96" s="3"/>
      <c r="BF96" s="3"/>
      <c r="BG96">
        <v>0</v>
      </c>
      <c r="BH96">
        <v>1</v>
      </c>
      <c r="BI96">
        <v>1</v>
      </c>
      <c r="BJ96">
        <v>0.3</v>
      </c>
      <c r="BK96">
        <v>1</v>
      </c>
      <c r="BL96">
        <v>46.27</v>
      </c>
      <c r="BM96">
        <v>6.94</v>
      </c>
      <c r="BN96">
        <v>53.21</v>
      </c>
      <c r="BO96">
        <v>53.21</v>
      </c>
      <c r="BQ96" t="s">
        <v>210</v>
      </c>
      <c r="BR96" t="s">
        <v>505</v>
      </c>
      <c r="BS96" s="1">
        <v>44141</v>
      </c>
      <c r="BT96" s="2">
        <v>0.50486111111111109</v>
      </c>
      <c r="BU96" t="s">
        <v>506</v>
      </c>
      <c r="BV96" t="s">
        <v>72</v>
      </c>
      <c r="BW96" t="s">
        <v>76</v>
      </c>
      <c r="BX96" t="s">
        <v>120</v>
      </c>
      <c r="BY96">
        <v>1710</v>
      </c>
      <c r="BZ96" t="s">
        <v>19</v>
      </c>
      <c r="CA96" t="s">
        <v>114</v>
      </c>
      <c r="CC96" t="s">
        <v>102</v>
      </c>
      <c r="CD96">
        <v>6000</v>
      </c>
      <c r="CE96" t="s">
        <v>507</v>
      </c>
      <c r="CF96" s="1">
        <v>44141</v>
      </c>
      <c r="CI96">
        <v>1</v>
      </c>
      <c r="CJ96">
        <v>1</v>
      </c>
      <c r="CK96">
        <v>21</v>
      </c>
      <c r="CL96" t="s">
        <v>72</v>
      </c>
    </row>
    <row r="97" spans="1:90" x14ac:dyDescent="0.25">
      <c r="A97" t="s">
        <v>252</v>
      </c>
      <c r="B97" t="s">
        <v>253</v>
      </c>
      <c r="C97" t="s">
        <v>62</v>
      </c>
      <c r="E97" t="str">
        <f>"009940541765"</f>
        <v>009940541765</v>
      </c>
      <c r="F97" s="1">
        <v>44140</v>
      </c>
      <c r="G97">
        <v>202105</v>
      </c>
      <c r="H97" t="s">
        <v>107</v>
      </c>
      <c r="I97" t="s">
        <v>92</v>
      </c>
      <c r="J97" t="s">
        <v>247</v>
      </c>
      <c r="K97" t="s">
        <v>65</v>
      </c>
      <c r="L97" t="s">
        <v>220</v>
      </c>
      <c r="M97" t="s">
        <v>221</v>
      </c>
      <c r="N97" t="s">
        <v>508</v>
      </c>
      <c r="O97" t="s">
        <v>154</v>
      </c>
      <c r="P97" t="str">
        <f>"NA                            "</f>
        <v xml:space="preserve">NA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8.24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 s="3"/>
      <c r="BD97" s="3"/>
      <c r="BE97" s="3"/>
      <c r="BF97" s="3"/>
      <c r="BG97">
        <v>0</v>
      </c>
      <c r="BH97">
        <v>1</v>
      </c>
      <c r="BI97">
        <v>1.7</v>
      </c>
      <c r="BJ97">
        <v>2.4</v>
      </c>
      <c r="BK97">
        <v>3</v>
      </c>
      <c r="BL97">
        <v>86.74</v>
      </c>
      <c r="BM97">
        <v>13.01</v>
      </c>
      <c r="BN97">
        <v>99.75</v>
      </c>
      <c r="BO97">
        <v>99.75</v>
      </c>
      <c r="BQ97" t="s">
        <v>509</v>
      </c>
      <c r="BR97" t="s">
        <v>255</v>
      </c>
      <c r="BS97" s="1">
        <v>44141</v>
      </c>
      <c r="BT97" s="2">
        <v>0.39583333333333331</v>
      </c>
      <c r="BU97" t="s">
        <v>510</v>
      </c>
      <c r="BV97" t="s">
        <v>69</v>
      </c>
      <c r="BY97">
        <v>12220.2</v>
      </c>
      <c r="BZ97" t="s">
        <v>191</v>
      </c>
      <c r="CA97" t="s">
        <v>232</v>
      </c>
      <c r="CC97" t="s">
        <v>221</v>
      </c>
      <c r="CD97">
        <v>1201</v>
      </c>
      <c r="CE97" t="s">
        <v>71</v>
      </c>
      <c r="CF97" s="1">
        <v>44144</v>
      </c>
      <c r="CI97">
        <v>1</v>
      </c>
      <c r="CJ97">
        <v>1</v>
      </c>
      <c r="CK97">
        <v>31</v>
      </c>
      <c r="CL97" t="s">
        <v>72</v>
      </c>
    </row>
    <row r="98" spans="1:90" x14ac:dyDescent="0.25">
      <c r="A98" t="s">
        <v>252</v>
      </c>
      <c r="B98" t="s">
        <v>253</v>
      </c>
      <c r="C98" t="s">
        <v>62</v>
      </c>
      <c r="E98" t="str">
        <f>"009940541767"</f>
        <v>009940541767</v>
      </c>
      <c r="F98" s="1">
        <v>44139</v>
      </c>
      <c r="G98">
        <v>202105</v>
      </c>
      <c r="H98" t="s">
        <v>107</v>
      </c>
      <c r="I98" t="s">
        <v>92</v>
      </c>
      <c r="J98" t="s">
        <v>247</v>
      </c>
      <c r="K98" t="s">
        <v>65</v>
      </c>
      <c r="L98" t="s">
        <v>107</v>
      </c>
      <c r="M98" t="s">
        <v>92</v>
      </c>
      <c r="N98" t="s">
        <v>511</v>
      </c>
      <c r="O98" t="s">
        <v>73</v>
      </c>
      <c r="P98" t="str">
        <f>"NA                            "</f>
        <v xml:space="preserve">NA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3.43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 s="3"/>
      <c r="BD98" s="3"/>
      <c r="BE98" s="3"/>
      <c r="BF98" s="3"/>
      <c r="BG98">
        <v>0</v>
      </c>
      <c r="BH98">
        <v>1</v>
      </c>
      <c r="BI98">
        <v>0.7</v>
      </c>
      <c r="BJ98">
        <v>3</v>
      </c>
      <c r="BK98">
        <v>3</v>
      </c>
      <c r="BL98">
        <v>36.14</v>
      </c>
      <c r="BM98">
        <v>5.42</v>
      </c>
      <c r="BN98">
        <v>41.56</v>
      </c>
      <c r="BO98">
        <v>41.56</v>
      </c>
      <c r="BQ98" t="s">
        <v>512</v>
      </c>
      <c r="BR98" t="s">
        <v>255</v>
      </c>
      <c r="BS98" s="1">
        <v>44140</v>
      </c>
      <c r="BT98" s="2">
        <v>0.43124999999999997</v>
      </c>
      <c r="BU98" t="s">
        <v>513</v>
      </c>
      <c r="BV98" t="s">
        <v>69</v>
      </c>
      <c r="BY98">
        <v>15167.25</v>
      </c>
      <c r="BZ98" t="s">
        <v>19</v>
      </c>
      <c r="CA98" t="s">
        <v>176</v>
      </c>
      <c r="CC98" t="s">
        <v>92</v>
      </c>
      <c r="CD98">
        <v>7925</v>
      </c>
      <c r="CE98" t="s">
        <v>394</v>
      </c>
      <c r="CF98" s="1">
        <v>44141</v>
      </c>
      <c r="CI98">
        <v>1</v>
      </c>
      <c r="CJ98">
        <v>1</v>
      </c>
      <c r="CK98">
        <v>22</v>
      </c>
      <c r="CL98" t="s">
        <v>72</v>
      </c>
    </row>
    <row r="99" spans="1:90" x14ac:dyDescent="0.25">
      <c r="A99" t="s">
        <v>252</v>
      </c>
      <c r="B99" t="s">
        <v>253</v>
      </c>
      <c r="C99" t="s">
        <v>62</v>
      </c>
      <c r="E99" t="str">
        <f>"009940541764"</f>
        <v>009940541764</v>
      </c>
      <c r="F99" s="1">
        <v>44140</v>
      </c>
      <c r="G99">
        <v>202105</v>
      </c>
      <c r="H99" t="s">
        <v>107</v>
      </c>
      <c r="I99" t="s">
        <v>92</v>
      </c>
      <c r="J99" t="s">
        <v>247</v>
      </c>
      <c r="K99" t="s">
        <v>65</v>
      </c>
      <c r="L99" t="s">
        <v>107</v>
      </c>
      <c r="M99" t="s">
        <v>92</v>
      </c>
      <c r="N99" t="s">
        <v>514</v>
      </c>
      <c r="O99" t="s">
        <v>73</v>
      </c>
      <c r="P99" t="str">
        <f>"NA                            "</f>
        <v xml:space="preserve">NA 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3.43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 s="3"/>
      <c r="BD99" s="3"/>
      <c r="BE99" s="3"/>
      <c r="BF99" s="3"/>
      <c r="BG99">
        <v>0</v>
      </c>
      <c r="BH99">
        <v>1</v>
      </c>
      <c r="BI99">
        <v>0.3</v>
      </c>
      <c r="BJ99">
        <v>0.5</v>
      </c>
      <c r="BK99">
        <v>1</v>
      </c>
      <c r="BL99">
        <v>36.14</v>
      </c>
      <c r="BM99">
        <v>5.42</v>
      </c>
      <c r="BN99">
        <v>41.56</v>
      </c>
      <c r="BO99">
        <v>41.56</v>
      </c>
      <c r="BQ99" t="s">
        <v>515</v>
      </c>
      <c r="BR99" t="s">
        <v>255</v>
      </c>
      <c r="BS99" s="1">
        <v>44145</v>
      </c>
      <c r="BT99" s="2">
        <v>0.36736111111111108</v>
      </c>
      <c r="BU99" t="s">
        <v>516</v>
      </c>
      <c r="BV99" t="s">
        <v>72</v>
      </c>
      <c r="BW99" t="s">
        <v>87</v>
      </c>
      <c r="BX99" t="s">
        <v>83</v>
      </c>
      <c r="BY99">
        <v>2534.6999999999998</v>
      </c>
      <c r="BZ99" t="s">
        <v>19</v>
      </c>
      <c r="CA99" t="s">
        <v>168</v>
      </c>
      <c r="CC99" t="s">
        <v>92</v>
      </c>
      <c r="CD99">
        <v>7460</v>
      </c>
      <c r="CE99" t="s">
        <v>71</v>
      </c>
      <c r="CF99" s="1">
        <v>44146</v>
      </c>
      <c r="CI99">
        <v>1</v>
      </c>
      <c r="CJ99">
        <v>3</v>
      </c>
      <c r="CK99">
        <v>22</v>
      </c>
      <c r="CL99" t="s">
        <v>72</v>
      </c>
    </row>
    <row r="100" spans="1:90" x14ac:dyDescent="0.25">
      <c r="A100" t="s">
        <v>252</v>
      </c>
      <c r="B100" t="s">
        <v>253</v>
      </c>
      <c r="C100" t="s">
        <v>62</v>
      </c>
      <c r="E100" t="str">
        <f>"009940541754"</f>
        <v>009940541754</v>
      </c>
      <c r="F100" s="1">
        <v>44139</v>
      </c>
      <c r="G100">
        <v>202105</v>
      </c>
      <c r="H100" t="s">
        <v>107</v>
      </c>
      <c r="I100" t="s">
        <v>92</v>
      </c>
      <c r="J100" t="s">
        <v>247</v>
      </c>
      <c r="K100" t="s">
        <v>65</v>
      </c>
      <c r="L100" t="s">
        <v>166</v>
      </c>
      <c r="M100" t="s">
        <v>167</v>
      </c>
      <c r="N100" t="s">
        <v>517</v>
      </c>
      <c r="O100" t="s">
        <v>154</v>
      </c>
      <c r="P100" t="str">
        <f>"MT CT                         "</f>
        <v xml:space="preserve">MT CT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8.24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 s="3"/>
      <c r="BD100" s="3"/>
      <c r="BE100" s="3"/>
      <c r="BF100" s="3"/>
      <c r="BG100">
        <v>0</v>
      </c>
      <c r="BH100">
        <v>1</v>
      </c>
      <c r="BI100">
        <v>2.4</v>
      </c>
      <c r="BJ100">
        <v>2.7</v>
      </c>
      <c r="BK100">
        <v>3</v>
      </c>
      <c r="BL100">
        <v>86.74</v>
      </c>
      <c r="BM100">
        <v>13.01</v>
      </c>
      <c r="BN100">
        <v>99.75</v>
      </c>
      <c r="BO100">
        <v>99.75</v>
      </c>
      <c r="BQ100" t="s">
        <v>518</v>
      </c>
      <c r="BR100" t="s">
        <v>255</v>
      </c>
      <c r="BS100" s="1">
        <v>44140</v>
      </c>
      <c r="BT100" s="2">
        <v>0.35000000000000003</v>
      </c>
      <c r="BU100" t="s">
        <v>186</v>
      </c>
      <c r="BV100" t="s">
        <v>69</v>
      </c>
      <c r="BY100">
        <v>13488.26</v>
      </c>
      <c r="BZ100" t="s">
        <v>191</v>
      </c>
      <c r="CA100" t="s">
        <v>124</v>
      </c>
      <c r="CC100" t="s">
        <v>167</v>
      </c>
      <c r="CD100">
        <v>1709</v>
      </c>
      <c r="CE100" t="s">
        <v>394</v>
      </c>
      <c r="CF100" s="1">
        <v>44141</v>
      </c>
      <c r="CI100">
        <v>1</v>
      </c>
      <c r="CJ100">
        <v>1</v>
      </c>
      <c r="CK100">
        <v>31</v>
      </c>
      <c r="CL100" t="s">
        <v>72</v>
      </c>
    </row>
    <row r="101" spans="1:90" x14ac:dyDescent="0.25">
      <c r="A101" t="s">
        <v>252</v>
      </c>
      <c r="B101" t="s">
        <v>253</v>
      </c>
      <c r="C101" t="s">
        <v>62</v>
      </c>
      <c r="E101" t="str">
        <f>"009940541771"</f>
        <v>009940541771</v>
      </c>
      <c r="F101" s="1">
        <v>44141</v>
      </c>
      <c r="G101">
        <v>202105</v>
      </c>
      <c r="H101" t="s">
        <v>107</v>
      </c>
      <c r="I101" t="s">
        <v>92</v>
      </c>
      <c r="J101" t="s">
        <v>247</v>
      </c>
      <c r="K101" t="s">
        <v>65</v>
      </c>
      <c r="L101" t="s">
        <v>101</v>
      </c>
      <c r="M101" t="s">
        <v>102</v>
      </c>
      <c r="N101" t="s">
        <v>519</v>
      </c>
      <c r="O101" t="s">
        <v>73</v>
      </c>
      <c r="P101" t="str">
        <f>"NA                            "</f>
        <v xml:space="preserve">NA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4.4000000000000004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 s="3"/>
      <c r="BD101" s="3"/>
      <c r="BE101" s="3"/>
      <c r="BF101" s="3"/>
      <c r="BG101">
        <v>0</v>
      </c>
      <c r="BH101">
        <v>1</v>
      </c>
      <c r="BI101">
        <v>0.2</v>
      </c>
      <c r="BJ101">
        <v>0.3</v>
      </c>
      <c r="BK101">
        <v>0.5</v>
      </c>
      <c r="BL101">
        <v>46.27</v>
      </c>
      <c r="BM101">
        <v>6.94</v>
      </c>
      <c r="BN101">
        <v>53.21</v>
      </c>
      <c r="BO101">
        <v>53.21</v>
      </c>
      <c r="BQ101" t="s">
        <v>279</v>
      </c>
      <c r="BR101" t="s">
        <v>255</v>
      </c>
      <c r="BS101" s="1">
        <v>44144</v>
      </c>
      <c r="BT101" s="2">
        <v>0.52430555555555558</v>
      </c>
      <c r="BU101" t="s">
        <v>173</v>
      </c>
      <c r="BV101" t="s">
        <v>72</v>
      </c>
      <c r="BW101" t="s">
        <v>76</v>
      </c>
      <c r="BX101" t="s">
        <v>120</v>
      </c>
      <c r="BY101">
        <v>1345.01</v>
      </c>
      <c r="BZ101" t="s">
        <v>19</v>
      </c>
      <c r="CA101" t="s">
        <v>136</v>
      </c>
      <c r="CC101" t="s">
        <v>102</v>
      </c>
      <c r="CD101">
        <v>6001</v>
      </c>
      <c r="CE101" t="s">
        <v>520</v>
      </c>
      <c r="CF101" s="1">
        <v>44145</v>
      </c>
      <c r="CI101">
        <v>1</v>
      </c>
      <c r="CJ101">
        <v>1</v>
      </c>
      <c r="CK101">
        <v>21</v>
      </c>
      <c r="CL101" t="s">
        <v>72</v>
      </c>
    </row>
    <row r="102" spans="1:90" x14ac:dyDescent="0.25">
      <c r="A102" t="s">
        <v>252</v>
      </c>
      <c r="B102" t="s">
        <v>253</v>
      </c>
      <c r="C102" t="s">
        <v>62</v>
      </c>
      <c r="E102" t="str">
        <f>"009938219444"</f>
        <v>009938219444</v>
      </c>
      <c r="F102" s="1">
        <v>44137</v>
      </c>
      <c r="G102">
        <v>202105</v>
      </c>
      <c r="H102" t="s">
        <v>109</v>
      </c>
      <c r="I102" t="s">
        <v>95</v>
      </c>
      <c r="J102" t="s">
        <v>208</v>
      </c>
      <c r="K102" t="s">
        <v>65</v>
      </c>
      <c r="L102" t="s">
        <v>107</v>
      </c>
      <c r="M102" t="s">
        <v>92</v>
      </c>
      <c r="N102" t="s">
        <v>521</v>
      </c>
      <c r="O102" t="s">
        <v>73</v>
      </c>
      <c r="P102" t="str">
        <f>"NA                            "</f>
        <v xml:space="preserve">NA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9.42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 s="3"/>
      <c r="BD102" s="3"/>
      <c r="BE102" s="3"/>
      <c r="BF102" s="3"/>
      <c r="BG102">
        <v>0</v>
      </c>
      <c r="BH102">
        <v>1</v>
      </c>
      <c r="BI102">
        <v>1</v>
      </c>
      <c r="BJ102">
        <v>3</v>
      </c>
      <c r="BK102">
        <v>3</v>
      </c>
      <c r="BL102">
        <v>72.209999999999994</v>
      </c>
      <c r="BM102">
        <v>10.83</v>
      </c>
      <c r="BN102">
        <v>83.04</v>
      </c>
      <c r="BO102">
        <v>83.04</v>
      </c>
      <c r="BQ102" t="s">
        <v>108</v>
      </c>
      <c r="BR102" t="s">
        <v>522</v>
      </c>
      <c r="BS102" s="1">
        <v>44140</v>
      </c>
      <c r="BT102" s="2">
        <v>0.57013888888888886</v>
      </c>
      <c r="BU102" t="s">
        <v>288</v>
      </c>
      <c r="BV102" t="s">
        <v>72</v>
      </c>
      <c r="BY102">
        <v>15120</v>
      </c>
      <c r="BZ102" t="s">
        <v>19</v>
      </c>
      <c r="CA102" t="s">
        <v>133</v>
      </c>
      <c r="CC102" t="s">
        <v>92</v>
      </c>
      <c r="CD102">
        <v>8000</v>
      </c>
      <c r="CE102" t="s">
        <v>71</v>
      </c>
      <c r="CF102" s="1">
        <v>44141</v>
      </c>
      <c r="CI102">
        <v>1</v>
      </c>
      <c r="CJ102">
        <v>3</v>
      </c>
      <c r="CK102">
        <v>21</v>
      </c>
      <c r="CL102" t="s">
        <v>72</v>
      </c>
    </row>
    <row r="103" spans="1:90" x14ac:dyDescent="0.25">
      <c r="A103" t="s">
        <v>252</v>
      </c>
      <c r="B103" t="s">
        <v>253</v>
      </c>
      <c r="C103" t="s">
        <v>62</v>
      </c>
      <c r="E103" t="str">
        <f>"029908452228"</f>
        <v>029908452228</v>
      </c>
      <c r="F103" s="1">
        <v>44137</v>
      </c>
      <c r="G103">
        <v>202105</v>
      </c>
      <c r="H103" t="s">
        <v>63</v>
      </c>
      <c r="I103" t="s">
        <v>64</v>
      </c>
      <c r="J103" t="s">
        <v>328</v>
      </c>
      <c r="K103" t="s">
        <v>65</v>
      </c>
      <c r="L103" t="s">
        <v>109</v>
      </c>
      <c r="M103" t="s">
        <v>95</v>
      </c>
      <c r="N103" t="s">
        <v>468</v>
      </c>
      <c r="O103" t="s">
        <v>73</v>
      </c>
      <c r="P103" t="str">
        <f>"119 422 70FM                  "</f>
        <v xml:space="preserve">119 422 70FM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6.28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 s="3"/>
      <c r="BD103" s="3"/>
      <c r="BE103" s="3"/>
      <c r="BF103" s="3"/>
      <c r="BG103">
        <v>0</v>
      </c>
      <c r="BH103">
        <v>1</v>
      </c>
      <c r="BI103">
        <v>1</v>
      </c>
      <c r="BJ103">
        <v>0.2</v>
      </c>
      <c r="BK103">
        <v>1</v>
      </c>
      <c r="BL103">
        <v>48.15</v>
      </c>
      <c r="BM103">
        <v>7.22</v>
      </c>
      <c r="BN103">
        <v>55.37</v>
      </c>
      <c r="BO103">
        <v>55.37</v>
      </c>
      <c r="BQ103" t="s">
        <v>523</v>
      </c>
      <c r="BR103" t="s">
        <v>524</v>
      </c>
      <c r="BS103" s="1">
        <v>44138</v>
      </c>
      <c r="BT103" s="2">
        <v>0.41666666666666669</v>
      </c>
      <c r="BU103" t="s">
        <v>525</v>
      </c>
      <c r="BV103" t="s">
        <v>69</v>
      </c>
      <c r="BY103">
        <v>1200</v>
      </c>
      <c r="BZ103" t="s">
        <v>19</v>
      </c>
      <c r="CA103" t="s">
        <v>128</v>
      </c>
      <c r="CC103" t="s">
        <v>95</v>
      </c>
      <c r="CD103">
        <v>157</v>
      </c>
      <c r="CE103" t="s">
        <v>71</v>
      </c>
      <c r="CF103" s="1">
        <v>44139</v>
      </c>
      <c r="CI103">
        <v>1</v>
      </c>
      <c r="CJ103">
        <v>1</v>
      </c>
      <c r="CK103">
        <v>21</v>
      </c>
      <c r="CL103" t="s">
        <v>72</v>
      </c>
    </row>
    <row r="104" spans="1:90" x14ac:dyDescent="0.25">
      <c r="A104" t="s">
        <v>252</v>
      </c>
      <c r="B104" t="s">
        <v>253</v>
      </c>
      <c r="C104" t="s">
        <v>62</v>
      </c>
      <c r="E104" t="str">
        <f>"009940541752"</f>
        <v>009940541752</v>
      </c>
      <c r="F104" s="1">
        <v>44137</v>
      </c>
      <c r="G104">
        <v>202105</v>
      </c>
      <c r="H104" t="s">
        <v>107</v>
      </c>
      <c r="I104" t="s">
        <v>92</v>
      </c>
      <c r="J104" t="s">
        <v>247</v>
      </c>
      <c r="K104" t="s">
        <v>65</v>
      </c>
      <c r="L104" t="s">
        <v>107</v>
      </c>
      <c r="M104" t="s">
        <v>92</v>
      </c>
      <c r="N104" t="s">
        <v>211</v>
      </c>
      <c r="O104" t="s">
        <v>73</v>
      </c>
      <c r="P104" t="str">
        <f>"MT-CT                         "</f>
        <v xml:space="preserve">MT-CT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4.91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 s="3"/>
      <c r="BD104" s="3"/>
      <c r="BE104" s="3"/>
      <c r="BF104" s="3"/>
      <c r="BG104">
        <v>0</v>
      </c>
      <c r="BH104">
        <v>1</v>
      </c>
      <c r="BI104">
        <v>1.1000000000000001</v>
      </c>
      <c r="BJ104">
        <v>1.9</v>
      </c>
      <c r="BK104">
        <v>2</v>
      </c>
      <c r="BL104">
        <v>37.619999999999997</v>
      </c>
      <c r="BM104">
        <v>5.64</v>
      </c>
      <c r="BN104">
        <v>43.26</v>
      </c>
      <c r="BO104">
        <v>43.26</v>
      </c>
      <c r="BQ104" t="s">
        <v>526</v>
      </c>
      <c r="BR104" t="s">
        <v>255</v>
      </c>
      <c r="BS104" s="1">
        <v>44138</v>
      </c>
      <c r="BT104" s="2">
        <v>0.4375</v>
      </c>
      <c r="BU104" t="s">
        <v>527</v>
      </c>
      <c r="BV104" t="s">
        <v>69</v>
      </c>
      <c r="BY104">
        <v>9609.25</v>
      </c>
      <c r="BZ104" t="s">
        <v>19</v>
      </c>
      <c r="CC104" t="s">
        <v>92</v>
      </c>
      <c r="CD104">
        <v>8001</v>
      </c>
      <c r="CE104" t="s">
        <v>394</v>
      </c>
      <c r="CF104" s="1">
        <v>44139</v>
      </c>
      <c r="CI104">
        <v>1</v>
      </c>
      <c r="CJ104">
        <v>1</v>
      </c>
      <c r="CK104">
        <v>22</v>
      </c>
      <c r="CL104" t="s">
        <v>72</v>
      </c>
    </row>
    <row r="105" spans="1:90" x14ac:dyDescent="0.25">
      <c r="A105" t="s">
        <v>252</v>
      </c>
      <c r="B105" t="s">
        <v>253</v>
      </c>
      <c r="C105" t="s">
        <v>62</v>
      </c>
      <c r="E105" t="str">
        <f>"009940314594"</f>
        <v>009940314594</v>
      </c>
      <c r="F105" s="1">
        <v>44138</v>
      </c>
      <c r="G105">
        <v>202105</v>
      </c>
      <c r="H105" t="s">
        <v>150</v>
      </c>
      <c r="I105" t="s">
        <v>151</v>
      </c>
      <c r="J105" t="s">
        <v>251</v>
      </c>
      <c r="K105" t="s">
        <v>65</v>
      </c>
      <c r="L105" t="s">
        <v>152</v>
      </c>
      <c r="M105" t="s">
        <v>153</v>
      </c>
      <c r="N105" t="s">
        <v>247</v>
      </c>
      <c r="O105" t="s">
        <v>154</v>
      </c>
      <c r="P105" t="str">
        <f>"NA                            "</f>
        <v xml:space="preserve">NA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11.78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 s="3"/>
      <c r="BD105" s="3"/>
      <c r="BE105" s="3"/>
      <c r="BF105" s="3"/>
      <c r="BG105">
        <v>0</v>
      </c>
      <c r="BH105">
        <v>1</v>
      </c>
      <c r="BI105">
        <v>1</v>
      </c>
      <c r="BJ105">
        <v>0.2</v>
      </c>
      <c r="BK105">
        <v>1</v>
      </c>
      <c r="BL105">
        <v>90.28</v>
      </c>
      <c r="BM105">
        <v>13.54</v>
      </c>
      <c r="BN105">
        <v>103.82</v>
      </c>
      <c r="BO105">
        <v>103.82</v>
      </c>
      <c r="BQ105" t="s">
        <v>528</v>
      </c>
      <c r="BR105" t="s">
        <v>529</v>
      </c>
      <c r="BS105" s="1">
        <v>44139</v>
      </c>
      <c r="BT105" s="2">
        <v>0.38194444444444442</v>
      </c>
      <c r="BU105" t="s">
        <v>530</v>
      </c>
      <c r="BV105" t="s">
        <v>69</v>
      </c>
      <c r="BY105">
        <v>1200</v>
      </c>
      <c r="BZ105" t="s">
        <v>191</v>
      </c>
      <c r="CA105" t="s">
        <v>141</v>
      </c>
      <c r="CC105" t="s">
        <v>153</v>
      </c>
      <c r="CD105">
        <v>4300</v>
      </c>
      <c r="CE105" t="s">
        <v>71</v>
      </c>
      <c r="CF105" s="1">
        <v>44139</v>
      </c>
      <c r="CI105">
        <v>1</v>
      </c>
      <c r="CJ105">
        <v>1</v>
      </c>
      <c r="CK105">
        <v>31</v>
      </c>
      <c r="CL105" t="s">
        <v>72</v>
      </c>
    </row>
    <row r="106" spans="1:90" x14ac:dyDescent="0.25">
      <c r="A106" t="s">
        <v>252</v>
      </c>
      <c r="B106" t="s">
        <v>253</v>
      </c>
      <c r="C106" t="s">
        <v>62</v>
      </c>
      <c r="E106" t="str">
        <f>"009940541799"</f>
        <v>009940541799</v>
      </c>
      <c r="F106" s="1">
        <v>44159</v>
      </c>
      <c r="G106">
        <v>202105</v>
      </c>
      <c r="H106" t="s">
        <v>107</v>
      </c>
      <c r="I106" t="s">
        <v>92</v>
      </c>
      <c r="J106" t="s">
        <v>247</v>
      </c>
      <c r="K106" t="s">
        <v>65</v>
      </c>
      <c r="L106" t="s">
        <v>107</v>
      </c>
      <c r="M106" t="s">
        <v>92</v>
      </c>
      <c r="N106" t="s">
        <v>531</v>
      </c>
      <c r="O106" t="s">
        <v>73</v>
      </c>
      <c r="P106" t="str">
        <f>"MT CT                         "</f>
        <v xml:space="preserve">MT CT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3.43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 s="3"/>
      <c r="BD106" s="3"/>
      <c r="BE106" s="3"/>
      <c r="BF106" s="3"/>
      <c r="BG106">
        <v>0</v>
      </c>
      <c r="BH106">
        <v>1</v>
      </c>
      <c r="BI106">
        <v>0.7</v>
      </c>
      <c r="BJ106">
        <v>1.2</v>
      </c>
      <c r="BK106">
        <v>2</v>
      </c>
      <c r="BL106">
        <v>36.14</v>
      </c>
      <c r="BM106">
        <v>5.42</v>
      </c>
      <c r="BN106">
        <v>41.56</v>
      </c>
      <c r="BO106">
        <v>41.56</v>
      </c>
      <c r="BQ106" t="s">
        <v>526</v>
      </c>
      <c r="BR106" t="s">
        <v>255</v>
      </c>
      <c r="BS106" s="1">
        <v>44160</v>
      </c>
      <c r="BT106" s="2">
        <v>0.57708333333333328</v>
      </c>
      <c r="BU106" t="s">
        <v>532</v>
      </c>
      <c r="BV106" t="s">
        <v>72</v>
      </c>
      <c r="BW106" t="s">
        <v>76</v>
      </c>
      <c r="BX106" t="s">
        <v>83</v>
      </c>
      <c r="BY106">
        <v>5810.22</v>
      </c>
      <c r="BZ106" t="s">
        <v>74</v>
      </c>
      <c r="CA106" t="s">
        <v>225</v>
      </c>
      <c r="CC106" t="s">
        <v>92</v>
      </c>
      <c r="CD106">
        <v>8001</v>
      </c>
      <c r="CE106" t="s">
        <v>533</v>
      </c>
      <c r="CF106" s="1">
        <v>44161</v>
      </c>
      <c r="CI106">
        <v>1</v>
      </c>
      <c r="CJ106">
        <v>1</v>
      </c>
      <c r="CK106">
        <v>22</v>
      </c>
      <c r="CL106" t="s">
        <v>72</v>
      </c>
    </row>
    <row r="107" spans="1:90" x14ac:dyDescent="0.25">
      <c r="A107" t="s">
        <v>252</v>
      </c>
      <c r="B107" t="s">
        <v>253</v>
      </c>
      <c r="C107" t="s">
        <v>62</v>
      </c>
      <c r="E107" t="str">
        <f>"009940360348"</f>
        <v>009940360348</v>
      </c>
      <c r="F107" s="1">
        <v>44159</v>
      </c>
      <c r="G107">
        <v>202105</v>
      </c>
      <c r="H107" t="s">
        <v>101</v>
      </c>
      <c r="I107" t="s">
        <v>102</v>
      </c>
      <c r="J107" t="s">
        <v>328</v>
      </c>
      <c r="K107" t="s">
        <v>65</v>
      </c>
      <c r="L107" t="s">
        <v>107</v>
      </c>
      <c r="M107" t="s">
        <v>92</v>
      </c>
      <c r="N107" t="s">
        <v>369</v>
      </c>
      <c r="O107" t="s">
        <v>73</v>
      </c>
      <c r="P107" t="str">
        <f>"11912270 FM                   "</f>
        <v xml:space="preserve">11912270 FM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4.4000000000000004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 s="3"/>
      <c r="BD107" s="3"/>
      <c r="BE107" s="3"/>
      <c r="BF107" s="3"/>
      <c r="BG107">
        <v>0</v>
      </c>
      <c r="BH107">
        <v>1</v>
      </c>
      <c r="BI107">
        <v>1</v>
      </c>
      <c r="BJ107">
        <v>0.2</v>
      </c>
      <c r="BK107">
        <v>1</v>
      </c>
      <c r="BL107">
        <v>46.27</v>
      </c>
      <c r="BM107">
        <v>6.94</v>
      </c>
      <c r="BN107">
        <v>53.21</v>
      </c>
      <c r="BO107">
        <v>53.21</v>
      </c>
      <c r="BQ107" t="s">
        <v>396</v>
      </c>
      <c r="BR107" t="s">
        <v>371</v>
      </c>
      <c r="BS107" s="1">
        <v>44160</v>
      </c>
      <c r="BT107" s="2">
        <v>0.44027777777777777</v>
      </c>
      <c r="BU107" t="s">
        <v>411</v>
      </c>
      <c r="BV107" t="s">
        <v>72</v>
      </c>
      <c r="BW107" t="s">
        <v>84</v>
      </c>
      <c r="BX107" t="s">
        <v>83</v>
      </c>
      <c r="BY107">
        <v>1200</v>
      </c>
      <c r="BZ107" t="s">
        <v>74</v>
      </c>
      <c r="CA107" t="s">
        <v>103</v>
      </c>
      <c r="CC107" t="s">
        <v>92</v>
      </c>
      <c r="CD107">
        <v>8000</v>
      </c>
      <c r="CE107" t="s">
        <v>71</v>
      </c>
      <c r="CF107" s="1">
        <v>44161</v>
      </c>
      <c r="CI107">
        <v>1</v>
      </c>
      <c r="CJ107">
        <v>1</v>
      </c>
      <c r="CK107">
        <v>21</v>
      </c>
      <c r="CL107" t="s">
        <v>72</v>
      </c>
    </row>
    <row r="108" spans="1:90" x14ac:dyDescent="0.25">
      <c r="A108" t="s">
        <v>252</v>
      </c>
      <c r="B108" t="s">
        <v>253</v>
      </c>
      <c r="C108" t="s">
        <v>62</v>
      </c>
      <c r="E108" t="str">
        <f>"009940541803"</f>
        <v>009940541803</v>
      </c>
      <c r="F108" s="1">
        <v>44159</v>
      </c>
      <c r="G108">
        <v>202105</v>
      </c>
      <c r="H108" t="s">
        <v>107</v>
      </c>
      <c r="I108" t="s">
        <v>92</v>
      </c>
      <c r="J108" t="s">
        <v>247</v>
      </c>
      <c r="K108" t="s">
        <v>65</v>
      </c>
      <c r="L108" t="s">
        <v>101</v>
      </c>
      <c r="M108" t="s">
        <v>102</v>
      </c>
      <c r="N108" t="s">
        <v>254</v>
      </c>
      <c r="O108" t="s">
        <v>68</v>
      </c>
      <c r="P108" t="str">
        <f>"PORT ELIZABETH                "</f>
        <v xml:space="preserve">PORT ELIZABETH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9.2899999999999991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 s="3"/>
      <c r="BD108" s="3"/>
      <c r="BE108" s="3"/>
      <c r="BF108" s="3"/>
      <c r="BG108">
        <v>0</v>
      </c>
      <c r="BH108">
        <v>1</v>
      </c>
      <c r="BI108">
        <v>15.9</v>
      </c>
      <c r="BJ108">
        <v>15.2</v>
      </c>
      <c r="BK108">
        <v>16</v>
      </c>
      <c r="BL108">
        <v>102.73</v>
      </c>
      <c r="BM108">
        <v>15.41</v>
      </c>
      <c r="BN108">
        <v>118.14</v>
      </c>
      <c r="BO108">
        <v>118.14</v>
      </c>
      <c r="BQ108" t="s">
        <v>279</v>
      </c>
      <c r="BR108" t="s">
        <v>255</v>
      </c>
      <c r="BS108" s="1">
        <v>44161</v>
      </c>
      <c r="BT108" s="2">
        <v>0.56597222222222221</v>
      </c>
      <c r="BU108" t="s">
        <v>343</v>
      </c>
      <c r="BV108" t="s">
        <v>69</v>
      </c>
      <c r="BY108">
        <v>75808.92</v>
      </c>
      <c r="CA108" t="s">
        <v>136</v>
      </c>
      <c r="CC108" t="s">
        <v>102</v>
      </c>
      <c r="CD108">
        <v>6001</v>
      </c>
      <c r="CE108" t="s">
        <v>534</v>
      </c>
      <c r="CF108" s="1">
        <v>44161</v>
      </c>
      <c r="CI108">
        <v>2</v>
      </c>
      <c r="CJ108">
        <v>2</v>
      </c>
      <c r="CK108" t="s">
        <v>89</v>
      </c>
      <c r="CL108" t="s">
        <v>72</v>
      </c>
    </row>
    <row r="109" spans="1:90" x14ac:dyDescent="0.25">
      <c r="A109" t="s">
        <v>252</v>
      </c>
      <c r="B109" t="s">
        <v>253</v>
      </c>
      <c r="C109" t="s">
        <v>62</v>
      </c>
      <c r="E109" t="str">
        <f>"009940541787"</f>
        <v>009940541787</v>
      </c>
      <c r="F109" s="1">
        <v>44159</v>
      </c>
      <c r="G109">
        <v>202105</v>
      </c>
      <c r="H109" t="s">
        <v>107</v>
      </c>
      <c r="I109" t="s">
        <v>92</v>
      </c>
      <c r="J109" t="s">
        <v>247</v>
      </c>
      <c r="K109" t="s">
        <v>65</v>
      </c>
      <c r="L109" t="s">
        <v>181</v>
      </c>
      <c r="M109" t="s">
        <v>182</v>
      </c>
      <c r="N109" t="s">
        <v>535</v>
      </c>
      <c r="O109" t="s">
        <v>73</v>
      </c>
      <c r="P109" t="str">
        <f>"MT CT                         "</f>
        <v xml:space="preserve">MT CT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6.18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 s="3"/>
      <c r="BD109" s="3"/>
      <c r="BE109" s="3"/>
      <c r="BF109" s="3"/>
      <c r="BG109">
        <v>0</v>
      </c>
      <c r="BH109">
        <v>1</v>
      </c>
      <c r="BI109">
        <v>0.7</v>
      </c>
      <c r="BJ109">
        <v>1.1000000000000001</v>
      </c>
      <c r="BK109">
        <v>1.5</v>
      </c>
      <c r="BL109">
        <v>65.06</v>
      </c>
      <c r="BM109">
        <v>9.76</v>
      </c>
      <c r="BN109">
        <v>74.819999999999993</v>
      </c>
      <c r="BO109">
        <v>74.819999999999993</v>
      </c>
      <c r="BR109" t="s">
        <v>255</v>
      </c>
      <c r="BS109" s="1">
        <v>44162</v>
      </c>
      <c r="BT109" s="2">
        <v>0.41666666666666669</v>
      </c>
      <c r="BU109" t="s">
        <v>105</v>
      </c>
      <c r="BV109" t="s">
        <v>72</v>
      </c>
      <c r="BY109">
        <v>5579.28</v>
      </c>
      <c r="BZ109" t="s">
        <v>74</v>
      </c>
      <c r="CC109" t="s">
        <v>182</v>
      </c>
      <c r="CD109">
        <v>7380</v>
      </c>
      <c r="CE109" t="s">
        <v>71</v>
      </c>
      <c r="CF109" s="1">
        <v>44166</v>
      </c>
      <c r="CI109">
        <v>3</v>
      </c>
      <c r="CJ109">
        <v>3</v>
      </c>
      <c r="CK109">
        <v>24</v>
      </c>
      <c r="CL109" t="s">
        <v>72</v>
      </c>
    </row>
    <row r="110" spans="1:90" x14ac:dyDescent="0.25">
      <c r="A110" t="s">
        <v>252</v>
      </c>
      <c r="B110" t="s">
        <v>253</v>
      </c>
      <c r="C110" t="s">
        <v>62</v>
      </c>
      <c r="E110" t="str">
        <f>"009940541788"</f>
        <v>009940541788</v>
      </c>
      <c r="F110" s="1">
        <v>44159</v>
      </c>
      <c r="G110">
        <v>202105</v>
      </c>
      <c r="H110" t="s">
        <v>107</v>
      </c>
      <c r="I110" t="s">
        <v>92</v>
      </c>
      <c r="J110" t="s">
        <v>247</v>
      </c>
      <c r="K110" t="s">
        <v>65</v>
      </c>
      <c r="L110" t="s">
        <v>218</v>
      </c>
      <c r="M110" t="s">
        <v>219</v>
      </c>
      <c r="N110" t="s">
        <v>536</v>
      </c>
      <c r="O110" t="s">
        <v>68</v>
      </c>
      <c r="P110" t="str">
        <f>"MT CT                         "</f>
        <v xml:space="preserve">MT CT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13.19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 s="3"/>
      <c r="BD110" s="3"/>
      <c r="BE110" s="3"/>
      <c r="BF110" s="3"/>
      <c r="BG110">
        <v>0</v>
      </c>
      <c r="BH110">
        <v>2</v>
      </c>
      <c r="BI110">
        <v>9</v>
      </c>
      <c r="BJ110">
        <v>4.2</v>
      </c>
      <c r="BK110">
        <v>5</v>
      </c>
      <c r="BL110">
        <v>143.80000000000001</v>
      </c>
      <c r="BM110">
        <v>21.57</v>
      </c>
      <c r="BN110">
        <v>165.37</v>
      </c>
      <c r="BO110">
        <v>165.37</v>
      </c>
      <c r="BR110" t="s">
        <v>255</v>
      </c>
      <c r="BS110" s="1">
        <v>44162</v>
      </c>
      <c r="BT110" s="2">
        <v>0.47361111111111115</v>
      </c>
      <c r="BU110" t="s">
        <v>537</v>
      </c>
      <c r="BV110" t="s">
        <v>69</v>
      </c>
      <c r="BY110">
        <v>20766.900000000001</v>
      </c>
      <c r="CA110" t="s">
        <v>233</v>
      </c>
      <c r="CC110" t="s">
        <v>219</v>
      </c>
      <c r="CD110">
        <v>2745</v>
      </c>
      <c r="CE110" t="s">
        <v>71</v>
      </c>
      <c r="CI110">
        <v>3</v>
      </c>
      <c r="CJ110">
        <v>3</v>
      </c>
      <c r="CK110" t="s">
        <v>217</v>
      </c>
      <c r="CL110" t="s">
        <v>72</v>
      </c>
    </row>
    <row r="111" spans="1:90" x14ac:dyDescent="0.25">
      <c r="A111" t="s">
        <v>252</v>
      </c>
      <c r="B111" t="s">
        <v>253</v>
      </c>
      <c r="C111" t="s">
        <v>62</v>
      </c>
      <c r="E111" t="str">
        <f>"009940541790"</f>
        <v>009940541790</v>
      </c>
      <c r="F111" s="1">
        <v>44160</v>
      </c>
      <c r="G111">
        <v>202105</v>
      </c>
      <c r="H111" t="s">
        <v>107</v>
      </c>
      <c r="I111" t="s">
        <v>92</v>
      </c>
      <c r="J111" t="s">
        <v>247</v>
      </c>
      <c r="K111" t="s">
        <v>65</v>
      </c>
      <c r="L111" t="s">
        <v>78</v>
      </c>
      <c r="M111" t="s">
        <v>79</v>
      </c>
      <c r="N111" t="s">
        <v>538</v>
      </c>
      <c r="O111" t="s">
        <v>68</v>
      </c>
      <c r="P111" t="str">
        <f>"MT CT                         "</f>
        <v xml:space="preserve">MT CT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9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 s="3"/>
      <c r="BD111" s="3"/>
      <c r="BE111" s="3"/>
      <c r="BF111" s="3"/>
      <c r="BG111">
        <v>0</v>
      </c>
      <c r="BH111">
        <v>1</v>
      </c>
      <c r="BI111">
        <v>2.9</v>
      </c>
      <c r="BJ111">
        <v>3.1</v>
      </c>
      <c r="BK111">
        <v>3</v>
      </c>
      <c r="BL111">
        <v>99.71</v>
      </c>
      <c r="BM111">
        <v>14.96</v>
      </c>
      <c r="BN111">
        <v>114.67</v>
      </c>
      <c r="BO111">
        <v>114.67</v>
      </c>
      <c r="BQ111" t="s">
        <v>539</v>
      </c>
      <c r="BR111" t="s">
        <v>255</v>
      </c>
      <c r="BS111" s="1">
        <v>44162</v>
      </c>
      <c r="BT111" s="2">
        <v>0.59236111111111112</v>
      </c>
      <c r="BU111" t="s">
        <v>540</v>
      </c>
      <c r="BV111" t="s">
        <v>69</v>
      </c>
      <c r="BY111">
        <v>15312.24</v>
      </c>
      <c r="CA111" t="s">
        <v>216</v>
      </c>
      <c r="CC111" t="s">
        <v>79</v>
      </c>
      <c r="CD111">
        <v>2190</v>
      </c>
      <c r="CE111" t="s">
        <v>71</v>
      </c>
      <c r="CF111" s="1">
        <v>44162</v>
      </c>
      <c r="CI111">
        <v>2</v>
      </c>
      <c r="CJ111">
        <v>2</v>
      </c>
      <c r="CK111" t="s">
        <v>93</v>
      </c>
      <c r="CL111" t="s">
        <v>72</v>
      </c>
    </row>
    <row r="112" spans="1:90" x14ac:dyDescent="0.25">
      <c r="A112" t="s">
        <v>252</v>
      </c>
      <c r="B112" t="s">
        <v>253</v>
      </c>
      <c r="C112" t="s">
        <v>62</v>
      </c>
      <c r="E112" t="str">
        <f>"009940857262"</f>
        <v>009940857262</v>
      </c>
      <c r="F112" s="1">
        <v>44160</v>
      </c>
      <c r="G112">
        <v>202105</v>
      </c>
      <c r="H112" t="s">
        <v>150</v>
      </c>
      <c r="I112" t="s">
        <v>151</v>
      </c>
      <c r="J112" t="s">
        <v>274</v>
      </c>
      <c r="K112" t="s">
        <v>65</v>
      </c>
      <c r="L112" t="s">
        <v>101</v>
      </c>
      <c r="M112" t="s">
        <v>102</v>
      </c>
      <c r="N112" t="s">
        <v>275</v>
      </c>
      <c r="O112" t="s">
        <v>68</v>
      </c>
      <c r="P112" t="str">
        <f>"NA                            "</f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26.34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 s="3"/>
      <c r="BD112" s="3"/>
      <c r="BE112" s="3"/>
      <c r="BF112" s="3"/>
      <c r="BG112">
        <v>0</v>
      </c>
      <c r="BH112">
        <v>3</v>
      </c>
      <c r="BI112">
        <v>47.5</v>
      </c>
      <c r="BJ112">
        <v>59.2</v>
      </c>
      <c r="BK112">
        <v>60</v>
      </c>
      <c r="BL112">
        <v>282.2</v>
      </c>
      <c r="BM112">
        <v>42.33</v>
      </c>
      <c r="BN112">
        <v>324.52999999999997</v>
      </c>
      <c r="BO112">
        <v>324.52999999999997</v>
      </c>
      <c r="BQ112" t="s">
        <v>188</v>
      </c>
      <c r="BR112" t="s">
        <v>209</v>
      </c>
      <c r="BS112" s="1">
        <v>44162</v>
      </c>
      <c r="BT112" s="2">
        <v>0.52083333333333337</v>
      </c>
      <c r="BU112" t="s">
        <v>343</v>
      </c>
      <c r="BV112" t="s">
        <v>69</v>
      </c>
      <c r="BY112">
        <v>296007.06</v>
      </c>
      <c r="CA112" t="s">
        <v>136</v>
      </c>
      <c r="CC112" t="s">
        <v>102</v>
      </c>
      <c r="CD112">
        <v>6001</v>
      </c>
      <c r="CE112" t="s">
        <v>71</v>
      </c>
      <c r="CF112" s="1">
        <v>44162</v>
      </c>
      <c r="CI112">
        <v>2</v>
      </c>
      <c r="CJ112">
        <v>2</v>
      </c>
      <c r="CK112" t="s">
        <v>93</v>
      </c>
      <c r="CL112" t="s">
        <v>72</v>
      </c>
    </row>
    <row r="113" spans="1:90" x14ac:dyDescent="0.25">
      <c r="A113" t="s">
        <v>252</v>
      </c>
      <c r="B113" t="s">
        <v>253</v>
      </c>
      <c r="C113" t="s">
        <v>62</v>
      </c>
      <c r="E113" t="str">
        <f>"009940618580"</f>
        <v>009940618580</v>
      </c>
      <c r="F113" s="1">
        <v>44160</v>
      </c>
      <c r="G113">
        <v>202105</v>
      </c>
      <c r="H113" t="s">
        <v>101</v>
      </c>
      <c r="I113" t="s">
        <v>102</v>
      </c>
      <c r="J113" t="s">
        <v>541</v>
      </c>
      <c r="K113" t="s">
        <v>65</v>
      </c>
      <c r="L113" t="s">
        <v>150</v>
      </c>
      <c r="M113" t="s">
        <v>151</v>
      </c>
      <c r="N113" t="s">
        <v>542</v>
      </c>
      <c r="O113" t="s">
        <v>73</v>
      </c>
      <c r="P113" t="str">
        <f>"                              "</f>
        <v xml:space="preserve">  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4.4000000000000004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 s="3"/>
      <c r="BD113" s="3"/>
      <c r="BE113" s="3"/>
      <c r="BF113" s="3"/>
      <c r="BG113">
        <v>0</v>
      </c>
      <c r="BH113">
        <v>1</v>
      </c>
      <c r="BI113">
        <v>1</v>
      </c>
      <c r="BJ113">
        <v>0.2</v>
      </c>
      <c r="BK113">
        <v>1</v>
      </c>
      <c r="BL113">
        <v>46.27</v>
      </c>
      <c r="BM113">
        <v>6.94</v>
      </c>
      <c r="BN113">
        <v>53.21</v>
      </c>
      <c r="BO113">
        <v>53.21</v>
      </c>
      <c r="BR113" t="s">
        <v>543</v>
      </c>
      <c r="BS113" s="1">
        <v>44161</v>
      </c>
      <c r="BT113" s="2">
        <v>0.3611111111111111</v>
      </c>
      <c r="BU113" t="s">
        <v>215</v>
      </c>
      <c r="BV113" t="s">
        <v>69</v>
      </c>
      <c r="BY113">
        <v>1200</v>
      </c>
      <c r="BZ113" t="s">
        <v>74</v>
      </c>
      <c r="CA113" t="s">
        <v>125</v>
      </c>
      <c r="CC113" t="s">
        <v>151</v>
      </c>
      <c r="CD113">
        <v>1683</v>
      </c>
      <c r="CE113" t="s">
        <v>71</v>
      </c>
      <c r="CF113" s="1">
        <v>44162</v>
      </c>
      <c r="CI113">
        <v>1</v>
      </c>
      <c r="CJ113">
        <v>1</v>
      </c>
      <c r="CK113">
        <v>21</v>
      </c>
      <c r="CL113" t="s">
        <v>72</v>
      </c>
    </row>
    <row r="114" spans="1:90" x14ac:dyDescent="0.25">
      <c r="A114" t="s">
        <v>252</v>
      </c>
      <c r="B114" t="s">
        <v>253</v>
      </c>
      <c r="C114" t="s">
        <v>62</v>
      </c>
      <c r="E114" t="str">
        <f>"009940541798"</f>
        <v>009940541798</v>
      </c>
      <c r="F114" s="1">
        <v>44160</v>
      </c>
      <c r="G114">
        <v>202105</v>
      </c>
      <c r="H114" t="s">
        <v>107</v>
      </c>
      <c r="I114" t="s">
        <v>92</v>
      </c>
      <c r="J114" t="s">
        <v>247</v>
      </c>
      <c r="K114" t="s">
        <v>65</v>
      </c>
      <c r="L114" t="s">
        <v>189</v>
      </c>
      <c r="M114" t="s">
        <v>190</v>
      </c>
      <c r="N114" t="s">
        <v>544</v>
      </c>
      <c r="O114" t="s">
        <v>154</v>
      </c>
      <c r="P114" t="str">
        <f>"MT CT                         "</f>
        <v xml:space="preserve">MT CT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47.4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 s="3"/>
      <c r="BD114" s="3"/>
      <c r="BE114" s="3"/>
      <c r="BF114" s="3"/>
      <c r="BG114">
        <v>0</v>
      </c>
      <c r="BH114">
        <v>1</v>
      </c>
      <c r="BI114">
        <v>22.8</v>
      </c>
      <c r="BJ114">
        <v>19.899999999999999</v>
      </c>
      <c r="BK114">
        <v>23</v>
      </c>
      <c r="BL114">
        <v>498.87</v>
      </c>
      <c r="BM114">
        <v>74.83</v>
      </c>
      <c r="BN114">
        <v>573.70000000000005</v>
      </c>
      <c r="BO114">
        <v>573.70000000000005</v>
      </c>
      <c r="BQ114" t="s">
        <v>545</v>
      </c>
      <c r="BR114" t="s">
        <v>255</v>
      </c>
      <c r="BS114" s="1">
        <v>44162</v>
      </c>
      <c r="BT114" s="2">
        <v>0.45833333333333331</v>
      </c>
      <c r="BU114" t="s">
        <v>242</v>
      </c>
      <c r="BV114" t="s">
        <v>72</v>
      </c>
      <c r="BY114">
        <v>99541</v>
      </c>
      <c r="BZ114" t="s">
        <v>155</v>
      </c>
      <c r="CA114" t="s">
        <v>240</v>
      </c>
      <c r="CC114" t="s">
        <v>190</v>
      </c>
      <c r="CD114">
        <v>699</v>
      </c>
      <c r="CE114" t="s">
        <v>71</v>
      </c>
      <c r="CF114" s="1">
        <v>44162</v>
      </c>
      <c r="CI114">
        <v>1</v>
      </c>
      <c r="CJ114">
        <v>2</v>
      </c>
      <c r="CK114">
        <v>31</v>
      </c>
      <c r="CL114" t="s">
        <v>72</v>
      </c>
    </row>
    <row r="115" spans="1:90" x14ac:dyDescent="0.25">
      <c r="A115" t="s">
        <v>252</v>
      </c>
      <c r="B115" t="s">
        <v>253</v>
      </c>
      <c r="C115" t="s">
        <v>62</v>
      </c>
      <c r="E115" t="str">
        <f>"009940203995"</f>
        <v>009940203995</v>
      </c>
      <c r="F115" s="1">
        <v>44160</v>
      </c>
      <c r="G115">
        <v>202105</v>
      </c>
      <c r="H115" t="s">
        <v>101</v>
      </c>
      <c r="I115" t="s">
        <v>102</v>
      </c>
      <c r="J115" t="s">
        <v>247</v>
      </c>
      <c r="K115" t="s">
        <v>65</v>
      </c>
      <c r="L115" t="s">
        <v>150</v>
      </c>
      <c r="M115" t="s">
        <v>151</v>
      </c>
      <c r="N115" t="s">
        <v>274</v>
      </c>
      <c r="O115" t="s">
        <v>68</v>
      </c>
      <c r="P115" t="str">
        <f>"....                          "</f>
        <v xml:space="preserve">....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16.32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 s="3"/>
      <c r="BD115" s="3"/>
      <c r="BE115" s="3"/>
      <c r="BF115" s="3"/>
      <c r="BG115">
        <v>0</v>
      </c>
      <c r="BH115">
        <v>3</v>
      </c>
      <c r="BI115">
        <v>24</v>
      </c>
      <c r="BJ115">
        <v>33.6</v>
      </c>
      <c r="BK115">
        <v>34</v>
      </c>
      <c r="BL115">
        <v>176.76</v>
      </c>
      <c r="BM115">
        <v>26.51</v>
      </c>
      <c r="BN115">
        <v>203.27</v>
      </c>
      <c r="BO115">
        <v>203.27</v>
      </c>
      <c r="BQ115" t="s">
        <v>546</v>
      </c>
      <c r="BR115" t="s">
        <v>188</v>
      </c>
      <c r="BS115" s="1">
        <v>44165</v>
      </c>
      <c r="BT115" s="2">
        <v>0.53472222222222221</v>
      </c>
      <c r="BU115" t="s">
        <v>291</v>
      </c>
      <c r="BV115" t="s">
        <v>72</v>
      </c>
      <c r="BW115" t="s">
        <v>81</v>
      </c>
      <c r="BX115" t="s">
        <v>144</v>
      </c>
      <c r="BY115">
        <v>56000</v>
      </c>
      <c r="CA115" t="s">
        <v>292</v>
      </c>
      <c r="CC115" t="s">
        <v>151</v>
      </c>
      <c r="CD115">
        <v>1682</v>
      </c>
      <c r="CE115" t="s">
        <v>71</v>
      </c>
      <c r="CF115" s="1">
        <v>44166</v>
      </c>
      <c r="CI115">
        <v>2</v>
      </c>
      <c r="CJ115">
        <v>3</v>
      </c>
      <c r="CK115" t="s">
        <v>93</v>
      </c>
      <c r="CL115" t="s">
        <v>72</v>
      </c>
    </row>
    <row r="116" spans="1:90" x14ac:dyDescent="0.25">
      <c r="A116" t="s">
        <v>252</v>
      </c>
      <c r="B116" t="s">
        <v>253</v>
      </c>
      <c r="C116" t="s">
        <v>62</v>
      </c>
      <c r="E116" t="str">
        <f>"009940298418"</f>
        <v>009940298418</v>
      </c>
      <c r="F116" s="1">
        <v>44162</v>
      </c>
      <c r="G116">
        <v>202105</v>
      </c>
      <c r="H116" t="s">
        <v>150</v>
      </c>
      <c r="I116" t="s">
        <v>151</v>
      </c>
      <c r="J116" t="s">
        <v>251</v>
      </c>
      <c r="K116" t="s">
        <v>65</v>
      </c>
      <c r="L116" t="s">
        <v>152</v>
      </c>
      <c r="M116" t="s">
        <v>153</v>
      </c>
      <c r="N116" t="s">
        <v>251</v>
      </c>
      <c r="O116" t="s">
        <v>68</v>
      </c>
      <c r="P116" t="str">
        <f>"NA                            "</f>
        <v xml:space="preserve">NA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6.96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 s="3"/>
      <c r="BD116" s="3"/>
      <c r="BE116" s="3"/>
      <c r="BF116" s="3"/>
      <c r="BG116">
        <v>0</v>
      </c>
      <c r="BH116">
        <v>1</v>
      </c>
      <c r="BI116">
        <v>18</v>
      </c>
      <c r="BJ116">
        <v>8</v>
      </c>
      <c r="BK116">
        <v>18</v>
      </c>
      <c r="BL116">
        <v>78.28</v>
      </c>
      <c r="BM116">
        <v>11.74</v>
      </c>
      <c r="BN116">
        <v>90.02</v>
      </c>
      <c r="BO116">
        <v>90.02</v>
      </c>
      <c r="BQ116" t="s">
        <v>248</v>
      </c>
      <c r="BR116" t="s">
        <v>239</v>
      </c>
      <c r="BS116" s="1">
        <v>44165</v>
      </c>
      <c r="BT116" s="2">
        <v>0.35902777777777778</v>
      </c>
      <c r="BU116" t="s">
        <v>547</v>
      </c>
      <c r="BV116" t="s">
        <v>69</v>
      </c>
      <c r="BY116">
        <v>39911.49</v>
      </c>
      <c r="CA116" t="s">
        <v>141</v>
      </c>
      <c r="CC116" t="s">
        <v>153</v>
      </c>
      <c r="CD116">
        <v>4300</v>
      </c>
      <c r="CE116" t="s">
        <v>71</v>
      </c>
      <c r="CF116" s="1">
        <v>44165</v>
      </c>
      <c r="CI116">
        <v>1</v>
      </c>
      <c r="CJ116">
        <v>1</v>
      </c>
      <c r="CK116" t="s">
        <v>131</v>
      </c>
      <c r="CL116" t="s">
        <v>72</v>
      </c>
    </row>
    <row r="117" spans="1:90" x14ac:dyDescent="0.25">
      <c r="A117" t="s">
        <v>252</v>
      </c>
      <c r="B117" t="s">
        <v>253</v>
      </c>
      <c r="C117" t="s">
        <v>62</v>
      </c>
      <c r="E117" t="str">
        <f>"009940360350"</f>
        <v>009940360350</v>
      </c>
      <c r="F117" s="1">
        <v>44161</v>
      </c>
      <c r="G117">
        <v>202105</v>
      </c>
      <c r="H117" t="s">
        <v>101</v>
      </c>
      <c r="I117" t="s">
        <v>102</v>
      </c>
      <c r="J117" t="s">
        <v>328</v>
      </c>
      <c r="K117" t="s">
        <v>65</v>
      </c>
      <c r="L117" t="s">
        <v>78</v>
      </c>
      <c r="M117" t="s">
        <v>79</v>
      </c>
      <c r="N117" t="s">
        <v>329</v>
      </c>
      <c r="O117" t="s">
        <v>73</v>
      </c>
      <c r="P117" t="str">
        <f>"11912270 FM                   "</f>
        <v xml:space="preserve">11912270 FM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4.4000000000000004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 s="3"/>
      <c r="BD117" s="3"/>
      <c r="BE117" s="3"/>
      <c r="BF117" s="3"/>
      <c r="BG117">
        <v>0</v>
      </c>
      <c r="BH117">
        <v>1</v>
      </c>
      <c r="BI117">
        <v>1</v>
      </c>
      <c r="BJ117">
        <v>1.2</v>
      </c>
      <c r="BK117">
        <v>1.5</v>
      </c>
      <c r="BL117">
        <v>46.27</v>
      </c>
      <c r="BM117">
        <v>6.94</v>
      </c>
      <c r="BN117">
        <v>53.21</v>
      </c>
      <c r="BO117">
        <v>53.21</v>
      </c>
      <c r="BQ117" t="s">
        <v>548</v>
      </c>
      <c r="BR117" t="s">
        <v>360</v>
      </c>
      <c r="BS117" s="1">
        <v>44162</v>
      </c>
      <c r="BT117" s="2">
        <v>0.3444444444444445</v>
      </c>
      <c r="BU117" t="s">
        <v>207</v>
      </c>
      <c r="BV117" t="s">
        <v>69</v>
      </c>
      <c r="BY117">
        <v>6000</v>
      </c>
      <c r="BZ117" t="s">
        <v>74</v>
      </c>
      <c r="CA117" t="s">
        <v>549</v>
      </c>
      <c r="CC117" t="s">
        <v>79</v>
      </c>
      <c r="CD117">
        <v>2021</v>
      </c>
      <c r="CE117" t="s">
        <v>71</v>
      </c>
      <c r="CF117" s="1">
        <v>44163</v>
      </c>
      <c r="CI117">
        <v>1</v>
      </c>
      <c r="CJ117">
        <v>1</v>
      </c>
      <c r="CK117">
        <v>21</v>
      </c>
      <c r="CL117" t="s">
        <v>72</v>
      </c>
    </row>
    <row r="118" spans="1:90" x14ac:dyDescent="0.25">
      <c r="A118" t="s">
        <v>308</v>
      </c>
      <c r="B118" t="s">
        <v>253</v>
      </c>
      <c r="C118" t="s">
        <v>62</v>
      </c>
      <c r="E118" t="str">
        <f>"009939921447"</f>
        <v>009939921447</v>
      </c>
      <c r="F118" s="1">
        <v>44161</v>
      </c>
      <c r="G118">
        <v>202105</v>
      </c>
      <c r="H118" t="s">
        <v>222</v>
      </c>
      <c r="I118" t="s">
        <v>223</v>
      </c>
      <c r="J118" t="s">
        <v>416</v>
      </c>
      <c r="K118" t="s">
        <v>65</v>
      </c>
      <c r="L118" t="s">
        <v>94</v>
      </c>
      <c r="M118" t="s">
        <v>95</v>
      </c>
      <c r="N118" t="s">
        <v>550</v>
      </c>
      <c r="O118" t="s">
        <v>68</v>
      </c>
      <c r="P118" t="str">
        <f>"                              "</f>
        <v xml:space="preserve">  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8.24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 s="3"/>
      <c r="BD118" s="3"/>
      <c r="BE118" s="3"/>
      <c r="BF118" s="3"/>
      <c r="BG118">
        <v>0</v>
      </c>
      <c r="BH118">
        <v>1</v>
      </c>
      <c r="BI118">
        <v>1</v>
      </c>
      <c r="BJ118">
        <v>0.2</v>
      </c>
      <c r="BK118">
        <v>1</v>
      </c>
      <c r="BL118">
        <v>91.74</v>
      </c>
      <c r="BM118">
        <v>13.76</v>
      </c>
      <c r="BN118">
        <v>105.5</v>
      </c>
      <c r="BO118">
        <v>105.5</v>
      </c>
      <c r="BS118" s="1">
        <v>44162</v>
      </c>
      <c r="BT118" s="2">
        <v>0.45902777777777781</v>
      </c>
      <c r="BU118" t="s">
        <v>111</v>
      </c>
      <c r="BV118" t="s">
        <v>69</v>
      </c>
      <c r="BY118">
        <v>1200</v>
      </c>
      <c r="CA118" t="s">
        <v>128</v>
      </c>
      <c r="CC118" t="s">
        <v>95</v>
      </c>
      <c r="CD118">
        <v>140</v>
      </c>
      <c r="CE118" t="s">
        <v>71</v>
      </c>
      <c r="CF118" s="1">
        <v>44165</v>
      </c>
      <c r="CI118">
        <v>0</v>
      </c>
      <c r="CJ118">
        <v>0</v>
      </c>
      <c r="CK118" t="s">
        <v>90</v>
      </c>
      <c r="CL118" t="s">
        <v>72</v>
      </c>
    </row>
    <row r="119" spans="1:90" x14ac:dyDescent="0.25">
      <c r="A119" t="s">
        <v>252</v>
      </c>
      <c r="B119" t="s">
        <v>253</v>
      </c>
      <c r="C119" t="s">
        <v>62</v>
      </c>
      <c r="E119" t="str">
        <f>"009939975321"</f>
        <v>009939975321</v>
      </c>
      <c r="F119" s="1">
        <v>44162</v>
      </c>
      <c r="G119">
        <v>202105</v>
      </c>
      <c r="H119" t="s">
        <v>99</v>
      </c>
      <c r="I119" t="s">
        <v>100</v>
      </c>
      <c r="J119" t="s">
        <v>328</v>
      </c>
      <c r="K119" t="s">
        <v>65</v>
      </c>
      <c r="L119" t="s">
        <v>101</v>
      </c>
      <c r="M119" t="s">
        <v>102</v>
      </c>
      <c r="N119" t="s">
        <v>328</v>
      </c>
      <c r="O119" t="s">
        <v>73</v>
      </c>
      <c r="P119" t="str">
        <f>"11912270 FM                   "</f>
        <v xml:space="preserve">11912270 FM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4.4000000000000004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 s="3"/>
      <c r="BD119" s="3"/>
      <c r="BE119" s="3"/>
      <c r="BF119" s="3"/>
      <c r="BG119">
        <v>0</v>
      </c>
      <c r="BH119">
        <v>1</v>
      </c>
      <c r="BI119">
        <v>1</v>
      </c>
      <c r="BJ119">
        <v>0.3</v>
      </c>
      <c r="BK119">
        <v>1</v>
      </c>
      <c r="BL119">
        <v>46.27</v>
      </c>
      <c r="BM119">
        <v>6.94</v>
      </c>
      <c r="BN119">
        <v>53.21</v>
      </c>
      <c r="BO119">
        <v>53.21</v>
      </c>
      <c r="BQ119" t="s">
        <v>360</v>
      </c>
      <c r="BR119" t="s">
        <v>389</v>
      </c>
      <c r="BS119" s="1">
        <v>44165</v>
      </c>
      <c r="BT119" s="2">
        <v>0.34722222222222227</v>
      </c>
      <c r="BU119" t="s">
        <v>175</v>
      </c>
      <c r="BV119" t="s">
        <v>69</v>
      </c>
      <c r="BY119">
        <v>1710</v>
      </c>
      <c r="BZ119" t="s">
        <v>80</v>
      </c>
      <c r="CA119" t="s">
        <v>114</v>
      </c>
      <c r="CC119" t="s">
        <v>102</v>
      </c>
      <c r="CD119">
        <v>6001</v>
      </c>
      <c r="CE119" t="s">
        <v>71</v>
      </c>
      <c r="CF119" s="1">
        <v>44165</v>
      </c>
      <c r="CI119">
        <v>1</v>
      </c>
      <c r="CJ119">
        <v>1</v>
      </c>
      <c r="CK119">
        <v>21</v>
      </c>
      <c r="CL119" t="s">
        <v>72</v>
      </c>
    </row>
    <row r="120" spans="1:90" x14ac:dyDescent="0.25">
      <c r="A120" t="s">
        <v>252</v>
      </c>
      <c r="B120" t="s">
        <v>253</v>
      </c>
      <c r="C120" t="s">
        <v>62</v>
      </c>
      <c r="E120" t="str">
        <f>"009939975320"</f>
        <v>009939975320</v>
      </c>
      <c r="F120" s="1">
        <v>44162</v>
      </c>
      <c r="G120">
        <v>202105</v>
      </c>
      <c r="H120" t="s">
        <v>99</v>
      </c>
      <c r="I120" t="s">
        <v>100</v>
      </c>
      <c r="J120" t="s">
        <v>328</v>
      </c>
      <c r="K120" t="s">
        <v>65</v>
      </c>
      <c r="L120" t="s">
        <v>139</v>
      </c>
      <c r="M120" t="s">
        <v>140</v>
      </c>
      <c r="N120" t="s">
        <v>328</v>
      </c>
      <c r="O120" t="s">
        <v>73</v>
      </c>
      <c r="P120" t="str">
        <f>"11912270 FM                   "</f>
        <v xml:space="preserve">11912270 FM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4.4000000000000004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 s="3"/>
      <c r="BD120" s="3"/>
      <c r="BE120" s="3"/>
      <c r="BF120" s="3"/>
      <c r="BG120">
        <v>0</v>
      </c>
      <c r="BH120">
        <v>1</v>
      </c>
      <c r="BI120">
        <v>1</v>
      </c>
      <c r="BJ120">
        <v>0.3</v>
      </c>
      <c r="BK120">
        <v>1</v>
      </c>
      <c r="BL120">
        <v>46.27</v>
      </c>
      <c r="BM120">
        <v>6.94</v>
      </c>
      <c r="BN120">
        <v>53.21</v>
      </c>
      <c r="BO120">
        <v>53.21</v>
      </c>
      <c r="BQ120" t="s">
        <v>551</v>
      </c>
      <c r="BR120" t="s">
        <v>389</v>
      </c>
      <c r="BS120" t="s">
        <v>123</v>
      </c>
      <c r="BY120">
        <v>1710</v>
      </c>
      <c r="BZ120" t="s">
        <v>80</v>
      </c>
      <c r="CC120" t="s">
        <v>140</v>
      </c>
      <c r="CD120">
        <v>6530</v>
      </c>
      <c r="CE120" t="s">
        <v>71</v>
      </c>
      <c r="CI120">
        <v>1</v>
      </c>
      <c r="CJ120" t="s">
        <v>123</v>
      </c>
      <c r="CK120">
        <v>21</v>
      </c>
      <c r="CL120" t="s">
        <v>72</v>
      </c>
    </row>
    <row r="121" spans="1:90" x14ac:dyDescent="0.25">
      <c r="A121" t="s">
        <v>252</v>
      </c>
      <c r="B121" t="s">
        <v>253</v>
      </c>
      <c r="C121" t="s">
        <v>62</v>
      </c>
      <c r="E121" t="str">
        <f>"029908452243"</f>
        <v>029908452243</v>
      </c>
      <c r="F121" s="1">
        <v>44162</v>
      </c>
      <c r="G121">
        <v>202105</v>
      </c>
      <c r="H121" t="s">
        <v>63</v>
      </c>
      <c r="I121" t="s">
        <v>64</v>
      </c>
      <c r="J121" t="s">
        <v>328</v>
      </c>
      <c r="K121" t="s">
        <v>65</v>
      </c>
      <c r="L121" t="s">
        <v>107</v>
      </c>
      <c r="M121" t="s">
        <v>92</v>
      </c>
      <c r="N121" t="s">
        <v>350</v>
      </c>
      <c r="O121" t="s">
        <v>73</v>
      </c>
      <c r="P121" t="str">
        <f>"11942270 FM                   "</f>
        <v xml:space="preserve">11942270 FM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4.4000000000000004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 s="3"/>
      <c r="BD121" s="3"/>
      <c r="BE121" s="3"/>
      <c r="BF121" s="3"/>
      <c r="BG121">
        <v>0</v>
      </c>
      <c r="BH121">
        <v>1</v>
      </c>
      <c r="BI121">
        <v>1.1000000000000001</v>
      </c>
      <c r="BJ121">
        <v>0.5</v>
      </c>
      <c r="BK121">
        <v>1.5</v>
      </c>
      <c r="BL121">
        <v>46.27</v>
      </c>
      <c r="BM121">
        <v>6.94</v>
      </c>
      <c r="BN121">
        <v>53.21</v>
      </c>
      <c r="BO121">
        <v>53.21</v>
      </c>
      <c r="BQ121" t="s">
        <v>351</v>
      </c>
      <c r="BR121" t="s">
        <v>524</v>
      </c>
      <c r="BS121" t="s">
        <v>123</v>
      </c>
      <c r="BY121">
        <v>2574</v>
      </c>
      <c r="BZ121" t="s">
        <v>74</v>
      </c>
      <c r="CC121" t="s">
        <v>92</v>
      </c>
      <c r="CD121">
        <v>8000</v>
      </c>
      <c r="CE121" t="s">
        <v>71</v>
      </c>
      <c r="CI121">
        <v>1</v>
      </c>
      <c r="CJ121" t="s">
        <v>123</v>
      </c>
      <c r="CK121">
        <v>21</v>
      </c>
      <c r="CL121" t="s">
        <v>72</v>
      </c>
    </row>
    <row r="122" spans="1:90" x14ac:dyDescent="0.25">
      <c r="A122" t="s">
        <v>252</v>
      </c>
      <c r="B122" t="s">
        <v>253</v>
      </c>
      <c r="C122" t="s">
        <v>62</v>
      </c>
      <c r="E122" t="str">
        <f>"009940541791"</f>
        <v>009940541791</v>
      </c>
      <c r="F122" s="1">
        <v>44162</v>
      </c>
      <c r="G122">
        <v>202105</v>
      </c>
      <c r="H122" t="s">
        <v>107</v>
      </c>
      <c r="I122" t="s">
        <v>92</v>
      </c>
      <c r="J122" t="s">
        <v>247</v>
      </c>
      <c r="K122" t="s">
        <v>65</v>
      </c>
      <c r="L122" t="s">
        <v>101</v>
      </c>
      <c r="M122" t="s">
        <v>102</v>
      </c>
      <c r="N122" t="s">
        <v>552</v>
      </c>
      <c r="O122" t="s">
        <v>73</v>
      </c>
      <c r="P122" t="str">
        <f>"MT CT                         "</f>
        <v xml:space="preserve">MT CT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4.4000000000000004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 s="3"/>
      <c r="BD122" s="3"/>
      <c r="BE122" s="3"/>
      <c r="BF122" s="3"/>
      <c r="BG122">
        <v>0</v>
      </c>
      <c r="BH122">
        <v>1</v>
      </c>
      <c r="BI122">
        <v>1</v>
      </c>
      <c r="BJ122">
        <v>1.4</v>
      </c>
      <c r="BK122">
        <v>1.5</v>
      </c>
      <c r="BL122">
        <v>46.27</v>
      </c>
      <c r="BM122">
        <v>6.94</v>
      </c>
      <c r="BN122">
        <v>53.21</v>
      </c>
      <c r="BO122">
        <v>53.21</v>
      </c>
      <c r="BR122" t="s">
        <v>255</v>
      </c>
      <c r="BS122" s="1">
        <v>44165</v>
      </c>
      <c r="BT122" s="2">
        <v>0.41597222222222219</v>
      </c>
      <c r="BU122" t="s">
        <v>553</v>
      </c>
      <c r="BV122" t="s">
        <v>69</v>
      </c>
      <c r="BY122">
        <v>7208.34</v>
      </c>
      <c r="BZ122" t="s">
        <v>74</v>
      </c>
      <c r="CA122" t="s">
        <v>130</v>
      </c>
      <c r="CC122" t="s">
        <v>102</v>
      </c>
      <c r="CD122">
        <v>6059</v>
      </c>
      <c r="CE122" t="s">
        <v>71</v>
      </c>
      <c r="CF122" s="1">
        <v>44165</v>
      </c>
      <c r="CI122">
        <v>1</v>
      </c>
      <c r="CJ122">
        <v>1</v>
      </c>
      <c r="CK122">
        <v>21</v>
      </c>
      <c r="CL122" t="s">
        <v>72</v>
      </c>
    </row>
    <row r="123" spans="1:90" x14ac:dyDescent="0.25">
      <c r="A123" t="s">
        <v>252</v>
      </c>
      <c r="B123" t="s">
        <v>253</v>
      </c>
      <c r="C123" t="s">
        <v>62</v>
      </c>
      <c r="E123" t="str">
        <f>"009940541804"</f>
        <v>009940541804</v>
      </c>
      <c r="F123" s="1">
        <v>44162</v>
      </c>
      <c r="G123">
        <v>202105</v>
      </c>
      <c r="H123" t="s">
        <v>107</v>
      </c>
      <c r="I123" t="s">
        <v>92</v>
      </c>
      <c r="J123" t="s">
        <v>247</v>
      </c>
      <c r="K123" t="s">
        <v>65</v>
      </c>
      <c r="L123" t="s">
        <v>152</v>
      </c>
      <c r="M123" t="s">
        <v>153</v>
      </c>
      <c r="N123" t="s">
        <v>247</v>
      </c>
      <c r="O123" t="s">
        <v>68</v>
      </c>
      <c r="P123" t="str">
        <f>"DBN                           "</f>
        <v xml:space="preserve">DBN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9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 s="3"/>
      <c r="BD123" s="3"/>
      <c r="BE123" s="3"/>
      <c r="BF123" s="3"/>
      <c r="BG123">
        <v>0</v>
      </c>
      <c r="BH123">
        <v>1</v>
      </c>
      <c r="BI123">
        <v>1</v>
      </c>
      <c r="BJ123">
        <v>3.2</v>
      </c>
      <c r="BK123">
        <v>4</v>
      </c>
      <c r="BL123">
        <v>99.71</v>
      </c>
      <c r="BM123">
        <v>14.96</v>
      </c>
      <c r="BN123">
        <v>114.67</v>
      </c>
      <c r="BO123">
        <v>114.67</v>
      </c>
      <c r="BQ123" t="s">
        <v>348</v>
      </c>
      <c r="BR123" t="s">
        <v>255</v>
      </c>
      <c r="BS123" s="1">
        <v>44165</v>
      </c>
      <c r="BT123" s="2">
        <v>0.35902777777777778</v>
      </c>
      <c r="BU123" t="s">
        <v>547</v>
      </c>
      <c r="BV123" t="s">
        <v>69</v>
      </c>
      <c r="BY123">
        <v>15941.75</v>
      </c>
      <c r="CA123" t="s">
        <v>141</v>
      </c>
      <c r="CC123" t="s">
        <v>153</v>
      </c>
      <c r="CD123">
        <v>4300</v>
      </c>
      <c r="CE123" t="s">
        <v>71</v>
      </c>
      <c r="CF123" s="1">
        <v>44165</v>
      </c>
      <c r="CI123">
        <v>2</v>
      </c>
      <c r="CJ123">
        <v>1</v>
      </c>
      <c r="CK123" t="s">
        <v>93</v>
      </c>
      <c r="CL123" t="s">
        <v>72</v>
      </c>
    </row>
    <row r="124" spans="1:90" x14ac:dyDescent="0.25">
      <c r="A124" t="s">
        <v>252</v>
      </c>
      <c r="B124" t="s">
        <v>253</v>
      </c>
      <c r="C124" t="s">
        <v>62</v>
      </c>
      <c r="E124" t="str">
        <f>"009940541808"</f>
        <v>009940541808</v>
      </c>
      <c r="F124" s="1">
        <v>44162</v>
      </c>
      <c r="G124">
        <v>202105</v>
      </c>
      <c r="H124" t="s">
        <v>107</v>
      </c>
      <c r="I124" t="s">
        <v>92</v>
      </c>
      <c r="J124" t="s">
        <v>247</v>
      </c>
      <c r="K124" t="s">
        <v>65</v>
      </c>
      <c r="L124" t="s">
        <v>101</v>
      </c>
      <c r="M124" t="s">
        <v>102</v>
      </c>
      <c r="N124" t="s">
        <v>554</v>
      </c>
      <c r="O124" t="s">
        <v>68</v>
      </c>
      <c r="P124" t="str">
        <f>"PE                            "</f>
        <v xml:space="preserve">PE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8.93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 s="3"/>
      <c r="BD124" s="3"/>
      <c r="BE124" s="3"/>
      <c r="BF124" s="3"/>
      <c r="BG124">
        <v>0</v>
      </c>
      <c r="BH124">
        <v>1</v>
      </c>
      <c r="BI124">
        <v>0.9</v>
      </c>
      <c r="BJ124">
        <v>2.4</v>
      </c>
      <c r="BK124">
        <v>3</v>
      </c>
      <c r="BL124">
        <v>98.97</v>
      </c>
      <c r="BM124">
        <v>14.85</v>
      </c>
      <c r="BN124">
        <v>113.82</v>
      </c>
      <c r="BO124">
        <v>113.82</v>
      </c>
      <c r="BQ124" t="s">
        <v>188</v>
      </c>
      <c r="BR124" t="s">
        <v>255</v>
      </c>
      <c r="BS124" s="1">
        <v>44165</v>
      </c>
      <c r="BT124" s="2">
        <v>0.51111111111111118</v>
      </c>
      <c r="BU124" t="s">
        <v>113</v>
      </c>
      <c r="BV124" t="s">
        <v>69</v>
      </c>
      <c r="BY124">
        <v>12117.6</v>
      </c>
      <c r="CA124" t="s">
        <v>136</v>
      </c>
      <c r="CC124" t="s">
        <v>102</v>
      </c>
      <c r="CD124">
        <v>6001</v>
      </c>
      <c r="CE124" t="s">
        <v>71</v>
      </c>
      <c r="CF124" s="1">
        <v>44165</v>
      </c>
      <c r="CI124">
        <v>2</v>
      </c>
      <c r="CJ124">
        <v>1</v>
      </c>
      <c r="CK124" t="s">
        <v>89</v>
      </c>
      <c r="CL124" t="s">
        <v>72</v>
      </c>
    </row>
    <row r="125" spans="1:90" x14ac:dyDescent="0.25">
      <c r="A125" t="s">
        <v>252</v>
      </c>
      <c r="B125" t="s">
        <v>253</v>
      </c>
      <c r="C125" t="s">
        <v>62</v>
      </c>
      <c r="E125" t="str">
        <f>"009940541792"</f>
        <v>009940541792</v>
      </c>
      <c r="F125" s="1">
        <v>44165</v>
      </c>
      <c r="G125">
        <v>202105</v>
      </c>
      <c r="H125" t="s">
        <v>107</v>
      </c>
      <c r="I125" t="s">
        <v>92</v>
      </c>
      <c r="J125" t="s">
        <v>247</v>
      </c>
      <c r="K125" t="s">
        <v>65</v>
      </c>
      <c r="L125" t="s">
        <v>195</v>
      </c>
      <c r="M125" t="s">
        <v>196</v>
      </c>
      <c r="N125" t="s">
        <v>555</v>
      </c>
      <c r="O125" t="s">
        <v>73</v>
      </c>
      <c r="P125" t="str">
        <f>"MT CT                         "</f>
        <v xml:space="preserve">MT CT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7.69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 s="3"/>
      <c r="BD125" s="3"/>
      <c r="BE125" s="3"/>
      <c r="BF125" s="3"/>
      <c r="BG125">
        <v>0</v>
      </c>
      <c r="BH125">
        <v>1</v>
      </c>
      <c r="BI125">
        <v>1.8</v>
      </c>
      <c r="BJ125">
        <v>2.2999999999999998</v>
      </c>
      <c r="BK125">
        <v>2.5</v>
      </c>
      <c r="BL125">
        <v>80.91</v>
      </c>
      <c r="BM125">
        <v>12.14</v>
      </c>
      <c r="BN125">
        <v>93.05</v>
      </c>
      <c r="BO125">
        <v>93.05</v>
      </c>
      <c r="BQ125" t="s">
        <v>429</v>
      </c>
      <c r="BR125" t="s">
        <v>255</v>
      </c>
      <c r="BS125" t="s">
        <v>123</v>
      </c>
      <c r="BY125">
        <v>11613.38</v>
      </c>
      <c r="BZ125" t="s">
        <v>74</v>
      </c>
      <c r="CC125" t="s">
        <v>196</v>
      </c>
      <c r="CD125">
        <v>7129</v>
      </c>
      <c r="CE125" t="s">
        <v>71</v>
      </c>
      <c r="CI125">
        <v>1</v>
      </c>
      <c r="CJ125" t="s">
        <v>123</v>
      </c>
      <c r="CK125">
        <v>24</v>
      </c>
      <c r="CL125" t="s">
        <v>72</v>
      </c>
    </row>
    <row r="126" spans="1:90" x14ac:dyDescent="0.25">
      <c r="A126" t="s">
        <v>308</v>
      </c>
      <c r="B126" t="s">
        <v>253</v>
      </c>
      <c r="C126" t="s">
        <v>62</v>
      </c>
      <c r="E126" t="str">
        <f>"009939754315"</f>
        <v>009939754315</v>
      </c>
      <c r="F126" s="1">
        <v>44165</v>
      </c>
      <c r="G126">
        <v>202105</v>
      </c>
      <c r="H126" t="s">
        <v>85</v>
      </c>
      <c r="I126" t="s">
        <v>86</v>
      </c>
      <c r="J126" t="s">
        <v>556</v>
      </c>
      <c r="K126" t="s">
        <v>65</v>
      </c>
      <c r="L126" t="s">
        <v>107</v>
      </c>
      <c r="M126" t="s">
        <v>92</v>
      </c>
      <c r="N126" t="s">
        <v>557</v>
      </c>
      <c r="O126" t="s">
        <v>154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8.24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 s="3"/>
      <c r="BD126" s="3"/>
      <c r="BE126" s="3"/>
      <c r="BF126" s="3"/>
      <c r="BG126">
        <v>0</v>
      </c>
      <c r="BH126">
        <v>1</v>
      </c>
      <c r="BI126">
        <v>2</v>
      </c>
      <c r="BJ126">
        <v>1.2</v>
      </c>
      <c r="BK126">
        <v>2</v>
      </c>
      <c r="BL126">
        <v>86.74</v>
      </c>
      <c r="BM126">
        <v>13.01</v>
      </c>
      <c r="BN126">
        <v>99.75</v>
      </c>
      <c r="BO126">
        <v>99.75</v>
      </c>
      <c r="BS126" t="s">
        <v>123</v>
      </c>
      <c r="BY126">
        <v>6000</v>
      </c>
      <c r="BZ126" t="s">
        <v>155</v>
      </c>
      <c r="CC126" t="s">
        <v>92</v>
      </c>
      <c r="CD126">
        <v>8000</v>
      </c>
      <c r="CE126" t="s">
        <v>71</v>
      </c>
      <c r="CI126">
        <v>1</v>
      </c>
      <c r="CJ126" t="s">
        <v>123</v>
      </c>
      <c r="CK126">
        <v>31</v>
      </c>
      <c r="CL126" t="s">
        <v>72</v>
      </c>
    </row>
    <row r="127" spans="1:90" x14ac:dyDescent="0.25">
      <c r="A127" t="s">
        <v>252</v>
      </c>
      <c r="B127" t="s">
        <v>253</v>
      </c>
      <c r="C127" t="s">
        <v>62</v>
      </c>
      <c r="E127" t="str">
        <f>"009940496975"</f>
        <v>009940496975</v>
      </c>
      <c r="F127" s="1">
        <v>44165</v>
      </c>
      <c r="G127">
        <v>202105</v>
      </c>
      <c r="H127" t="s">
        <v>220</v>
      </c>
      <c r="I127" t="s">
        <v>221</v>
      </c>
      <c r="J127" t="s">
        <v>382</v>
      </c>
      <c r="K127" t="s">
        <v>65</v>
      </c>
      <c r="L127" t="s">
        <v>66</v>
      </c>
      <c r="M127" t="s">
        <v>67</v>
      </c>
      <c r="N127" t="s">
        <v>382</v>
      </c>
      <c r="O127" t="s">
        <v>73</v>
      </c>
      <c r="P127" t="str">
        <f>"....                          "</f>
        <v xml:space="preserve">....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4.4000000000000004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 s="3"/>
      <c r="BD127" s="3"/>
      <c r="BE127" s="3"/>
      <c r="BF127" s="3"/>
      <c r="BG127">
        <v>0</v>
      </c>
      <c r="BH127">
        <v>1</v>
      </c>
      <c r="BI127">
        <v>1</v>
      </c>
      <c r="BJ127">
        <v>0.2</v>
      </c>
      <c r="BK127">
        <v>1</v>
      </c>
      <c r="BL127">
        <v>46.27</v>
      </c>
      <c r="BM127">
        <v>6.94</v>
      </c>
      <c r="BN127">
        <v>53.21</v>
      </c>
      <c r="BO127">
        <v>53.21</v>
      </c>
      <c r="BQ127" t="s">
        <v>558</v>
      </c>
      <c r="BR127" t="s">
        <v>452</v>
      </c>
      <c r="BS127" s="1">
        <v>44166</v>
      </c>
      <c r="BT127" s="2">
        <v>0.3833333333333333</v>
      </c>
      <c r="BU127" t="s">
        <v>559</v>
      </c>
      <c r="BV127" t="s">
        <v>69</v>
      </c>
      <c r="BY127">
        <v>1200</v>
      </c>
      <c r="BZ127" t="s">
        <v>80</v>
      </c>
      <c r="CA127" t="s">
        <v>70</v>
      </c>
      <c r="CC127" t="s">
        <v>67</v>
      </c>
      <c r="CD127">
        <v>1600</v>
      </c>
      <c r="CE127" t="s">
        <v>71</v>
      </c>
      <c r="CI127">
        <v>1</v>
      </c>
      <c r="CJ127">
        <v>1</v>
      </c>
      <c r="CK127">
        <v>21</v>
      </c>
      <c r="CL127" t="s">
        <v>72</v>
      </c>
    </row>
    <row r="128" spans="1:90" x14ac:dyDescent="0.25">
      <c r="BC128" s="3"/>
      <c r="BD128" s="3"/>
      <c r="BE128" s="3"/>
      <c r="BF128" s="3"/>
    </row>
    <row r="129" spans="55:57" x14ac:dyDescent="0.25">
      <c r="BC129" s="3"/>
      <c r="BD129" s="3"/>
      <c r="BE129" s="3"/>
    </row>
    <row r="130" spans="55:57" x14ac:dyDescent="0.25">
      <c r="BC130" s="3"/>
      <c r="BD130" s="3"/>
      <c r="BE130" s="3"/>
    </row>
    <row r="131" spans="55:57" x14ac:dyDescent="0.25">
      <c r="BC131" s="3"/>
      <c r="BD131" s="3"/>
      <c r="BE131" s="3"/>
    </row>
    <row r="132" spans="55:57" x14ac:dyDescent="0.25">
      <c r="BC132" s="3"/>
      <c r="BD132" s="3"/>
      <c r="BE132" s="3"/>
    </row>
    <row r="133" spans="55:57" x14ac:dyDescent="0.25">
      <c r="BC133" s="3"/>
      <c r="BD133" s="3"/>
      <c r="BE133" s="3"/>
    </row>
    <row r="134" spans="55:57" x14ac:dyDescent="0.25">
      <c r="BC134" s="3"/>
      <c r="BD134" s="3"/>
      <c r="BE134" s="3"/>
    </row>
    <row r="135" spans="55:57" x14ac:dyDescent="0.25">
      <c r="BC135" s="3"/>
      <c r="BD135" s="3"/>
      <c r="BE1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Pete</dc:creator>
  <cp:lastModifiedBy>leann</cp:lastModifiedBy>
  <dcterms:created xsi:type="dcterms:W3CDTF">2020-12-01T09:05:50Z</dcterms:created>
  <dcterms:modified xsi:type="dcterms:W3CDTF">2020-12-01T10:40:16Z</dcterms:modified>
</cp:coreProperties>
</file>