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drascd7-IEHAZMA130276" sheetId="1" r:id="rId1"/>
  </sheets>
  <calcPr calcId="145621"/>
</workbook>
</file>

<file path=xl/calcChain.xml><?xml version="1.0" encoding="utf-8"?>
<calcChain xmlns="http://schemas.openxmlformats.org/spreadsheetml/2006/main">
  <c r="P235" i="1" l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<sst xmlns="http://schemas.openxmlformats.org/spreadsheetml/2006/main" count="4756" uniqueCount="501">
  <si>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</si>
  <si>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</si>
  <si>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</si>
  <si>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</si>
  <si>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</si>
  <si>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</si>
  <si>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</si>
  <si>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</si>
  <si>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</si>
  <si>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</si>
  <si>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</si>
  <si>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</si>
  <si>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</si>
  <si>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</si>
  <si>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</si>
  <si>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</si>
  <si>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</si>
  <si>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</si>
  <si>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</si>
  <si>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</si>
  <si>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</si>
  <si>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</si>
  <si>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</si>
  <si>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</si>
  <si>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</si>
  <si>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</si>
  <si>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</si>
  <si>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</si>
  <si>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</si>
  <si>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</si>
  <si>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</si>
  <si>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</si>
  <si>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</si>
  <si>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</si>
  <si>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</si>
  <si>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</si>
  <si>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</si>
  <si>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</si>
  <si>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</si>
  <si>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</si>
  <si>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</si>
  <si>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</si>
  <si>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</si>
  <si>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</si>
  <si>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</si>
  <si>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</si>
  <si>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</si>
  <si>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</si>
  <si>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</si>
  <si>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</si>
  <si>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</si>
  <si>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</si>
  <si>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</si>
  <si>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</si>
  <si>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</si>
  <si>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</si>
  <si>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</si>
  <si>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</si>
  <si>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</si>
  <si>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</si>
  <si>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</si>
  <si>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</si>
  <si>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</si>
  <si>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</si>
  <si>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</si>
  <si>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</si>
  <si>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</si>
  <si>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</si>
  <si>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</si>
  <si>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</si>
  <si>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</si>
  <si>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</si>
  <si>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</si>
  <si>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</si>
  <si>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</si>
  <si>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RICHA</t>
  </si>
  <si>
    <t>RICHARDS BAY</t>
  </si>
  <si>
    <t xml:space="preserve">ATM SOLUTIONS                      </t>
  </si>
  <si>
    <t xml:space="preserve">                                   </t>
  </si>
  <si>
    <t>SANDT</t>
  </si>
  <si>
    <t>SANDTON</t>
  </si>
  <si>
    <t>DBC</t>
  </si>
  <si>
    <t>STORES</t>
  </si>
  <si>
    <t>SBONISO</t>
  </si>
  <si>
    <t>?</t>
  </si>
  <si>
    <t>FUE / doc</t>
  </si>
  <si>
    <t>PARCEL</t>
  </si>
  <si>
    <t>no</t>
  </si>
  <si>
    <t>BURG1</t>
  </si>
  <si>
    <t>BURGERSFORT</t>
  </si>
  <si>
    <t>PIET2</t>
  </si>
  <si>
    <t>PIETERSBURG</t>
  </si>
  <si>
    <t xml:space="preserve">ATM SOLUTION                       </t>
  </si>
  <si>
    <t>LAWRENCE</t>
  </si>
  <si>
    <t>musa</t>
  </si>
  <si>
    <t>yes</t>
  </si>
  <si>
    <t>POD received from cell 0813693772 M</t>
  </si>
  <si>
    <t>CAPET</t>
  </si>
  <si>
    <t>CAPE TOWN</t>
  </si>
  <si>
    <t>GEORGES</t>
  </si>
  <si>
    <t>MAHMOOD</t>
  </si>
  <si>
    <t>UMTAT</t>
  </si>
  <si>
    <t>UMTATA</t>
  </si>
  <si>
    <t>PORT3</t>
  </si>
  <si>
    <t>PORT ELIZABETH</t>
  </si>
  <si>
    <t>LIHLE SKADENI</t>
  </si>
  <si>
    <t>ZINGILE NKOMENI</t>
  </si>
  <si>
    <t>BOX</t>
  </si>
  <si>
    <t>BLOE1</t>
  </si>
  <si>
    <t>BLOEMFONTEIN</t>
  </si>
  <si>
    <t>ROBERT</t>
  </si>
  <si>
    <t>MORATUWA CELLULAR</t>
  </si>
  <si>
    <t>RUSTE</t>
  </si>
  <si>
    <t>RUSTENBURG</t>
  </si>
  <si>
    <t xml:space="preserve">ATM DOLUTIONS                      </t>
  </si>
  <si>
    <t>ON1</t>
  </si>
  <si>
    <t>NICO</t>
  </si>
  <si>
    <t>FUE / DOC</t>
  </si>
  <si>
    <t>NA</t>
  </si>
  <si>
    <t>NSA</t>
  </si>
  <si>
    <t>KURUM</t>
  </si>
  <si>
    <t>KURUMAN</t>
  </si>
  <si>
    <t>HND / FUE / DOC</t>
  </si>
  <si>
    <t>MIDD2</t>
  </si>
  <si>
    <t>MIDDELBURG (Mpumalanga)</t>
  </si>
  <si>
    <t xml:space="preserve">ATM OLUTIONS                       </t>
  </si>
  <si>
    <t>GEORG</t>
  </si>
  <si>
    <t>GEORGE</t>
  </si>
  <si>
    <t xml:space="preserve">GEORGE CENITAL                     </t>
  </si>
  <si>
    <t>FERI</t>
  </si>
  <si>
    <t>NS</t>
  </si>
  <si>
    <t>FERE</t>
  </si>
  <si>
    <t>JOHAN</t>
  </si>
  <si>
    <t>JOHANNESBURG</t>
  </si>
  <si>
    <t>COERT</t>
  </si>
  <si>
    <t>Reghard</t>
  </si>
  <si>
    <t>POD received from cell 0767920437 M</t>
  </si>
  <si>
    <t>George</t>
  </si>
  <si>
    <t>POD received from cell 0764072331 M</t>
  </si>
  <si>
    <t xml:space="preserve">PAYCORD                            </t>
  </si>
  <si>
    <t>QUINTIN</t>
  </si>
  <si>
    <t>CALVIN KHOZA</t>
  </si>
  <si>
    <t>Ann Ann</t>
  </si>
  <si>
    <t>POD received from cell 0797074161 M</t>
  </si>
  <si>
    <t>TZANE</t>
  </si>
  <si>
    <t>TZANEEN</t>
  </si>
  <si>
    <t>MUSA</t>
  </si>
  <si>
    <t>FHULUFHRLO</t>
  </si>
  <si>
    <t>Heinrich</t>
  </si>
  <si>
    <t>PIET1</t>
  </si>
  <si>
    <t>PIETERMARITZBURG</t>
  </si>
  <si>
    <t xml:space="preserve">ATM SOLUTIONS DURBAN               </t>
  </si>
  <si>
    <t>MERVLEN</t>
  </si>
  <si>
    <t>LOUIS</t>
  </si>
  <si>
    <t>LOUIS TRICHARDT</t>
  </si>
  <si>
    <t xml:space="preserve">ATM SOLUTIONS MAKHADO              </t>
  </si>
  <si>
    <t>t maluleke</t>
  </si>
  <si>
    <t>DURBA</t>
  </si>
  <si>
    <t>DURBAN</t>
  </si>
  <si>
    <t>KERSHEN</t>
  </si>
  <si>
    <t>karuna</t>
  </si>
  <si>
    <t>POD received from cell 0848255037 M</t>
  </si>
  <si>
    <t xml:space="preserve">ATM SOLUTIONS WITBANK              </t>
  </si>
  <si>
    <t>JONATHAN</t>
  </si>
  <si>
    <t>FENI</t>
  </si>
  <si>
    <t>LINO</t>
  </si>
  <si>
    <t xml:space="preserve">GEORGE CENTRAL STOREGE COMPAN      </t>
  </si>
  <si>
    <t>JOHAN MARIX</t>
  </si>
  <si>
    <t xml:space="preserve">johan                         </t>
  </si>
  <si>
    <t xml:space="preserve">                                        </t>
  </si>
  <si>
    <t xml:space="preserve">ATM SOLUTIONS PORT ELIZABETH       </t>
  </si>
  <si>
    <t>MALCOLM</t>
  </si>
  <si>
    <t>MORATUWA  DEBRA</t>
  </si>
  <si>
    <t>Vanessa De Kock</t>
  </si>
  <si>
    <t>POD received from cell 0612041892 M</t>
  </si>
  <si>
    <t>ATM SOLUTION</t>
  </si>
  <si>
    <t xml:space="preserve">ATM SOLUTIONS - PE                 </t>
  </si>
  <si>
    <t>EAST</t>
  </si>
  <si>
    <t>EAST LONDON</t>
  </si>
  <si>
    <t>HOLD FOR COLLECTION</t>
  </si>
  <si>
    <t>JASON PETERS</t>
  </si>
  <si>
    <t>EUGENE</t>
  </si>
  <si>
    <t>JASON</t>
  </si>
  <si>
    <t>Hold for Collection</t>
  </si>
  <si>
    <t>AVW</t>
  </si>
  <si>
    <t>POD received from cell 0734775152 M</t>
  </si>
  <si>
    <t>Reginald</t>
  </si>
  <si>
    <t>POD received from cell 0788774868 M</t>
  </si>
  <si>
    <t>PORT4</t>
  </si>
  <si>
    <t>PORT SHEPSTONE</t>
  </si>
  <si>
    <t>KISHAIL HARI</t>
  </si>
  <si>
    <t>FEMI</t>
  </si>
  <si>
    <t>calvin</t>
  </si>
  <si>
    <t xml:space="preserve">ATM SOLUTIONS JHB                  </t>
  </si>
  <si>
    <t>DEBRA MD</t>
  </si>
  <si>
    <t>YASHEN</t>
  </si>
  <si>
    <t>NEWCA</t>
  </si>
  <si>
    <t>NEWCASTLE</t>
  </si>
  <si>
    <t>LINDO KHUMALO</t>
  </si>
  <si>
    <t>LINDO</t>
  </si>
  <si>
    <t>Outlying delivery location</t>
  </si>
  <si>
    <t>min</t>
  </si>
  <si>
    <t>deliwe</t>
  </si>
  <si>
    <t>POD received from cell 0794895877 M</t>
  </si>
  <si>
    <t>JARAME</t>
  </si>
  <si>
    <t>LIANDRA</t>
  </si>
  <si>
    <t>POD received from cell 0847649236 M</t>
  </si>
  <si>
    <t xml:space="preserve">PAYCORP                            </t>
  </si>
  <si>
    <t>QUINTIN DE BOER</t>
  </si>
  <si>
    <t>Noma</t>
  </si>
  <si>
    <t>POD received from cell 0713017212 M</t>
  </si>
  <si>
    <t>GALVIN KHOYA</t>
  </si>
  <si>
    <t xml:space="preserve">ATJM SOLURION                      </t>
  </si>
  <si>
    <t xml:space="preserve">johan s                       </t>
  </si>
  <si>
    <t>Consignee not available)</t>
  </si>
  <si>
    <t>SYSTEM</t>
  </si>
  <si>
    <t>MERULEN</t>
  </si>
  <si>
    <t>MERLAS</t>
  </si>
  <si>
    <t>Appointment required</t>
  </si>
  <si>
    <t>lep</t>
  </si>
  <si>
    <t>THAPELO</t>
  </si>
  <si>
    <t>Late Linehaul Delayed Beyond Skynet Control</t>
  </si>
  <si>
    <t>jam</t>
  </si>
  <si>
    <t>POD received from cell 0764958693 M</t>
  </si>
  <si>
    <t>suue</t>
  </si>
  <si>
    <t>QUEEN</t>
  </si>
  <si>
    <t>QUEENSTOWN</t>
  </si>
  <si>
    <t>NORMAN</t>
  </si>
  <si>
    <t>naw</t>
  </si>
  <si>
    <t>CHAROZA</t>
  </si>
  <si>
    <t>HND / FUE / doc</t>
  </si>
  <si>
    <t xml:space="preserve">ATM SOL                            </t>
  </si>
  <si>
    <t>MORATUWA PHOTOLO</t>
  </si>
  <si>
    <t>linco</t>
  </si>
  <si>
    <t xml:space="preserve">ATM SOL RUSTENBURG                 </t>
  </si>
  <si>
    <t>Walter</t>
  </si>
  <si>
    <t>POD received from cell 0729194064 M</t>
  </si>
  <si>
    <t xml:space="preserve">ATM SOL WITBANK                    </t>
  </si>
  <si>
    <t>Georges</t>
  </si>
  <si>
    <t>sibangani</t>
  </si>
  <si>
    <t>POD received from cell 0653843035 M</t>
  </si>
  <si>
    <t>JERRY</t>
  </si>
  <si>
    <t>Company Closed</t>
  </si>
  <si>
    <t>zingile</t>
  </si>
  <si>
    <t>ssn</t>
  </si>
  <si>
    <t>K MALULUKE</t>
  </si>
  <si>
    <t>Tshifhiwa</t>
  </si>
  <si>
    <t>POD received from cell 0839546952 M</t>
  </si>
  <si>
    <t xml:space="preserve">FIDELIRTY CASH SERVICE             </t>
  </si>
  <si>
    <t>ruth</t>
  </si>
  <si>
    <t>POD received from cell 0732125467 M</t>
  </si>
  <si>
    <t>WELKO</t>
  </si>
  <si>
    <t>WELKOM</t>
  </si>
  <si>
    <t xml:space="preserve">ATRM SOLUTIONS                     </t>
  </si>
  <si>
    <t>ERNET</t>
  </si>
  <si>
    <t>keiso</t>
  </si>
  <si>
    <t>jon</t>
  </si>
  <si>
    <t>Musa</t>
  </si>
  <si>
    <t>EDDIE</t>
  </si>
  <si>
    <t>DELIW</t>
  </si>
  <si>
    <t>HEINRICH</t>
  </si>
  <si>
    <t>STILF</t>
  </si>
  <si>
    <t>STILFONTEIN</t>
  </si>
  <si>
    <t xml:space="preserve">SKYNET KLEKRSDORP                  </t>
  </si>
  <si>
    <t>STEPHAN</t>
  </si>
  <si>
    <t>WALTER</t>
  </si>
  <si>
    <t xml:space="preserve">Stephan                       </t>
  </si>
  <si>
    <t>asm</t>
  </si>
  <si>
    <t xml:space="preserve">POD received from cell 0679952741 M     </t>
  </si>
  <si>
    <t>REGINALD</t>
  </si>
  <si>
    <t xml:space="preserve">ATM SOL BLOENFONTEIN               </t>
  </si>
  <si>
    <t>HEIN</t>
  </si>
  <si>
    <t>memory</t>
  </si>
  <si>
    <t xml:space="preserve">ATM SOLUTIONS HEAD OFFICE          </t>
  </si>
  <si>
    <t>MIDRA</t>
  </si>
  <si>
    <t>MIDRAND</t>
  </si>
  <si>
    <t xml:space="preserve">ALLCASH TECHNOLOGIES               </t>
  </si>
  <si>
    <t>ON2</t>
  </si>
  <si>
    <t>ELLEN MNTAMBO</t>
  </si>
  <si>
    <t>Ann Quintin</t>
  </si>
  <si>
    <t>ellen</t>
  </si>
  <si>
    <t>POD received from cell 0630509171 M</t>
  </si>
  <si>
    <t>Flyer</t>
  </si>
  <si>
    <t>LINCO</t>
  </si>
  <si>
    <t xml:space="preserve">ARM SOLURIONS                      </t>
  </si>
  <si>
    <t>MONIQUE</t>
  </si>
  <si>
    <t xml:space="preserve">ARM SOLUTIONS                      </t>
  </si>
  <si>
    <t>georges</t>
  </si>
  <si>
    <t>ZINGILE HKOMEN</t>
  </si>
  <si>
    <t>RANDB</t>
  </si>
  <si>
    <t>RANDBURG</t>
  </si>
  <si>
    <t xml:space="preserve">UNILOCK MANUFACTURING CC           </t>
  </si>
  <si>
    <t>CHANTELL OLWAGE   PIOTR</t>
  </si>
  <si>
    <t>cheisea</t>
  </si>
  <si>
    <t>POD received from cell 0797027751 M</t>
  </si>
  <si>
    <t>Eugene</t>
  </si>
  <si>
    <t>POD received from cell 0644881838 M</t>
  </si>
  <si>
    <t>SIGNED</t>
  </si>
  <si>
    <t>SPRI3</t>
  </si>
  <si>
    <t>SPRINGS</t>
  </si>
  <si>
    <t xml:space="preserve">GEORGE CENTURAL STOREGE            </t>
  </si>
  <si>
    <t>JOHAN MARK</t>
  </si>
  <si>
    <t>JENNY</t>
  </si>
  <si>
    <t>Liandra</t>
  </si>
  <si>
    <t>THE</t>
  </si>
  <si>
    <t>Deliwe</t>
  </si>
  <si>
    <t>FISO</t>
  </si>
  <si>
    <t>FEHI</t>
  </si>
  <si>
    <t xml:space="preserve">GEORGE CENTRAL STORAGE             </t>
  </si>
  <si>
    <t>COERT JOHAN</t>
  </si>
  <si>
    <t>BJ DELPORT</t>
  </si>
  <si>
    <t>Late linehaul</t>
  </si>
  <si>
    <t>seb</t>
  </si>
  <si>
    <t>kholofelo</t>
  </si>
  <si>
    <t xml:space="preserve">ATM SOLURANT                       </t>
  </si>
  <si>
    <t>ZINGILE MKOMEN</t>
  </si>
  <si>
    <t>nthabiseng</t>
  </si>
  <si>
    <t>BETHL</t>
  </si>
  <si>
    <t>BETHLEHEM</t>
  </si>
  <si>
    <t xml:space="preserve">ATM                                </t>
  </si>
  <si>
    <t>3 BOXES</t>
  </si>
  <si>
    <t>STORES MARK</t>
  </si>
  <si>
    <t>siza</t>
  </si>
  <si>
    <t>POD received from cell 0780564416 M</t>
  </si>
  <si>
    <t>CHANTEL</t>
  </si>
  <si>
    <t>chantell</t>
  </si>
  <si>
    <t>POD received from cell 0769347056 M</t>
  </si>
  <si>
    <t>MORATUWA PHOTOLOR</t>
  </si>
  <si>
    <t>TONGA</t>
  </si>
  <si>
    <t>TONGAAT</t>
  </si>
  <si>
    <t xml:space="preserve">NDC LEBAL                          </t>
  </si>
  <si>
    <t>SHANICE</t>
  </si>
  <si>
    <t>POD received from cell 076995128 M</t>
  </si>
  <si>
    <t>TONI</t>
  </si>
  <si>
    <t>ann</t>
  </si>
  <si>
    <t>POD received from cell 0815375050 M</t>
  </si>
  <si>
    <t>NA29 HANS VAN RENGBURG STREET</t>
  </si>
  <si>
    <t xml:space="preserve">A T M SOLUTION                     </t>
  </si>
  <si>
    <t>STORE</t>
  </si>
  <si>
    <t>ASHOL HARI</t>
  </si>
  <si>
    <t>S HARI</t>
  </si>
  <si>
    <t>CALVIN</t>
  </si>
  <si>
    <t>NICU</t>
  </si>
  <si>
    <t>zanele</t>
  </si>
  <si>
    <t>anelisa</t>
  </si>
  <si>
    <t>POD received from cell 0843582707 M</t>
  </si>
  <si>
    <t>MBONGENI ERNEST</t>
  </si>
  <si>
    <t>MARBL</t>
  </si>
  <si>
    <t>MARBLE HALL</t>
  </si>
  <si>
    <t>DEBRA</t>
  </si>
  <si>
    <t>Bad address</t>
  </si>
  <si>
    <t>STEPHINA</t>
  </si>
  <si>
    <t>JACQUES</t>
  </si>
  <si>
    <t xml:space="preserve">FEDELITY CASH SERVICES             </t>
  </si>
  <si>
    <t>FHULUFHELO</t>
  </si>
  <si>
    <t>MORTUWA</t>
  </si>
  <si>
    <t>MUSA REGINALD</t>
  </si>
  <si>
    <t>Vanessa</t>
  </si>
  <si>
    <t xml:space="preserve">ATM SOLURIONS                      </t>
  </si>
  <si>
    <t>liandra</t>
  </si>
  <si>
    <t>the</t>
  </si>
  <si>
    <t>FETHI</t>
  </si>
  <si>
    <t>portia</t>
  </si>
  <si>
    <t>Driver late</t>
  </si>
  <si>
    <t>NGF</t>
  </si>
  <si>
    <t xml:space="preserve">ATM SOLURUIN                       </t>
  </si>
  <si>
    <t>KEISO</t>
  </si>
  <si>
    <t xml:space="preserve">ATM  SOLUIONS                      </t>
  </si>
  <si>
    <t>VERWO</t>
  </si>
  <si>
    <t>CENTURION</t>
  </si>
  <si>
    <t xml:space="preserve">HUGE CONDIECT                      </t>
  </si>
  <si>
    <t>ADIE</t>
  </si>
  <si>
    <t>Dwight</t>
  </si>
  <si>
    <t>POD received from cell 0769790129 M</t>
  </si>
  <si>
    <t>NELSP</t>
  </si>
  <si>
    <t>NELSPRUIT</t>
  </si>
  <si>
    <t>UNCO MOKWENA</t>
  </si>
  <si>
    <t>JOHN</t>
  </si>
  <si>
    <t>POD received from cell 0672852519 M</t>
  </si>
  <si>
    <t>LOCK</t>
  </si>
  <si>
    <t>Golice</t>
  </si>
  <si>
    <t>ALIAS</t>
  </si>
  <si>
    <t>MAHMODO</t>
  </si>
  <si>
    <t xml:space="preserve">ARM SOLUTIONSA                     </t>
  </si>
  <si>
    <t>anastona</t>
  </si>
  <si>
    <t>DEBRA EMILE</t>
  </si>
  <si>
    <t>HIJACKING</t>
  </si>
  <si>
    <t xml:space="preserve">UNILOCK MANUFACTURINF              </t>
  </si>
  <si>
    <t>CHANTELL</t>
  </si>
  <si>
    <t>R MALULEKE</t>
  </si>
  <si>
    <t>chantall</t>
  </si>
  <si>
    <t xml:space="preserve">FIDELITY CASH DRTVICES             </t>
  </si>
  <si>
    <t>KHUTSO</t>
  </si>
  <si>
    <t>delman</t>
  </si>
  <si>
    <t>POD received from cell 0766992819 M</t>
  </si>
  <si>
    <t xml:space="preserve">FIDELITY CASH DERVICES             </t>
  </si>
  <si>
    <t>LAWRANCE</t>
  </si>
  <si>
    <t>germina</t>
  </si>
  <si>
    <t>POD received from cell 0762402177 M</t>
  </si>
  <si>
    <t>ELIZABETH</t>
  </si>
  <si>
    <t xml:space="preserve">ATM SLOTIONS                       </t>
  </si>
  <si>
    <t>MMABA</t>
  </si>
  <si>
    <t>MMABATHO</t>
  </si>
  <si>
    <t>PETER LESOKO</t>
  </si>
  <si>
    <t>peter</t>
  </si>
  <si>
    <t xml:space="preserve">GEORGE CENIRAL                     </t>
  </si>
  <si>
    <t>JOHN MAX</t>
  </si>
  <si>
    <t>b j delport</t>
  </si>
  <si>
    <t xml:space="preserve">Walter                        </t>
  </si>
  <si>
    <t xml:space="preserve">POD received from cell 0729194064 M     </t>
  </si>
  <si>
    <t>NORMAN RALA RALA</t>
  </si>
  <si>
    <t>Norman</t>
  </si>
  <si>
    <t>SEROME E WEE</t>
  </si>
  <si>
    <t>mib</t>
  </si>
  <si>
    <t>kershen</t>
  </si>
  <si>
    <t>PET MASHALA</t>
  </si>
  <si>
    <t>Frank</t>
  </si>
  <si>
    <t>POD received from cell 0836713403 M</t>
  </si>
  <si>
    <t>DEBRA   EMILE</t>
  </si>
  <si>
    <t>POD received from cell 0786495567 M</t>
  </si>
  <si>
    <t>s hari</t>
  </si>
  <si>
    <t>POD received from cell 0849819699 M</t>
  </si>
  <si>
    <t>MORATUWA</t>
  </si>
  <si>
    <t>MORATOWA PHOTOLO</t>
  </si>
  <si>
    <t>john</t>
  </si>
  <si>
    <t>KHUTSO RONALABELA</t>
  </si>
  <si>
    <t>NA29 HANS VAN RENSRUS STREET</t>
  </si>
  <si>
    <t xml:space="preserve">karuna                        </t>
  </si>
  <si>
    <t xml:space="preserve">POD received from cell 0848255037 M     </t>
  </si>
  <si>
    <t>piet mashala</t>
  </si>
  <si>
    <t xml:space="preserve">SKYNET MAFIKENG                    </t>
  </si>
  <si>
    <t>PETER LETSOALO</t>
  </si>
  <si>
    <t>TSHEPO</t>
  </si>
  <si>
    <t>KISHAL HAI</t>
  </si>
  <si>
    <t>APHELELE MANONGA</t>
  </si>
  <si>
    <t>JNA</t>
  </si>
  <si>
    <t>FEAI</t>
  </si>
  <si>
    <t>APHELELE</t>
  </si>
  <si>
    <t xml:space="preserve">ATM RUSTENBURG                     </t>
  </si>
  <si>
    <t>NICODEMUS SETHE</t>
  </si>
  <si>
    <t xml:space="preserve">TM SOLUTIONS                       </t>
  </si>
  <si>
    <t>PREETESH-IT</t>
  </si>
  <si>
    <t>Anne</t>
  </si>
  <si>
    <t>PRECTCSH NAIDOO</t>
  </si>
  <si>
    <t xml:space="preserve">ATM  SOLUTION                      </t>
  </si>
  <si>
    <t xml:space="preserve">ATM SOLUTIONS RUSTENBURG           </t>
  </si>
  <si>
    <t>FHULU</t>
  </si>
  <si>
    <t>casey</t>
  </si>
  <si>
    <t>BORMAN</t>
  </si>
  <si>
    <t xml:space="preserve">likhaya                       </t>
  </si>
  <si>
    <t>HOTAZ</t>
  </si>
  <si>
    <t>HOTAZEL</t>
  </si>
  <si>
    <t>EUGENE JERRY</t>
  </si>
  <si>
    <t>SIGN</t>
  </si>
  <si>
    <t xml:space="preserve">ATM SOLUTIONS CPT                  </t>
  </si>
  <si>
    <t>Thapelo</t>
  </si>
  <si>
    <t>POD received from cell 0642876976 M</t>
  </si>
  <si>
    <t>VRYBU</t>
  </si>
  <si>
    <t>VRYBURG</t>
  </si>
  <si>
    <t>PETER MULLER</t>
  </si>
  <si>
    <t>LAWRENCE MODIKA</t>
  </si>
  <si>
    <t xml:space="preserve">SKYNET VRYBURG                     </t>
  </si>
  <si>
    <t>PIETER MULLER</t>
  </si>
  <si>
    <t>FLYER</t>
  </si>
  <si>
    <t xml:space="preserve">FEDELITY CASH SERVICE              </t>
  </si>
  <si>
    <t>RINDZELANI</t>
  </si>
  <si>
    <t>simon</t>
  </si>
  <si>
    <t>henrich</t>
  </si>
  <si>
    <t>MBONGENI</t>
  </si>
  <si>
    <t>KHUTSO RAMALOBA</t>
  </si>
  <si>
    <t>ZINGILE</t>
  </si>
  <si>
    <t>sboniso</t>
  </si>
  <si>
    <t>jap</t>
  </si>
  <si>
    <t>Missed cutoff</t>
  </si>
  <si>
    <t>CJV</t>
  </si>
  <si>
    <t xml:space="preserve">FESELITY CASH SERVICES             </t>
  </si>
  <si>
    <t>LOCKS</t>
  </si>
  <si>
    <t>let</t>
  </si>
  <si>
    <t>POD received from cell 0712184974 M</t>
  </si>
  <si>
    <t>kgaugelo</t>
  </si>
  <si>
    <t xml:space="preserve">suue                          </t>
  </si>
  <si>
    <t>Jonathan</t>
  </si>
  <si>
    <t>PIETER LIEBENBONG</t>
  </si>
  <si>
    <t>Helen</t>
  </si>
  <si>
    <t>POD received from cell 0728883541 M</t>
  </si>
  <si>
    <t>MORATUWA DEBRA</t>
  </si>
  <si>
    <t>anasbaso</t>
  </si>
  <si>
    <t xml:space="preserve">ATM SOLUTION WAREHOSE              </t>
  </si>
  <si>
    <t>LOOKS</t>
  </si>
  <si>
    <t>KHULUSO  RAMALOBELA</t>
  </si>
  <si>
    <t>PETER</t>
  </si>
  <si>
    <t>CSH / FUE / doc</t>
  </si>
  <si>
    <t>ERNEST</t>
  </si>
  <si>
    <t>hein</t>
  </si>
  <si>
    <t>Monique</t>
  </si>
  <si>
    <t>amt</t>
  </si>
  <si>
    <t>MORATIWA</t>
  </si>
  <si>
    <t>Moratuwa</t>
  </si>
  <si>
    <t>LIHLE SKEDENI</t>
  </si>
  <si>
    <t>BOXES</t>
  </si>
  <si>
    <t>WARE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</si>
</sst>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35"/>
  <sheetViews>
    <sheetView tabSelected="1" workbookViewId="0">
      <selection activeCell="D222" sqref="D222"/>
    </sheetView>
  </sheetViews>
  <sheetFormatPr defaultRowHeight="12.75" x14ac:dyDescent="0.2"/>
  <cols>
    <col min="1" max="1" width="7.28515625" style="3" bestFit="1" customWidth="1"/>
    <col min="2" max="2" width="32.140625" style="3" bestFit="1" customWidth="1"/>
    <col min="3" max="3" width="5.42578125" style="3" bestFit="1" customWidth="1"/>
    <col min="4" max="4" width="7.5703125" style="3" bestFit="1" customWidth="1"/>
    <col min="5" max="5" width="15.140625" style="3" bestFit="1" customWidth="1"/>
    <col min="6" max="6" width="10.42578125" style="3" bestFit="1" customWidth="1"/>
    <col min="7" max="7" width="7" style="3" bestFit="1" customWidth="1"/>
    <col min="8" max="8" width="7.140625" style="3" bestFit="1" customWidth="1"/>
    <col min="9" max="9" width="23.7109375" style="3" bestFit="1" customWidth="1"/>
    <col min="10" max="10" width="30.85546875" style="3" bestFit="1" customWidth="1"/>
    <col min="11" max="11" width="16.140625" style="3" bestFit="1" customWidth="1"/>
    <col min="12" max="12" width="7.5703125" style="3" bestFit="1" customWidth="1"/>
    <col min="13" max="13" width="23.7109375" style="3" bestFit="1" customWidth="1"/>
    <col min="14" max="14" width="33.140625" style="3" bestFit="1" customWidth="1"/>
    <col min="15" max="15" width="4.42578125" style="3" bestFit="1" customWidth="1"/>
    <col min="16" max="16" width="29.28515625" style="3" bestFit="1" customWidth="1"/>
    <col min="17" max="17" width="4.5703125" style="3" bestFit="1" customWidth="1"/>
    <col min="18" max="18" width="4.7109375" style="3" bestFit="1" customWidth="1"/>
    <col min="19" max="19" width="5.140625" style="3" bestFit="1" customWidth="1"/>
    <col min="20" max="20" width="4.7109375" style="3" bestFit="1" customWidth="1"/>
    <col min="21" max="21" width="4.85546875" style="3" bestFit="1" customWidth="1"/>
    <col min="22" max="22" width="4.7109375" style="3" bestFit="1" customWidth="1"/>
    <col min="23" max="23" width="4.85546875" style="3" bestFit="1" customWidth="1"/>
    <col min="24" max="24" width="4.7109375" style="3" bestFit="1" customWidth="1"/>
    <col min="25" max="25" width="4.85546875" style="3" bestFit="1" customWidth="1"/>
    <col min="26" max="26" width="4.7109375" style="3" bestFit="1" customWidth="1"/>
    <col min="27" max="27" width="4.5703125" style="3" bestFit="1" customWidth="1"/>
    <col min="28" max="28" width="4.7109375" style="3" bestFit="1" customWidth="1"/>
    <col min="29" max="29" width="4.5703125" style="3" bestFit="1" customWidth="1"/>
    <col min="30" max="30" width="4.7109375" style="3" bestFit="1" customWidth="1"/>
    <col min="31" max="31" width="4.85546875" style="3" bestFit="1" customWidth="1"/>
    <col min="32" max="32" width="4.7109375" style="3" bestFit="1" customWidth="1"/>
    <col min="33" max="33" width="7" style="3" bestFit="1" customWidth="1"/>
    <col min="34" max="34" width="4.7109375" style="3" bestFit="1" customWidth="1"/>
    <col min="35" max="35" width="5" style="3" bestFit="1" customWidth="1"/>
    <col min="36" max="36" width="4.7109375" style="3" bestFit="1" customWidth="1"/>
    <col min="37" max="37" width="9" style="3" bestFit="1" customWidth="1"/>
    <col min="38" max="40" width="4.7109375" style="3" bestFit="1" customWidth="1"/>
    <col min="41" max="41" width="4.5703125" style="3" bestFit="1" customWidth="1"/>
    <col min="42" max="42" width="4.7109375" style="3" bestFit="1" customWidth="1"/>
    <col min="43" max="43" width="5" style="3" bestFit="1" customWidth="1"/>
    <col min="44" max="44" width="4.7109375" style="3" bestFit="1" customWidth="1"/>
    <col min="45" max="45" width="3.85546875" style="3" bestFit="1" customWidth="1"/>
    <col min="46" max="46" width="4.7109375" style="3" bestFit="1" customWidth="1"/>
    <col min="47" max="47" width="4.140625" style="3" bestFit="1" customWidth="1"/>
    <col min="48" max="48" width="4.7109375" style="3" bestFit="1" customWidth="1"/>
    <col min="49" max="49" width="4.140625" style="3" bestFit="1" customWidth="1"/>
    <col min="50" max="50" width="4.7109375" style="3" bestFit="1" customWidth="1"/>
    <col min="51" max="51" width="4.42578125" style="3" bestFit="1" customWidth="1"/>
    <col min="52" max="52" width="4.7109375" style="3" bestFit="1" customWidth="1"/>
    <col min="53" max="53" width="4.85546875" style="3" bestFit="1" customWidth="1"/>
    <col min="54" max="54" width="4.7109375" style="3" bestFit="1" customWidth="1"/>
    <col min="55" max="55" width="4.85546875" style="3" bestFit="1" customWidth="1"/>
    <col min="56" max="56" width="4.7109375" style="3" bestFit="1" customWidth="1"/>
    <col min="57" max="57" width="4.5703125" style="3" bestFit="1" customWidth="1"/>
    <col min="58" max="58" width="4.7109375" style="3" bestFit="1" customWidth="1"/>
    <col min="59" max="59" width="8.42578125" style="3" bestFit="1" customWidth="1"/>
    <col min="60" max="60" width="5.42578125" style="3" bestFit="1" customWidth="1"/>
    <col min="61" max="61" width="7.140625" style="3" bestFit="1" customWidth="1"/>
    <col min="62" max="62" width="7.42578125" style="3" bestFit="1" customWidth="1"/>
    <col min="63" max="63" width="8" style="3" bestFit="1" customWidth="1"/>
    <col min="64" max="64" width="10" style="3" bestFit="1" customWidth="1"/>
    <col min="65" max="67" width="9" style="3" bestFit="1" customWidth="1"/>
    <col min="68" max="68" width="49.85546875" style="3" bestFit="1" customWidth="1"/>
    <col min="69" max="69" width="28.42578125" style="3" bestFit="1" customWidth="1"/>
    <col min="70" max="70" width="22" style="3" bestFit="1" customWidth="1"/>
    <col min="71" max="71" width="10.42578125" style="3" bestFit="1" customWidth="1"/>
    <col min="72" max="72" width="5.5703125" style="3" bestFit="1" customWidth="1"/>
    <col min="73" max="73" width="27.42578125" style="3" bestFit="1" customWidth="1"/>
    <col min="74" max="74" width="5" style="3" bestFit="1" customWidth="1"/>
    <col min="75" max="75" width="36.7109375" style="3" bestFit="1" customWidth="1"/>
    <col min="76" max="76" width="8.140625" style="3" bestFit="1" customWidth="1"/>
    <col min="77" max="77" width="11" style="3" bestFit="1" customWidth="1"/>
    <col min="78" max="78" width="14" style="3" bestFit="1" customWidth="1"/>
    <col min="79" max="79" width="35.140625" style="3" bestFit="1" customWidth="1"/>
    <col min="80" max="80" width="8.85546875" style="3" bestFit="1" customWidth="1"/>
    <col min="81" max="81" width="23.7109375" style="3" bestFit="1" customWidth="1"/>
    <col min="82" max="82" width="6.5703125" style="3" bestFit="1" customWidth="1"/>
    <col min="83" max="83" width="34" style="3" bestFit="1" customWidth="1"/>
    <col min="84" max="84" width="10.42578125" style="3" bestFit="1" customWidth="1"/>
    <col min="85" max="85" width="6.5703125" style="3" bestFit="1" customWidth="1"/>
    <col min="86" max="86" width="9.140625" style="3"/>
    <col min="87" max="87" width="6.7109375" style="3" bestFit="1" customWidth="1"/>
    <col min="88" max="88" width="7.5703125" style="3" bestFit="1" customWidth="1"/>
    <col min="89" max="89" width="5.140625" style="3" bestFit="1" customWidth="1"/>
    <col min="90" max="91" width="8.42578125" style="3" bestFit="1" customWidth="1"/>
    <col min="92" max="92" width="7.85546875" style="3" bestFit="1" customWidth="1"/>
    <col min="93" max="16384" width="9.140625" style="3"/>
  </cols>
  <sheetData>
    <row r="1" spans="1:92" ht="20.100000000000001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">
      <c r="A2" s="3" t="s">
        <v>72</v>
      </c>
      <c r="B2" s="3" t="s">
        <v>73</v>
      </c>
      <c r="C2" s="3" t="s">
        <v>74</v>
      </c>
      <c r="E2" s="3" t="str">
        <f>"009941300899"</f>
        <v>009941300899</v>
      </c>
      <c r="F2" s="4">
        <v>44589</v>
      </c>
      <c r="G2" s="3">
        <v>202207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77</v>
      </c>
      <c r="O2" s="3" t="s">
        <v>81</v>
      </c>
      <c r="P2" s="3" t="str">
        <f>"                              "</f>
        <v xml:space="preserve">   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48.62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18</v>
      </c>
      <c r="BJ2" s="3">
        <v>17.899999999999999</v>
      </c>
      <c r="BK2" s="3">
        <v>18</v>
      </c>
      <c r="BL2" s="3">
        <v>190.83</v>
      </c>
      <c r="BM2" s="3">
        <v>28.62</v>
      </c>
      <c r="BN2" s="3">
        <v>219.45</v>
      </c>
      <c r="BO2" s="3">
        <v>219.45</v>
      </c>
      <c r="BQ2" s="3" t="s">
        <v>82</v>
      </c>
      <c r="BR2" s="3" t="s">
        <v>83</v>
      </c>
      <c r="BS2" s="3" t="s">
        <v>84</v>
      </c>
      <c r="BY2" s="3">
        <v>89440</v>
      </c>
      <c r="BZ2" s="3" t="s">
        <v>85</v>
      </c>
      <c r="CC2" s="3" t="s">
        <v>80</v>
      </c>
      <c r="CD2" s="3">
        <v>2146</v>
      </c>
      <c r="CE2" s="3" t="s">
        <v>86</v>
      </c>
      <c r="CI2" s="3">
        <v>2</v>
      </c>
      <c r="CJ2" s="3" t="s">
        <v>84</v>
      </c>
      <c r="CK2" s="3">
        <v>43</v>
      </c>
      <c r="CL2" s="3" t="s">
        <v>87</v>
      </c>
    </row>
    <row r="3" spans="1:92" x14ac:dyDescent="0.2">
      <c r="A3" s="3" t="s">
        <v>72</v>
      </c>
      <c r="B3" s="3" t="s">
        <v>73</v>
      </c>
      <c r="C3" s="3" t="s">
        <v>74</v>
      </c>
      <c r="E3" s="3" t="str">
        <f>"009941259937"</f>
        <v>009941259937</v>
      </c>
      <c r="F3" s="4">
        <v>44589</v>
      </c>
      <c r="G3" s="3">
        <v>202207</v>
      </c>
      <c r="H3" s="3" t="s">
        <v>88</v>
      </c>
      <c r="I3" s="3" t="s">
        <v>89</v>
      </c>
      <c r="J3" s="3" t="s">
        <v>77</v>
      </c>
      <c r="K3" s="3" t="s">
        <v>78</v>
      </c>
      <c r="L3" s="3" t="s">
        <v>90</v>
      </c>
      <c r="M3" s="3" t="s">
        <v>91</v>
      </c>
      <c r="N3" s="3" t="s">
        <v>92</v>
      </c>
      <c r="O3" s="3" t="s">
        <v>81</v>
      </c>
      <c r="P3" s="3" t="str">
        <f>"                              "</f>
        <v xml:space="preserve">        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72.53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2</v>
      </c>
      <c r="BI3" s="3">
        <v>27.5</v>
      </c>
      <c r="BJ3" s="3">
        <v>60.3</v>
      </c>
      <c r="BK3" s="3">
        <v>61</v>
      </c>
      <c r="BL3" s="3">
        <v>282.08999999999997</v>
      </c>
      <c r="BM3" s="3">
        <v>42.31</v>
      </c>
      <c r="BN3" s="3">
        <v>324.39999999999998</v>
      </c>
      <c r="BO3" s="3">
        <v>324.39999999999998</v>
      </c>
      <c r="BR3" s="3" t="s">
        <v>93</v>
      </c>
      <c r="BS3" s="4">
        <v>44589</v>
      </c>
      <c r="BT3" s="5">
        <v>0.43402777777777773</v>
      </c>
      <c r="BU3" s="3" t="s">
        <v>94</v>
      </c>
      <c r="BV3" s="3" t="s">
        <v>95</v>
      </c>
      <c r="BY3" s="3">
        <v>301665</v>
      </c>
      <c r="BZ3" s="3" t="s">
        <v>85</v>
      </c>
      <c r="CA3" s="3" t="s">
        <v>96</v>
      </c>
      <c r="CC3" s="3" t="s">
        <v>91</v>
      </c>
      <c r="CD3" s="3">
        <v>699</v>
      </c>
      <c r="CE3" s="3" t="s">
        <v>86</v>
      </c>
      <c r="CF3" s="4">
        <v>44589</v>
      </c>
      <c r="CI3" s="3">
        <v>1</v>
      </c>
      <c r="CJ3" s="3">
        <v>0</v>
      </c>
      <c r="CK3" s="3">
        <v>44</v>
      </c>
      <c r="CL3" s="3" t="s">
        <v>87</v>
      </c>
    </row>
    <row r="4" spans="1:92" x14ac:dyDescent="0.2">
      <c r="A4" s="3" t="s">
        <v>72</v>
      </c>
      <c r="B4" s="3" t="s">
        <v>73</v>
      </c>
      <c r="C4" s="3" t="s">
        <v>74</v>
      </c>
      <c r="E4" s="3" t="str">
        <f>"009940746423"</f>
        <v>009940746423</v>
      </c>
      <c r="F4" s="4">
        <v>44588</v>
      </c>
      <c r="G4" s="3">
        <v>202207</v>
      </c>
      <c r="H4" s="3" t="s">
        <v>97</v>
      </c>
      <c r="I4" s="3" t="s">
        <v>98</v>
      </c>
      <c r="J4" s="3" t="s">
        <v>77</v>
      </c>
      <c r="K4" s="3" t="s">
        <v>78</v>
      </c>
      <c r="L4" s="3" t="s">
        <v>79</v>
      </c>
      <c r="M4" s="3" t="s">
        <v>80</v>
      </c>
      <c r="N4" s="3" t="s">
        <v>77</v>
      </c>
      <c r="O4" s="3" t="s">
        <v>81</v>
      </c>
      <c r="P4" s="3" t="str">
        <f>"                              "</f>
        <v xml:space="preserve">        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69.31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1</v>
      </c>
      <c r="BI4" s="3">
        <v>35.200000000000003</v>
      </c>
      <c r="BJ4" s="3">
        <v>46.9</v>
      </c>
      <c r="BK4" s="3">
        <v>47</v>
      </c>
      <c r="BL4" s="3">
        <v>269.8</v>
      </c>
      <c r="BM4" s="3">
        <v>40.47</v>
      </c>
      <c r="BN4" s="3">
        <v>310.27</v>
      </c>
      <c r="BO4" s="3">
        <v>310.27</v>
      </c>
      <c r="BQ4" s="3" t="s">
        <v>99</v>
      </c>
      <c r="BR4" s="3" t="s">
        <v>100</v>
      </c>
      <c r="BS4" s="3" t="s">
        <v>84</v>
      </c>
      <c r="BY4" s="3">
        <v>234340.56</v>
      </c>
      <c r="BZ4" s="3" t="s">
        <v>85</v>
      </c>
      <c r="CC4" s="3" t="s">
        <v>80</v>
      </c>
      <c r="CD4" s="3">
        <v>2146</v>
      </c>
      <c r="CE4" s="3" t="s">
        <v>86</v>
      </c>
      <c r="CI4" s="3">
        <v>2</v>
      </c>
      <c r="CJ4" s="3" t="s">
        <v>84</v>
      </c>
      <c r="CK4" s="3">
        <v>41</v>
      </c>
      <c r="CL4" s="3" t="s">
        <v>87</v>
      </c>
    </row>
    <row r="5" spans="1:92" x14ac:dyDescent="0.2">
      <c r="A5" s="3" t="s">
        <v>72</v>
      </c>
      <c r="B5" s="3" t="s">
        <v>73</v>
      </c>
      <c r="C5" s="3" t="s">
        <v>74</v>
      </c>
      <c r="E5" s="3" t="str">
        <f>"009941249669"</f>
        <v>009941249669</v>
      </c>
      <c r="F5" s="4">
        <v>44589</v>
      </c>
      <c r="G5" s="3">
        <v>202207</v>
      </c>
      <c r="H5" s="3" t="s">
        <v>101</v>
      </c>
      <c r="I5" s="3" t="s">
        <v>102</v>
      </c>
      <c r="J5" s="3" t="s">
        <v>77</v>
      </c>
      <c r="K5" s="3" t="s">
        <v>78</v>
      </c>
      <c r="L5" s="3" t="s">
        <v>103</v>
      </c>
      <c r="M5" s="3" t="s">
        <v>104</v>
      </c>
      <c r="N5" s="3" t="s">
        <v>77</v>
      </c>
      <c r="O5" s="3" t="s">
        <v>81</v>
      </c>
      <c r="P5" s="3" t="str">
        <f>"                              "</f>
        <v xml:space="preserve">        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279.19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3</v>
      </c>
      <c r="BI5" s="3">
        <v>60</v>
      </c>
      <c r="BJ5" s="3">
        <v>124.3</v>
      </c>
      <c r="BK5" s="3">
        <v>125</v>
      </c>
      <c r="BL5" s="3">
        <v>1070.8900000000001</v>
      </c>
      <c r="BM5" s="3">
        <v>160.63</v>
      </c>
      <c r="BN5" s="3">
        <v>1231.52</v>
      </c>
      <c r="BO5" s="3">
        <v>1231.52</v>
      </c>
      <c r="BQ5" s="3" t="s">
        <v>105</v>
      </c>
      <c r="BR5" s="3" t="s">
        <v>106</v>
      </c>
      <c r="BS5" s="3" t="s">
        <v>84</v>
      </c>
      <c r="BY5" s="3">
        <v>207200</v>
      </c>
      <c r="BZ5" s="3" t="s">
        <v>85</v>
      </c>
      <c r="CC5" s="3" t="s">
        <v>104</v>
      </c>
      <c r="CD5" s="3">
        <v>6000</v>
      </c>
      <c r="CE5" s="3" t="s">
        <v>107</v>
      </c>
      <c r="CI5" s="3">
        <v>3</v>
      </c>
      <c r="CJ5" s="3" t="s">
        <v>84</v>
      </c>
      <c r="CK5" s="3">
        <v>43</v>
      </c>
      <c r="CL5" s="3" t="s">
        <v>87</v>
      </c>
    </row>
    <row r="6" spans="1:92" x14ac:dyDescent="0.2">
      <c r="A6" s="3" t="s">
        <v>72</v>
      </c>
      <c r="B6" s="3" t="s">
        <v>73</v>
      </c>
      <c r="C6" s="3" t="s">
        <v>74</v>
      </c>
      <c r="E6" s="3" t="str">
        <f>"009941850997"</f>
        <v>009941850997</v>
      </c>
      <c r="F6" s="4">
        <v>44589</v>
      </c>
      <c r="G6" s="3">
        <v>202207</v>
      </c>
      <c r="H6" s="3" t="s">
        <v>79</v>
      </c>
      <c r="I6" s="3" t="s">
        <v>80</v>
      </c>
      <c r="J6" s="3" t="s">
        <v>77</v>
      </c>
      <c r="K6" s="3" t="s">
        <v>78</v>
      </c>
      <c r="L6" s="3" t="s">
        <v>108</v>
      </c>
      <c r="M6" s="3" t="s">
        <v>109</v>
      </c>
      <c r="N6" s="3" t="s">
        <v>77</v>
      </c>
      <c r="O6" s="3" t="s">
        <v>81</v>
      </c>
      <c r="P6" s="3" t="str">
        <f t="shared" ref="P6:P14" si="0">"STORES                        "</f>
        <v xml:space="preserve">STORES  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29.89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4.3</v>
      </c>
      <c r="BJ6" s="3">
        <v>10.5</v>
      </c>
      <c r="BK6" s="3">
        <v>11</v>
      </c>
      <c r="BL6" s="3">
        <v>119.34</v>
      </c>
      <c r="BM6" s="3">
        <v>17.899999999999999</v>
      </c>
      <c r="BN6" s="3">
        <v>137.24</v>
      </c>
      <c r="BO6" s="3">
        <v>137.24</v>
      </c>
      <c r="BQ6" s="3" t="s">
        <v>110</v>
      </c>
      <c r="BR6" s="3" t="s">
        <v>111</v>
      </c>
      <c r="BS6" s="3" t="s">
        <v>84</v>
      </c>
      <c r="BY6" s="3">
        <v>52521.3</v>
      </c>
      <c r="BZ6" s="3" t="s">
        <v>85</v>
      </c>
      <c r="CC6" s="3" t="s">
        <v>109</v>
      </c>
      <c r="CD6" s="3">
        <v>9300</v>
      </c>
      <c r="CE6" s="3" t="s">
        <v>86</v>
      </c>
      <c r="CI6" s="3">
        <v>1</v>
      </c>
      <c r="CJ6" s="3" t="s">
        <v>84</v>
      </c>
      <c r="CK6" s="3">
        <v>41</v>
      </c>
      <c r="CL6" s="3" t="s">
        <v>87</v>
      </c>
    </row>
    <row r="7" spans="1:92" x14ac:dyDescent="0.2">
      <c r="A7" s="3" t="s">
        <v>72</v>
      </c>
      <c r="B7" s="3" t="s">
        <v>73</v>
      </c>
      <c r="C7" s="3" t="s">
        <v>74</v>
      </c>
      <c r="E7" s="3" t="str">
        <f>"009940956594"</f>
        <v>009940956594</v>
      </c>
      <c r="F7" s="4">
        <v>44589</v>
      </c>
      <c r="G7" s="3">
        <v>202207</v>
      </c>
      <c r="H7" s="3" t="s">
        <v>79</v>
      </c>
      <c r="I7" s="3" t="s">
        <v>80</v>
      </c>
      <c r="J7" s="3" t="s">
        <v>77</v>
      </c>
      <c r="K7" s="3" t="s">
        <v>78</v>
      </c>
      <c r="L7" s="3" t="s">
        <v>112</v>
      </c>
      <c r="M7" s="3" t="s">
        <v>113</v>
      </c>
      <c r="N7" s="3" t="s">
        <v>114</v>
      </c>
      <c r="O7" s="3" t="s">
        <v>115</v>
      </c>
      <c r="P7" s="3" t="str">
        <f t="shared" si="0"/>
        <v xml:space="preserve">STORES  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117.86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1</v>
      </c>
      <c r="BI7" s="3">
        <v>8.4</v>
      </c>
      <c r="BJ7" s="3">
        <v>8.4</v>
      </c>
      <c r="BK7" s="3">
        <v>8.5</v>
      </c>
      <c r="BL7" s="3">
        <v>449.87</v>
      </c>
      <c r="BM7" s="3">
        <v>67.48</v>
      </c>
      <c r="BN7" s="3">
        <v>517.35</v>
      </c>
      <c r="BO7" s="3">
        <v>517.35</v>
      </c>
      <c r="BQ7" s="3" t="s">
        <v>116</v>
      </c>
      <c r="BR7" s="3" t="s">
        <v>111</v>
      </c>
      <c r="BS7" s="3" t="s">
        <v>84</v>
      </c>
      <c r="BY7" s="3">
        <v>41848.879999999997</v>
      </c>
      <c r="BZ7" s="3" t="s">
        <v>117</v>
      </c>
      <c r="CC7" s="3" t="s">
        <v>113</v>
      </c>
      <c r="CD7" s="3">
        <v>299</v>
      </c>
      <c r="CE7" s="3" t="s">
        <v>86</v>
      </c>
      <c r="CI7" s="3">
        <v>1</v>
      </c>
      <c r="CJ7" s="3" t="s">
        <v>84</v>
      </c>
      <c r="CK7" s="3">
        <v>23</v>
      </c>
      <c r="CL7" s="3" t="s">
        <v>87</v>
      </c>
    </row>
    <row r="8" spans="1:92" x14ac:dyDescent="0.2">
      <c r="A8" s="3" t="s">
        <v>72</v>
      </c>
      <c r="B8" s="3" t="s">
        <v>73</v>
      </c>
      <c r="C8" s="3" t="s">
        <v>74</v>
      </c>
      <c r="E8" s="3" t="str">
        <f>"009936115658"</f>
        <v>009936115658</v>
      </c>
      <c r="F8" s="4">
        <v>44589</v>
      </c>
      <c r="G8" s="3">
        <v>202207</v>
      </c>
      <c r="H8" s="3" t="s">
        <v>79</v>
      </c>
      <c r="I8" s="3" t="s">
        <v>80</v>
      </c>
      <c r="J8" s="3" t="s">
        <v>77</v>
      </c>
      <c r="K8" s="3" t="s">
        <v>78</v>
      </c>
      <c r="L8" s="3" t="s">
        <v>103</v>
      </c>
      <c r="M8" s="3" t="s">
        <v>104</v>
      </c>
      <c r="N8" s="3" t="s">
        <v>77</v>
      </c>
      <c r="O8" s="3" t="s">
        <v>115</v>
      </c>
      <c r="P8" s="3" t="str">
        <f t="shared" si="0"/>
        <v xml:space="preserve">STORES   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15.46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1</v>
      </c>
      <c r="BJ8" s="3">
        <v>0.2</v>
      </c>
      <c r="BK8" s="3">
        <v>1</v>
      </c>
      <c r="BL8" s="3">
        <v>59</v>
      </c>
      <c r="BM8" s="3">
        <v>8.85</v>
      </c>
      <c r="BN8" s="3">
        <v>67.849999999999994</v>
      </c>
      <c r="BO8" s="3">
        <v>67.849999999999994</v>
      </c>
      <c r="BQ8" s="3" t="s">
        <v>118</v>
      </c>
      <c r="BR8" s="3" t="s">
        <v>111</v>
      </c>
      <c r="BS8" s="3" t="s">
        <v>84</v>
      </c>
      <c r="BY8" s="3">
        <v>1200</v>
      </c>
      <c r="BZ8" s="3" t="s">
        <v>117</v>
      </c>
      <c r="CC8" s="3" t="s">
        <v>104</v>
      </c>
      <c r="CD8" s="3">
        <v>6045</v>
      </c>
      <c r="CE8" s="3" t="s">
        <v>86</v>
      </c>
      <c r="CI8" s="3">
        <v>1</v>
      </c>
      <c r="CJ8" s="3" t="s">
        <v>84</v>
      </c>
      <c r="CK8" s="3">
        <v>21</v>
      </c>
      <c r="CL8" s="3" t="s">
        <v>87</v>
      </c>
    </row>
    <row r="9" spans="1:92" x14ac:dyDescent="0.2">
      <c r="A9" s="3" t="s">
        <v>72</v>
      </c>
      <c r="B9" s="3" t="s">
        <v>73</v>
      </c>
      <c r="C9" s="3" t="s">
        <v>74</v>
      </c>
      <c r="E9" s="3" t="str">
        <f>"009941856080"</f>
        <v>009941856080</v>
      </c>
      <c r="F9" s="4">
        <v>44589</v>
      </c>
      <c r="G9" s="3">
        <v>202207</v>
      </c>
      <c r="H9" s="3" t="s">
        <v>79</v>
      </c>
      <c r="I9" s="3" t="s">
        <v>80</v>
      </c>
      <c r="J9" s="3" t="s">
        <v>77</v>
      </c>
      <c r="K9" s="3" t="s">
        <v>78</v>
      </c>
      <c r="L9" s="3" t="s">
        <v>97</v>
      </c>
      <c r="M9" s="3" t="s">
        <v>98</v>
      </c>
      <c r="N9" s="3" t="s">
        <v>77</v>
      </c>
      <c r="O9" s="3" t="s">
        <v>115</v>
      </c>
      <c r="P9" s="3" t="str">
        <f t="shared" si="0"/>
        <v xml:space="preserve">STORES   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15.46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1</v>
      </c>
      <c r="BJ9" s="3">
        <v>0.2</v>
      </c>
      <c r="BK9" s="3">
        <v>1</v>
      </c>
      <c r="BL9" s="3">
        <v>59</v>
      </c>
      <c r="BM9" s="3">
        <v>8.85</v>
      </c>
      <c r="BN9" s="3">
        <v>67.849999999999994</v>
      </c>
      <c r="BO9" s="3">
        <v>67.849999999999994</v>
      </c>
      <c r="BQ9" s="3" t="s">
        <v>119</v>
      </c>
      <c r="BR9" s="3" t="s">
        <v>111</v>
      </c>
      <c r="BS9" s="3" t="s">
        <v>84</v>
      </c>
      <c r="BY9" s="3">
        <v>1200</v>
      </c>
      <c r="BZ9" s="3" t="s">
        <v>117</v>
      </c>
      <c r="CC9" s="3" t="s">
        <v>98</v>
      </c>
      <c r="CD9" s="3">
        <v>7925</v>
      </c>
      <c r="CE9" s="3" t="s">
        <v>86</v>
      </c>
      <c r="CI9" s="3">
        <v>1</v>
      </c>
      <c r="CJ9" s="3" t="s">
        <v>84</v>
      </c>
      <c r="CK9" s="3">
        <v>21</v>
      </c>
      <c r="CL9" s="3" t="s">
        <v>87</v>
      </c>
    </row>
    <row r="10" spans="1:92" x14ac:dyDescent="0.2">
      <c r="A10" s="3" t="s">
        <v>72</v>
      </c>
      <c r="B10" s="3" t="s">
        <v>73</v>
      </c>
      <c r="C10" s="3" t="s">
        <v>74</v>
      </c>
      <c r="E10" s="3" t="str">
        <f>"009941332706"</f>
        <v>009941332706</v>
      </c>
      <c r="F10" s="4">
        <v>44589</v>
      </c>
      <c r="G10" s="3">
        <v>202207</v>
      </c>
      <c r="H10" s="3" t="s">
        <v>79</v>
      </c>
      <c r="I10" s="3" t="s">
        <v>80</v>
      </c>
      <c r="J10" s="3" t="s">
        <v>77</v>
      </c>
      <c r="K10" s="3" t="s">
        <v>78</v>
      </c>
      <c r="L10" s="3" t="s">
        <v>120</v>
      </c>
      <c r="M10" s="3" t="s">
        <v>121</v>
      </c>
      <c r="N10" s="3" t="s">
        <v>77</v>
      </c>
      <c r="O10" s="3" t="s">
        <v>115</v>
      </c>
      <c r="P10" s="3" t="str">
        <f t="shared" si="0"/>
        <v xml:space="preserve">STORES  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90.81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15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1</v>
      </c>
      <c r="BJ10" s="3">
        <v>6.4</v>
      </c>
      <c r="BK10" s="3">
        <v>6.5</v>
      </c>
      <c r="BL10" s="3">
        <v>361.62</v>
      </c>
      <c r="BM10" s="3">
        <v>54.24</v>
      </c>
      <c r="BN10" s="3">
        <v>415.86</v>
      </c>
      <c r="BO10" s="3">
        <v>415.86</v>
      </c>
      <c r="BQ10" s="3" t="s">
        <v>118</v>
      </c>
      <c r="BR10" s="3" t="s">
        <v>111</v>
      </c>
      <c r="BS10" s="3" t="s">
        <v>84</v>
      </c>
      <c r="BY10" s="3">
        <v>32144.86</v>
      </c>
      <c r="BZ10" s="3" t="s">
        <v>122</v>
      </c>
      <c r="CC10" s="3" t="s">
        <v>121</v>
      </c>
      <c r="CD10" s="3">
        <v>8460</v>
      </c>
      <c r="CE10" s="3" t="s">
        <v>86</v>
      </c>
      <c r="CI10" s="3">
        <v>1</v>
      </c>
      <c r="CJ10" s="3" t="s">
        <v>84</v>
      </c>
      <c r="CK10" s="3">
        <v>23</v>
      </c>
      <c r="CL10" s="3" t="s">
        <v>87</v>
      </c>
    </row>
    <row r="11" spans="1:92" x14ac:dyDescent="0.2">
      <c r="A11" s="3" t="s">
        <v>72</v>
      </c>
      <c r="B11" s="3" t="s">
        <v>73</v>
      </c>
      <c r="C11" s="3" t="s">
        <v>74</v>
      </c>
      <c r="E11" s="3" t="str">
        <f>"009940540530"</f>
        <v>009940540530</v>
      </c>
      <c r="F11" s="4">
        <v>44589</v>
      </c>
      <c r="G11" s="3">
        <v>202207</v>
      </c>
      <c r="H11" s="3" t="s">
        <v>79</v>
      </c>
      <c r="I11" s="3" t="s">
        <v>80</v>
      </c>
      <c r="J11" s="3" t="s">
        <v>77</v>
      </c>
      <c r="K11" s="3" t="s">
        <v>78</v>
      </c>
      <c r="L11" s="3" t="s">
        <v>123</v>
      </c>
      <c r="M11" s="3" t="s">
        <v>124</v>
      </c>
      <c r="N11" s="3" t="s">
        <v>125</v>
      </c>
      <c r="O11" s="3" t="s">
        <v>115</v>
      </c>
      <c r="P11" s="3" t="str">
        <f t="shared" si="0"/>
        <v xml:space="preserve">STORES   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124.63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8.8000000000000007</v>
      </c>
      <c r="BJ11" s="3">
        <v>8.3000000000000007</v>
      </c>
      <c r="BK11" s="3">
        <v>9</v>
      </c>
      <c r="BL11" s="3">
        <v>475.69</v>
      </c>
      <c r="BM11" s="3">
        <v>71.349999999999994</v>
      </c>
      <c r="BN11" s="3">
        <v>547.04</v>
      </c>
      <c r="BO11" s="3">
        <v>547.04</v>
      </c>
      <c r="BQ11" s="3" t="s">
        <v>118</v>
      </c>
      <c r="BR11" s="3" t="s">
        <v>111</v>
      </c>
      <c r="BS11" s="3" t="s">
        <v>84</v>
      </c>
      <c r="BY11" s="3">
        <v>41455.269999999997</v>
      </c>
      <c r="BZ11" s="3" t="s">
        <v>117</v>
      </c>
      <c r="CC11" s="3" t="s">
        <v>124</v>
      </c>
      <c r="CD11" s="3">
        <v>1034</v>
      </c>
      <c r="CE11" s="3" t="s">
        <v>86</v>
      </c>
      <c r="CI11" s="3">
        <v>1</v>
      </c>
      <c r="CJ11" s="3" t="s">
        <v>84</v>
      </c>
      <c r="CK11" s="3">
        <v>23</v>
      </c>
      <c r="CL11" s="3" t="s">
        <v>87</v>
      </c>
    </row>
    <row r="12" spans="1:92" x14ac:dyDescent="0.2">
      <c r="A12" s="3" t="s">
        <v>72</v>
      </c>
      <c r="B12" s="3" t="s">
        <v>73</v>
      </c>
      <c r="C12" s="3" t="s">
        <v>74</v>
      </c>
      <c r="E12" s="3" t="str">
        <f>"009940956728"</f>
        <v>009940956728</v>
      </c>
      <c r="F12" s="4">
        <v>44589</v>
      </c>
      <c r="G12" s="3">
        <v>202207</v>
      </c>
      <c r="H12" s="3" t="s">
        <v>79</v>
      </c>
      <c r="I12" s="3" t="s">
        <v>80</v>
      </c>
      <c r="J12" s="3" t="s">
        <v>77</v>
      </c>
      <c r="K12" s="3" t="s">
        <v>78</v>
      </c>
      <c r="L12" s="3" t="s">
        <v>90</v>
      </c>
      <c r="M12" s="3" t="s">
        <v>91</v>
      </c>
      <c r="N12" s="3" t="s">
        <v>77</v>
      </c>
      <c r="O12" s="3" t="s">
        <v>115</v>
      </c>
      <c r="P12" s="3" t="str">
        <f t="shared" si="0"/>
        <v xml:space="preserve">STORES  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65.67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8.5</v>
      </c>
      <c r="BJ12" s="3">
        <v>7.8</v>
      </c>
      <c r="BK12" s="3">
        <v>8.5</v>
      </c>
      <c r="BL12" s="3">
        <v>250.65</v>
      </c>
      <c r="BM12" s="3">
        <v>37.6</v>
      </c>
      <c r="BN12" s="3">
        <v>288.25</v>
      </c>
      <c r="BO12" s="3">
        <v>288.25</v>
      </c>
      <c r="BQ12" s="3" t="s">
        <v>118</v>
      </c>
      <c r="BR12" s="3" t="s">
        <v>111</v>
      </c>
      <c r="BS12" s="3" t="s">
        <v>84</v>
      </c>
      <c r="BY12" s="3">
        <v>39213.24</v>
      </c>
      <c r="BZ12" s="3" t="s">
        <v>117</v>
      </c>
      <c r="CC12" s="3" t="s">
        <v>91</v>
      </c>
      <c r="CD12" s="3">
        <v>699</v>
      </c>
      <c r="CE12" s="3" t="s">
        <v>86</v>
      </c>
      <c r="CI12" s="3">
        <v>1</v>
      </c>
      <c r="CJ12" s="3" t="s">
        <v>84</v>
      </c>
      <c r="CK12" s="3">
        <v>21</v>
      </c>
      <c r="CL12" s="3" t="s">
        <v>87</v>
      </c>
    </row>
    <row r="13" spans="1:92" x14ac:dyDescent="0.2">
      <c r="A13" s="3" t="s">
        <v>72</v>
      </c>
      <c r="B13" s="3" t="s">
        <v>73</v>
      </c>
      <c r="C13" s="3" t="s">
        <v>74</v>
      </c>
      <c r="E13" s="3" t="str">
        <f>"009941332008"</f>
        <v>009941332008</v>
      </c>
      <c r="F13" s="4">
        <v>44589</v>
      </c>
      <c r="G13" s="3">
        <v>202207</v>
      </c>
      <c r="H13" s="3" t="s">
        <v>79</v>
      </c>
      <c r="I13" s="3" t="s">
        <v>80</v>
      </c>
      <c r="J13" s="3" t="s">
        <v>77</v>
      </c>
      <c r="K13" s="3" t="s">
        <v>78</v>
      </c>
      <c r="L13" s="3" t="s">
        <v>126</v>
      </c>
      <c r="M13" s="3" t="s">
        <v>127</v>
      </c>
      <c r="N13" s="3" t="s">
        <v>128</v>
      </c>
      <c r="O13" s="3" t="s">
        <v>81</v>
      </c>
      <c r="P13" s="3" t="str">
        <f t="shared" si="0"/>
        <v xml:space="preserve">STORES      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101.34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2</v>
      </c>
      <c r="BI13" s="3">
        <v>43.2</v>
      </c>
      <c r="BJ13" s="3">
        <v>73</v>
      </c>
      <c r="BK13" s="3">
        <v>73</v>
      </c>
      <c r="BL13" s="3">
        <v>392.05</v>
      </c>
      <c r="BM13" s="3">
        <v>58.81</v>
      </c>
      <c r="BN13" s="3">
        <v>450.86</v>
      </c>
      <c r="BO13" s="3">
        <v>450.86</v>
      </c>
      <c r="BQ13" s="3" t="s">
        <v>118</v>
      </c>
      <c r="BR13" s="3" t="s">
        <v>129</v>
      </c>
      <c r="BS13" s="3" t="s">
        <v>84</v>
      </c>
      <c r="BY13" s="3">
        <v>364871.52</v>
      </c>
      <c r="BZ13" s="3" t="s">
        <v>85</v>
      </c>
      <c r="CC13" s="3" t="s">
        <v>127</v>
      </c>
      <c r="CD13" s="3">
        <v>6536</v>
      </c>
      <c r="CE13" s="3" t="s">
        <v>86</v>
      </c>
      <c r="CI13" s="3">
        <v>2</v>
      </c>
      <c r="CJ13" s="3" t="s">
        <v>84</v>
      </c>
      <c r="CK13" s="3">
        <v>41</v>
      </c>
      <c r="CL13" s="3" t="s">
        <v>87</v>
      </c>
    </row>
    <row r="14" spans="1:92" x14ac:dyDescent="0.2">
      <c r="A14" s="3" t="s">
        <v>72</v>
      </c>
      <c r="B14" s="3" t="s">
        <v>73</v>
      </c>
      <c r="C14" s="3" t="s">
        <v>74</v>
      </c>
      <c r="E14" s="3" t="str">
        <f>"009941332807"</f>
        <v>009941332807</v>
      </c>
      <c r="F14" s="4">
        <v>44589</v>
      </c>
      <c r="G14" s="3">
        <v>202207</v>
      </c>
      <c r="H14" s="3" t="s">
        <v>79</v>
      </c>
      <c r="I14" s="3" t="s">
        <v>80</v>
      </c>
      <c r="J14" s="3" t="s">
        <v>77</v>
      </c>
      <c r="K14" s="3" t="s">
        <v>78</v>
      </c>
      <c r="L14" s="3" t="s">
        <v>97</v>
      </c>
      <c r="M14" s="3" t="s">
        <v>98</v>
      </c>
      <c r="N14" s="3" t="s">
        <v>77</v>
      </c>
      <c r="O14" s="3" t="s">
        <v>81</v>
      </c>
      <c r="P14" s="3" t="str">
        <f t="shared" si="0"/>
        <v xml:space="preserve">STORES   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96.41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3</v>
      </c>
      <c r="BI14" s="3">
        <v>61.6</v>
      </c>
      <c r="BJ14" s="3">
        <v>68.3</v>
      </c>
      <c r="BK14" s="3">
        <v>69</v>
      </c>
      <c r="BL14" s="3">
        <v>373.24</v>
      </c>
      <c r="BM14" s="3">
        <v>55.99</v>
      </c>
      <c r="BN14" s="3">
        <v>429.23</v>
      </c>
      <c r="BO14" s="3">
        <v>429.23</v>
      </c>
      <c r="BQ14" s="3" t="s">
        <v>130</v>
      </c>
      <c r="BR14" s="3" t="s">
        <v>131</v>
      </c>
      <c r="BS14" s="3" t="s">
        <v>84</v>
      </c>
      <c r="BY14" s="3">
        <v>341522.49</v>
      </c>
      <c r="BZ14" s="3" t="s">
        <v>85</v>
      </c>
      <c r="CC14" s="3" t="s">
        <v>98</v>
      </c>
      <c r="CD14" s="3">
        <v>8000</v>
      </c>
      <c r="CE14" s="3" t="s">
        <v>86</v>
      </c>
      <c r="CI14" s="3">
        <v>2</v>
      </c>
      <c r="CJ14" s="3" t="s">
        <v>84</v>
      </c>
      <c r="CK14" s="3">
        <v>41</v>
      </c>
      <c r="CL14" s="3" t="s">
        <v>87</v>
      </c>
    </row>
    <row r="15" spans="1:92" x14ac:dyDescent="0.2">
      <c r="A15" s="3" t="s">
        <v>72</v>
      </c>
      <c r="B15" s="3" t="s">
        <v>73</v>
      </c>
      <c r="C15" s="3" t="s">
        <v>74</v>
      </c>
      <c r="E15" s="3" t="str">
        <f>"009942122824"</f>
        <v>009942122824</v>
      </c>
      <c r="F15" s="4">
        <v>44582</v>
      </c>
      <c r="G15" s="3">
        <v>202207</v>
      </c>
      <c r="H15" s="3" t="s">
        <v>126</v>
      </c>
      <c r="I15" s="3" t="s">
        <v>127</v>
      </c>
      <c r="J15" s="3" t="s">
        <v>77</v>
      </c>
      <c r="K15" s="3" t="s">
        <v>78</v>
      </c>
      <c r="L15" s="3" t="s">
        <v>132</v>
      </c>
      <c r="M15" s="3" t="s">
        <v>133</v>
      </c>
      <c r="N15" s="3" t="s">
        <v>77</v>
      </c>
      <c r="O15" s="3" t="s">
        <v>81</v>
      </c>
      <c r="P15" s="3" t="str">
        <f>"                              "</f>
        <v xml:space="preserve">             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117.35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2</v>
      </c>
      <c r="BI15" s="3">
        <v>74.599999999999994</v>
      </c>
      <c r="BJ15" s="3">
        <v>85.5</v>
      </c>
      <c r="BK15" s="3">
        <v>86</v>
      </c>
      <c r="BL15" s="3">
        <v>453.17</v>
      </c>
      <c r="BM15" s="3">
        <v>67.98</v>
      </c>
      <c r="BN15" s="3">
        <v>521.15</v>
      </c>
      <c r="BO15" s="3">
        <v>521.15</v>
      </c>
      <c r="BQ15" s="3" t="s">
        <v>82</v>
      </c>
      <c r="BR15" s="3" t="s">
        <v>134</v>
      </c>
      <c r="BS15" s="4">
        <v>44585</v>
      </c>
      <c r="BT15" s="5">
        <v>0.39999999999999997</v>
      </c>
      <c r="BU15" s="3" t="s">
        <v>135</v>
      </c>
      <c r="BV15" s="3" t="s">
        <v>95</v>
      </c>
      <c r="BY15" s="3">
        <v>427680</v>
      </c>
      <c r="BZ15" s="3" t="s">
        <v>85</v>
      </c>
      <c r="CA15" s="3" t="s">
        <v>136</v>
      </c>
      <c r="CC15" s="3" t="s">
        <v>133</v>
      </c>
      <c r="CD15" s="3">
        <v>2196</v>
      </c>
      <c r="CE15" s="3" t="s">
        <v>107</v>
      </c>
      <c r="CF15" s="4">
        <v>44585</v>
      </c>
      <c r="CI15" s="3">
        <v>3</v>
      </c>
      <c r="CJ15" s="3">
        <v>1</v>
      </c>
      <c r="CK15" s="3">
        <v>41</v>
      </c>
      <c r="CL15" s="3" t="s">
        <v>87</v>
      </c>
    </row>
    <row r="16" spans="1:92" x14ac:dyDescent="0.2">
      <c r="A16" s="3" t="s">
        <v>72</v>
      </c>
      <c r="B16" s="3" t="s">
        <v>73</v>
      </c>
      <c r="C16" s="3" t="s">
        <v>74</v>
      </c>
      <c r="E16" s="3" t="str">
        <f>"009940900519"</f>
        <v>009940900519</v>
      </c>
      <c r="F16" s="4">
        <v>44571</v>
      </c>
      <c r="G16" s="3">
        <v>202207</v>
      </c>
      <c r="H16" s="3" t="s">
        <v>90</v>
      </c>
      <c r="I16" s="3" t="s">
        <v>91</v>
      </c>
      <c r="J16" s="3" t="s">
        <v>77</v>
      </c>
      <c r="K16" s="3" t="s">
        <v>78</v>
      </c>
      <c r="L16" s="3" t="s">
        <v>79</v>
      </c>
      <c r="M16" s="3" t="s">
        <v>80</v>
      </c>
      <c r="N16" s="3" t="s">
        <v>77</v>
      </c>
      <c r="O16" s="3" t="s">
        <v>81</v>
      </c>
      <c r="P16" s="3" t="str">
        <f>"                              "</f>
        <v xml:space="preserve">         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95.18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2</v>
      </c>
      <c r="BI16" s="3">
        <v>29</v>
      </c>
      <c r="BJ16" s="3">
        <v>67.8</v>
      </c>
      <c r="BK16" s="3">
        <v>68</v>
      </c>
      <c r="BL16" s="3">
        <v>368.54</v>
      </c>
      <c r="BM16" s="3">
        <v>55.28</v>
      </c>
      <c r="BN16" s="3">
        <v>423.82</v>
      </c>
      <c r="BO16" s="3">
        <v>423.82</v>
      </c>
      <c r="BQ16" s="3" t="s">
        <v>82</v>
      </c>
      <c r="BS16" s="4">
        <v>44572</v>
      </c>
      <c r="BT16" s="5">
        <v>0.41666666666666669</v>
      </c>
      <c r="BU16" s="3" t="s">
        <v>137</v>
      </c>
      <c r="BV16" s="3" t="s">
        <v>95</v>
      </c>
      <c r="BY16" s="3">
        <v>339000</v>
      </c>
      <c r="BZ16" s="3" t="s">
        <v>85</v>
      </c>
      <c r="CA16" s="3" t="s">
        <v>138</v>
      </c>
      <c r="CC16" s="3" t="s">
        <v>80</v>
      </c>
      <c r="CD16" s="3">
        <v>2146</v>
      </c>
      <c r="CE16" s="3" t="s">
        <v>86</v>
      </c>
      <c r="CF16" s="4">
        <v>44572</v>
      </c>
      <c r="CI16" s="3">
        <v>1</v>
      </c>
      <c r="CJ16" s="3">
        <v>1</v>
      </c>
      <c r="CK16" s="3">
        <v>41</v>
      </c>
      <c r="CL16" s="3" t="s">
        <v>87</v>
      </c>
    </row>
    <row r="17" spans="1:90" x14ac:dyDescent="0.2">
      <c r="A17" s="3" t="s">
        <v>72</v>
      </c>
      <c r="B17" s="3" t="s">
        <v>73</v>
      </c>
      <c r="C17" s="3" t="s">
        <v>74</v>
      </c>
      <c r="E17" s="3" t="str">
        <f>"009941300633"</f>
        <v>009941300633</v>
      </c>
      <c r="F17" s="4">
        <v>44571</v>
      </c>
      <c r="G17" s="3">
        <v>202207</v>
      </c>
      <c r="H17" s="3" t="s">
        <v>75</v>
      </c>
      <c r="I17" s="3" t="s">
        <v>76</v>
      </c>
      <c r="J17" s="3" t="s">
        <v>77</v>
      </c>
      <c r="K17" s="3" t="s">
        <v>78</v>
      </c>
      <c r="L17" s="3" t="s">
        <v>132</v>
      </c>
      <c r="M17" s="3" t="s">
        <v>133</v>
      </c>
      <c r="N17" s="3" t="s">
        <v>139</v>
      </c>
      <c r="O17" s="3" t="s">
        <v>81</v>
      </c>
      <c r="P17" s="3" t="str">
        <f>"                              "</f>
        <v xml:space="preserve">            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42.16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1</v>
      </c>
      <c r="BJ17" s="3">
        <v>0.2</v>
      </c>
      <c r="BK17" s="3">
        <v>1</v>
      </c>
      <c r="BL17" s="3">
        <v>166.16</v>
      </c>
      <c r="BM17" s="3">
        <v>24.92</v>
      </c>
      <c r="BN17" s="3">
        <v>191.08</v>
      </c>
      <c r="BO17" s="3">
        <v>191.08</v>
      </c>
      <c r="BQ17" s="3" t="s">
        <v>140</v>
      </c>
      <c r="BR17" s="3" t="s">
        <v>141</v>
      </c>
      <c r="BS17" s="4">
        <v>44572</v>
      </c>
      <c r="BT17" s="5">
        <v>0.59305555555555556</v>
      </c>
      <c r="BU17" s="3" t="s">
        <v>142</v>
      </c>
      <c r="BV17" s="3" t="s">
        <v>95</v>
      </c>
      <c r="BY17" s="3">
        <v>1200</v>
      </c>
      <c r="BZ17" s="3" t="s">
        <v>85</v>
      </c>
      <c r="CA17" s="3" t="s">
        <v>143</v>
      </c>
      <c r="CC17" s="3" t="s">
        <v>133</v>
      </c>
      <c r="CD17" s="3">
        <v>2031</v>
      </c>
      <c r="CE17" s="3" t="s">
        <v>86</v>
      </c>
      <c r="CF17" s="4">
        <v>44573</v>
      </c>
      <c r="CI17" s="3">
        <v>2</v>
      </c>
      <c r="CJ17" s="3">
        <v>1</v>
      </c>
      <c r="CK17" s="3">
        <v>43</v>
      </c>
      <c r="CL17" s="3" t="s">
        <v>87</v>
      </c>
    </row>
    <row r="18" spans="1:90" x14ac:dyDescent="0.2">
      <c r="A18" s="3" t="s">
        <v>72</v>
      </c>
      <c r="B18" s="3" t="s">
        <v>73</v>
      </c>
      <c r="C18" s="3" t="s">
        <v>74</v>
      </c>
      <c r="E18" s="3" t="str">
        <f>"009940799450"</f>
        <v>009940799450</v>
      </c>
      <c r="F18" s="4">
        <v>44571</v>
      </c>
      <c r="G18" s="3">
        <v>202207</v>
      </c>
      <c r="H18" s="3" t="s">
        <v>144</v>
      </c>
      <c r="I18" s="3" t="s">
        <v>145</v>
      </c>
      <c r="J18" s="3" t="s">
        <v>77</v>
      </c>
      <c r="K18" s="3" t="s">
        <v>78</v>
      </c>
      <c r="L18" s="3" t="s">
        <v>90</v>
      </c>
      <c r="M18" s="3" t="s">
        <v>91</v>
      </c>
      <c r="N18" s="3" t="s">
        <v>92</v>
      </c>
      <c r="O18" s="3" t="s">
        <v>81</v>
      </c>
      <c r="P18" s="3" t="str">
        <f>"                              "</f>
        <v xml:space="preserve">        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112.91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3</v>
      </c>
      <c r="BI18" s="3">
        <v>57</v>
      </c>
      <c r="BJ18" s="3">
        <v>108</v>
      </c>
      <c r="BK18" s="3">
        <v>108</v>
      </c>
      <c r="BL18" s="3">
        <v>436.21</v>
      </c>
      <c r="BM18" s="3">
        <v>65.430000000000007</v>
      </c>
      <c r="BN18" s="3">
        <v>501.64</v>
      </c>
      <c r="BO18" s="3">
        <v>501.64</v>
      </c>
      <c r="BQ18" s="3" t="s">
        <v>146</v>
      </c>
      <c r="BR18" s="3" t="s">
        <v>147</v>
      </c>
      <c r="BS18" s="4">
        <v>44571</v>
      </c>
      <c r="BT18" s="5">
        <v>0.4055555555555555</v>
      </c>
      <c r="BU18" s="3" t="s">
        <v>148</v>
      </c>
      <c r="BV18" s="3" t="s">
        <v>95</v>
      </c>
      <c r="BY18" s="3">
        <v>302400</v>
      </c>
      <c r="BZ18" s="3" t="s">
        <v>85</v>
      </c>
      <c r="CA18" s="3" t="s">
        <v>96</v>
      </c>
      <c r="CC18" s="3" t="s">
        <v>91</v>
      </c>
      <c r="CD18" s="3">
        <v>700</v>
      </c>
      <c r="CE18" s="3" t="s">
        <v>86</v>
      </c>
      <c r="CF18" s="4">
        <v>44571</v>
      </c>
      <c r="CI18" s="3">
        <v>1</v>
      </c>
      <c r="CJ18" s="3">
        <v>0</v>
      </c>
      <c r="CK18" s="3">
        <v>44</v>
      </c>
      <c r="CL18" s="3" t="s">
        <v>87</v>
      </c>
    </row>
    <row r="19" spans="1:90" x14ac:dyDescent="0.2">
      <c r="A19" s="3" t="s">
        <v>72</v>
      </c>
      <c r="B19" s="3" t="s">
        <v>73</v>
      </c>
      <c r="C19" s="3" t="s">
        <v>74</v>
      </c>
      <c r="E19" s="3" t="str">
        <f>"009941119678"</f>
        <v>009941119678</v>
      </c>
      <c r="F19" s="4">
        <v>44571</v>
      </c>
      <c r="G19" s="3">
        <v>202207</v>
      </c>
      <c r="H19" s="3" t="s">
        <v>149</v>
      </c>
      <c r="I19" s="3" t="s">
        <v>150</v>
      </c>
      <c r="J19" s="3" t="s">
        <v>151</v>
      </c>
      <c r="K19" s="3" t="s">
        <v>78</v>
      </c>
      <c r="L19" s="3" t="s">
        <v>132</v>
      </c>
      <c r="M19" s="3" t="s">
        <v>133</v>
      </c>
      <c r="N19" s="3" t="s">
        <v>77</v>
      </c>
      <c r="O19" s="3" t="s">
        <v>81</v>
      </c>
      <c r="P19" s="3" t="str">
        <f>"MERVLEN REDDY                 "</f>
        <v xml:space="preserve">MERVLEN REDDY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107.5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2</v>
      </c>
      <c r="BI19" s="3">
        <v>24</v>
      </c>
      <c r="BJ19" s="3">
        <v>77.5</v>
      </c>
      <c r="BK19" s="3">
        <v>78</v>
      </c>
      <c r="BL19" s="3">
        <v>415.56</v>
      </c>
      <c r="BM19" s="3">
        <v>62.33</v>
      </c>
      <c r="BN19" s="3">
        <v>477.89</v>
      </c>
      <c r="BO19" s="3">
        <v>477.89</v>
      </c>
      <c r="BQ19" s="3" t="s">
        <v>82</v>
      </c>
      <c r="BR19" s="3" t="s">
        <v>152</v>
      </c>
      <c r="BS19" s="4">
        <v>44572</v>
      </c>
      <c r="BT19" s="5">
        <v>0.41736111111111113</v>
      </c>
      <c r="BU19" s="3" t="s">
        <v>137</v>
      </c>
      <c r="BV19" s="3" t="s">
        <v>95</v>
      </c>
      <c r="BY19" s="3">
        <v>387600</v>
      </c>
      <c r="BZ19" s="3" t="s">
        <v>85</v>
      </c>
      <c r="CA19" s="3" t="s">
        <v>138</v>
      </c>
      <c r="CC19" s="3" t="s">
        <v>133</v>
      </c>
      <c r="CD19" s="3">
        <v>2090</v>
      </c>
      <c r="CE19" s="3" t="s">
        <v>86</v>
      </c>
      <c r="CF19" s="4">
        <v>44572</v>
      </c>
      <c r="CI19" s="3">
        <v>1</v>
      </c>
      <c r="CJ19" s="3">
        <v>1</v>
      </c>
      <c r="CK19" s="3">
        <v>41</v>
      </c>
      <c r="CL19" s="3" t="s">
        <v>87</v>
      </c>
    </row>
    <row r="20" spans="1:90" x14ac:dyDescent="0.2">
      <c r="A20" s="3" t="s">
        <v>72</v>
      </c>
      <c r="B20" s="3" t="s">
        <v>73</v>
      </c>
      <c r="C20" s="3" t="s">
        <v>74</v>
      </c>
      <c r="E20" s="3" t="str">
        <f>"009941792994"</f>
        <v>009941792994</v>
      </c>
      <c r="F20" s="4">
        <v>44567</v>
      </c>
      <c r="G20" s="3">
        <v>202207</v>
      </c>
      <c r="H20" s="3" t="s">
        <v>153</v>
      </c>
      <c r="I20" s="3" t="s">
        <v>154</v>
      </c>
      <c r="J20" s="3" t="s">
        <v>155</v>
      </c>
      <c r="K20" s="3" t="s">
        <v>78</v>
      </c>
      <c r="L20" s="3" t="s">
        <v>90</v>
      </c>
      <c r="M20" s="3" t="s">
        <v>91</v>
      </c>
      <c r="N20" s="3" t="s">
        <v>92</v>
      </c>
      <c r="O20" s="3" t="s">
        <v>81</v>
      </c>
      <c r="P20" s="3" t="str">
        <f>"                              "</f>
        <v xml:space="preserve">        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51.05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10</v>
      </c>
      <c r="BJ20" s="3">
        <v>36</v>
      </c>
      <c r="BK20" s="3">
        <v>36</v>
      </c>
      <c r="BL20" s="3">
        <v>200.11</v>
      </c>
      <c r="BM20" s="3">
        <v>30.02</v>
      </c>
      <c r="BN20" s="3">
        <v>230.13</v>
      </c>
      <c r="BO20" s="3">
        <v>230.13</v>
      </c>
      <c r="BQ20" s="3" t="s">
        <v>82</v>
      </c>
      <c r="BR20" s="3" t="s">
        <v>156</v>
      </c>
      <c r="BS20" s="4">
        <v>44567</v>
      </c>
      <c r="BT20" s="5">
        <v>0.39444444444444443</v>
      </c>
      <c r="BU20" s="3" t="s">
        <v>94</v>
      </c>
      <c r="BV20" s="3" t="s">
        <v>95</v>
      </c>
      <c r="BY20" s="3">
        <v>180000</v>
      </c>
      <c r="BZ20" s="3" t="s">
        <v>85</v>
      </c>
      <c r="CA20" s="3" t="s">
        <v>96</v>
      </c>
      <c r="CC20" s="3" t="s">
        <v>91</v>
      </c>
      <c r="CD20" s="3">
        <v>700</v>
      </c>
      <c r="CE20" s="3" t="s">
        <v>86</v>
      </c>
      <c r="CF20" s="4">
        <v>44567</v>
      </c>
      <c r="CI20" s="3">
        <v>1</v>
      </c>
      <c r="CJ20" s="3">
        <v>0</v>
      </c>
      <c r="CK20" s="3">
        <v>44</v>
      </c>
      <c r="CL20" s="3" t="s">
        <v>87</v>
      </c>
    </row>
    <row r="21" spans="1:90" x14ac:dyDescent="0.2">
      <c r="A21" s="3" t="s">
        <v>72</v>
      </c>
      <c r="B21" s="3" t="s">
        <v>73</v>
      </c>
      <c r="C21" s="3" t="s">
        <v>74</v>
      </c>
      <c r="E21" s="3" t="str">
        <f>"009941618971"</f>
        <v>009941618971</v>
      </c>
      <c r="F21" s="4">
        <v>44571</v>
      </c>
      <c r="G21" s="3">
        <v>202207</v>
      </c>
      <c r="H21" s="3" t="s">
        <v>79</v>
      </c>
      <c r="I21" s="3" t="s">
        <v>80</v>
      </c>
      <c r="J21" s="3" t="s">
        <v>77</v>
      </c>
      <c r="K21" s="3" t="s">
        <v>78</v>
      </c>
      <c r="L21" s="3" t="s">
        <v>157</v>
      </c>
      <c r="M21" s="3" t="s">
        <v>158</v>
      </c>
      <c r="N21" s="3" t="s">
        <v>151</v>
      </c>
      <c r="O21" s="3" t="s">
        <v>115</v>
      </c>
      <c r="P21" s="3" t="str">
        <f>"STORES                        "</f>
        <v xml:space="preserve">STORES  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38.630000000000003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5</v>
      </c>
      <c r="BJ21" s="3">
        <v>2.5</v>
      </c>
      <c r="BK21" s="3">
        <v>5</v>
      </c>
      <c r="BL21" s="3">
        <v>147.44999999999999</v>
      </c>
      <c r="BM21" s="3">
        <v>22.12</v>
      </c>
      <c r="BN21" s="3">
        <v>169.57</v>
      </c>
      <c r="BO21" s="3">
        <v>169.57</v>
      </c>
      <c r="BQ21" s="3" t="s">
        <v>159</v>
      </c>
      <c r="BR21" s="3" t="s">
        <v>118</v>
      </c>
      <c r="BS21" s="4">
        <v>44572</v>
      </c>
      <c r="BT21" s="5">
        <v>0.39166666666666666</v>
      </c>
      <c r="BU21" s="3" t="s">
        <v>160</v>
      </c>
      <c r="BV21" s="3" t="s">
        <v>95</v>
      </c>
      <c r="BY21" s="3">
        <v>12481.62</v>
      </c>
      <c r="BZ21" s="3" t="s">
        <v>117</v>
      </c>
      <c r="CA21" s="3" t="s">
        <v>161</v>
      </c>
      <c r="CC21" s="3" t="s">
        <v>158</v>
      </c>
      <c r="CD21" s="3">
        <v>4091</v>
      </c>
      <c r="CE21" s="3" t="s">
        <v>86</v>
      </c>
      <c r="CF21" s="4">
        <v>44572</v>
      </c>
      <c r="CI21" s="3">
        <v>1</v>
      </c>
      <c r="CJ21" s="3">
        <v>1</v>
      </c>
      <c r="CK21" s="3">
        <v>21</v>
      </c>
      <c r="CL21" s="3" t="s">
        <v>87</v>
      </c>
    </row>
    <row r="22" spans="1:90" x14ac:dyDescent="0.2">
      <c r="A22" s="3" t="s">
        <v>72</v>
      </c>
      <c r="B22" s="3" t="s">
        <v>73</v>
      </c>
      <c r="C22" s="3" t="s">
        <v>74</v>
      </c>
      <c r="E22" s="3" t="str">
        <f>"009941618903"</f>
        <v>009941618903</v>
      </c>
      <c r="F22" s="4">
        <v>44571</v>
      </c>
      <c r="G22" s="3">
        <v>202207</v>
      </c>
      <c r="H22" s="3" t="s">
        <v>79</v>
      </c>
      <c r="I22" s="3" t="s">
        <v>80</v>
      </c>
      <c r="J22" s="3" t="s">
        <v>77</v>
      </c>
      <c r="K22" s="3" t="s">
        <v>78</v>
      </c>
      <c r="L22" s="3" t="s">
        <v>123</v>
      </c>
      <c r="M22" s="3" t="s">
        <v>124</v>
      </c>
      <c r="N22" s="3" t="s">
        <v>162</v>
      </c>
      <c r="O22" s="3" t="s">
        <v>81</v>
      </c>
      <c r="P22" s="3" t="str">
        <f>"FIELD SERVICE                 "</f>
        <v xml:space="preserve">FIELD SERVICE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42.16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5.0999999999999996</v>
      </c>
      <c r="BJ22" s="3">
        <v>14.3</v>
      </c>
      <c r="BK22" s="3">
        <v>15</v>
      </c>
      <c r="BL22" s="3">
        <v>166.16</v>
      </c>
      <c r="BM22" s="3">
        <v>24.92</v>
      </c>
      <c r="BN22" s="3">
        <v>191.08</v>
      </c>
      <c r="BO22" s="3">
        <v>191.08</v>
      </c>
      <c r="BQ22" s="3" t="s">
        <v>163</v>
      </c>
      <c r="BR22" s="3" t="s">
        <v>164</v>
      </c>
      <c r="BS22" s="4">
        <v>44572</v>
      </c>
      <c r="BT22" s="5">
        <v>0.44930555555555557</v>
      </c>
      <c r="BU22" s="3" t="s">
        <v>165</v>
      </c>
      <c r="BV22" s="3" t="s">
        <v>95</v>
      </c>
      <c r="BY22" s="3">
        <v>71579.199999999997</v>
      </c>
      <c r="BZ22" s="3" t="s">
        <v>85</v>
      </c>
      <c r="CC22" s="3" t="s">
        <v>124</v>
      </c>
      <c r="CD22" s="3">
        <v>1034</v>
      </c>
      <c r="CE22" s="3" t="s">
        <v>86</v>
      </c>
      <c r="CF22" s="4">
        <v>44572</v>
      </c>
      <c r="CI22" s="3">
        <v>1</v>
      </c>
      <c r="CJ22" s="3">
        <v>1</v>
      </c>
      <c r="CK22" s="3">
        <v>43</v>
      </c>
      <c r="CL22" s="3" t="s">
        <v>87</v>
      </c>
    </row>
    <row r="23" spans="1:90" x14ac:dyDescent="0.2">
      <c r="A23" s="3" t="s">
        <v>72</v>
      </c>
      <c r="B23" s="3" t="s">
        <v>73</v>
      </c>
      <c r="C23" s="3" t="s">
        <v>74</v>
      </c>
      <c r="E23" s="3" t="str">
        <f>"009941618819"</f>
        <v>009941618819</v>
      </c>
      <c r="F23" s="4">
        <v>44571</v>
      </c>
      <c r="G23" s="3">
        <v>202207</v>
      </c>
      <c r="H23" s="3" t="s">
        <v>79</v>
      </c>
      <c r="I23" s="3" t="s">
        <v>80</v>
      </c>
      <c r="J23" s="3" t="s">
        <v>77</v>
      </c>
      <c r="K23" s="3" t="s">
        <v>78</v>
      </c>
      <c r="L23" s="3" t="s">
        <v>126</v>
      </c>
      <c r="M23" s="3" t="s">
        <v>127</v>
      </c>
      <c r="N23" s="3" t="s">
        <v>166</v>
      </c>
      <c r="O23" s="3" t="s">
        <v>81</v>
      </c>
      <c r="P23" s="3" t="str">
        <f>"STORES                        "</f>
        <v xml:space="preserve">STORES  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190.03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5</v>
      </c>
      <c r="BI23" s="3">
        <v>129</v>
      </c>
      <c r="BJ23" s="3">
        <v>144.1</v>
      </c>
      <c r="BK23" s="3">
        <v>145</v>
      </c>
      <c r="BL23" s="3">
        <v>730.58</v>
      </c>
      <c r="BM23" s="3">
        <v>109.59</v>
      </c>
      <c r="BN23" s="3">
        <v>840.17</v>
      </c>
      <c r="BO23" s="3">
        <v>840.17</v>
      </c>
      <c r="BQ23" s="3" t="s">
        <v>167</v>
      </c>
      <c r="BR23" s="3" t="s">
        <v>118</v>
      </c>
      <c r="BS23" s="4">
        <v>44573</v>
      </c>
      <c r="BT23" s="5">
        <v>0.4861111111111111</v>
      </c>
      <c r="BU23" s="3" t="s">
        <v>168</v>
      </c>
      <c r="BV23" s="3" t="s">
        <v>95</v>
      </c>
      <c r="BY23" s="3">
        <v>276960</v>
      </c>
      <c r="BZ23" s="3" t="s">
        <v>85</v>
      </c>
      <c r="CA23" s="3" t="s">
        <v>169</v>
      </c>
      <c r="CC23" s="3" t="s">
        <v>127</v>
      </c>
      <c r="CD23" s="3">
        <v>6536</v>
      </c>
      <c r="CE23" s="3" t="s">
        <v>86</v>
      </c>
      <c r="CF23" s="4">
        <v>44573</v>
      </c>
      <c r="CI23" s="3">
        <v>2</v>
      </c>
      <c r="CJ23" s="3">
        <v>2</v>
      </c>
      <c r="CK23" s="3">
        <v>41</v>
      </c>
      <c r="CL23" s="3" t="s">
        <v>87</v>
      </c>
    </row>
    <row r="24" spans="1:90" x14ac:dyDescent="0.2">
      <c r="A24" s="3" t="s">
        <v>72</v>
      </c>
      <c r="B24" s="3" t="s">
        <v>73</v>
      </c>
      <c r="C24" s="3" t="s">
        <v>74</v>
      </c>
      <c r="E24" s="3" t="str">
        <f>"009936115811"</f>
        <v>009936115811</v>
      </c>
      <c r="F24" s="4">
        <v>44571</v>
      </c>
      <c r="G24" s="3">
        <v>202207</v>
      </c>
      <c r="H24" s="3" t="s">
        <v>79</v>
      </c>
      <c r="I24" s="3" t="s">
        <v>80</v>
      </c>
      <c r="J24" s="3" t="s">
        <v>77</v>
      </c>
      <c r="K24" s="3" t="s">
        <v>78</v>
      </c>
      <c r="L24" s="3" t="s">
        <v>103</v>
      </c>
      <c r="M24" s="3" t="s">
        <v>104</v>
      </c>
      <c r="N24" s="3" t="s">
        <v>170</v>
      </c>
      <c r="O24" s="3" t="s">
        <v>81</v>
      </c>
      <c r="P24" s="3" t="str">
        <f>"STORES                        "</f>
        <v xml:space="preserve">STORES   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29.89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1</v>
      </c>
      <c r="BI24" s="3">
        <v>4.3</v>
      </c>
      <c r="BJ24" s="3">
        <v>13.3</v>
      </c>
      <c r="BK24" s="3">
        <v>14</v>
      </c>
      <c r="BL24" s="3">
        <v>119.34</v>
      </c>
      <c r="BM24" s="3">
        <v>17.899999999999999</v>
      </c>
      <c r="BN24" s="3">
        <v>137.24</v>
      </c>
      <c r="BO24" s="3">
        <v>137.24</v>
      </c>
      <c r="BQ24" s="3" t="s">
        <v>171</v>
      </c>
      <c r="BR24" s="3" t="s">
        <v>172</v>
      </c>
      <c r="BS24" s="4">
        <v>44573</v>
      </c>
      <c r="BT24" s="5">
        <v>0.49652777777777773</v>
      </c>
      <c r="BU24" s="3" t="s">
        <v>173</v>
      </c>
      <c r="BV24" s="3" t="s">
        <v>95</v>
      </c>
      <c r="BY24" s="3">
        <v>66297</v>
      </c>
      <c r="BZ24" s="3" t="s">
        <v>85</v>
      </c>
      <c r="CA24" s="3" t="s">
        <v>174</v>
      </c>
      <c r="CC24" s="3" t="s">
        <v>104</v>
      </c>
      <c r="CD24" s="3">
        <v>6045</v>
      </c>
      <c r="CE24" s="3" t="s">
        <v>86</v>
      </c>
      <c r="CF24" s="4">
        <v>44573</v>
      </c>
      <c r="CI24" s="3">
        <v>2</v>
      </c>
      <c r="CJ24" s="3">
        <v>2</v>
      </c>
      <c r="CK24" s="3">
        <v>41</v>
      </c>
      <c r="CL24" s="3" t="s">
        <v>87</v>
      </c>
    </row>
    <row r="25" spans="1:90" x14ac:dyDescent="0.2">
      <c r="A25" s="3" t="s">
        <v>72</v>
      </c>
      <c r="B25" s="3" t="s">
        <v>73</v>
      </c>
      <c r="C25" s="3" t="s">
        <v>74</v>
      </c>
      <c r="E25" s="3" t="str">
        <f>"009940361927"</f>
        <v>009940361927</v>
      </c>
      <c r="F25" s="4">
        <v>44572</v>
      </c>
      <c r="G25" s="3">
        <v>202207</v>
      </c>
      <c r="H25" s="3" t="s">
        <v>88</v>
      </c>
      <c r="I25" s="3" t="s">
        <v>89</v>
      </c>
      <c r="J25" s="3" t="s">
        <v>77</v>
      </c>
      <c r="K25" s="3" t="s">
        <v>78</v>
      </c>
      <c r="L25" s="3" t="s">
        <v>90</v>
      </c>
      <c r="M25" s="3" t="s">
        <v>91</v>
      </c>
      <c r="N25" s="3" t="s">
        <v>77</v>
      </c>
      <c r="O25" s="3" t="s">
        <v>81</v>
      </c>
      <c r="P25" s="3" t="str">
        <f>"                              "</f>
        <v xml:space="preserve">            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99.16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1</v>
      </c>
      <c r="BI25" s="3">
        <v>40</v>
      </c>
      <c r="BJ25" s="3">
        <v>91.9</v>
      </c>
      <c r="BK25" s="3">
        <v>92</v>
      </c>
      <c r="BL25" s="3">
        <v>383.74</v>
      </c>
      <c r="BM25" s="3">
        <v>57.56</v>
      </c>
      <c r="BN25" s="3">
        <v>441.3</v>
      </c>
      <c r="BO25" s="3">
        <v>441.3</v>
      </c>
      <c r="BQ25" s="3" t="s">
        <v>175</v>
      </c>
      <c r="BR25" s="3" t="s">
        <v>93</v>
      </c>
      <c r="BS25" s="4">
        <v>44572</v>
      </c>
      <c r="BT25" s="5">
        <v>0.4069444444444445</v>
      </c>
      <c r="BU25" s="3" t="s">
        <v>94</v>
      </c>
      <c r="BV25" s="3" t="s">
        <v>95</v>
      </c>
      <c r="BY25" s="3">
        <v>459610</v>
      </c>
      <c r="BZ25" s="3" t="s">
        <v>85</v>
      </c>
      <c r="CA25" s="3" t="s">
        <v>96</v>
      </c>
      <c r="CC25" s="3" t="s">
        <v>91</v>
      </c>
      <c r="CD25" s="3">
        <v>700</v>
      </c>
      <c r="CE25" s="3" t="s">
        <v>86</v>
      </c>
      <c r="CF25" s="4">
        <v>44572</v>
      </c>
      <c r="CI25" s="3">
        <v>1</v>
      </c>
      <c r="CJ25" s="3">
        <v>0</v>
      </c>
      <c r="CK25" s="3">
        <v>44</v>
      </c>
      <c r="CL25" s="3" t="s">
        <v>87</v>
      </c>
    </row>
    <row r="26" spans="1:90" x14ac:dyDescent="0.2">
      <c r="A26" s="3" t="s">
        <v>72</v>
      </c>
      <c r="B26" s="3" t="s">
        <v>73</v>
      </c>
      <c r="C26" s="3" t="s">
        <v>74</v>
      </c>
      <c r="E26" s="3" t="str">
        <f>"009942086266"</f>
        <v>009942086266</v>
      </c>
      <c r="F26" s="4">
        <v>44572</v>
      </c>
      <c r="G26" s="3">
        <v>202207</v>
      </c>
      <c r="H26" s="3" t="s">
        <v>103</v>
      </c>
      <c r="I26" s="3" t="s">
        <v>104</v>
      </c>
      <c r="J26" s="3" t="s">
        <v>176</v>
      </c>
      <c r="K26" s="3" t="s">
        <v>78</v>
      </c>
      <c r="L26" s="3" t="s">
        <v>177</v>
      </c>
      <c r="M26" s="3" t="s">
        <v>178</v>
      </c>
      <c r="N26" s="3" t="s">
        <v>77</v>
      </c>
      <c r="O26" s="3" t="s">
        <v>81</v>
      </c>
      <c r="P26" s="3" t="str">
        <f>"                              "</f>
        <v xml:space="preserve">            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108.73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2</v>
      </c>
      <c r="BI26" s="3">
        <v>40</v>
      </c>
      <c r="BJ26" s="3">
        <v>78.2</v>
      </c>
      <c r="BK26" s="3">
        <v>79</v>
      </c>
      <c r="BL26" s="3">
        <v>420.26</v>
      </c>
      <c r="BM26" s="3">
        <v>63.04</v>
      </c>
      <c r="BN26" s="3">
        <v>483.3</v>
      </c>
      <c r="BO26" s="3">
        <v>483.3</v>
      </c>
      <c r="BP26" s="3" t="s">
        <v>179</v>
      </c>
      <c r="BQ26" s="3" t="s">
        <v>180</v>
      </c>
      <c r="BR26" s="3" t="s">
        <v>181</v>
      </c>
      <c r="BS26" s="4">
        <v>44574</v>
      </c>
      <c r="BT26" s="5">
        <v>0.40972222222222227</v>
      </c>
      <c r="BU26" s="3" t="s">
        <v>182</v>
      </c>
      <c r="BV26" s="3" t="s">
        <v>87</v>
      </c>
      <c r="BW26" s="3" t="s">
        <v>183</v>
      </c>
      <c r="BX26" s="3" t="s">
        <v>184</v>
      </c>
      <c r="BY26" s="3">
        <v>195624</v>
      </c>
      <c r="BZ26" s="3" t="s">
        <v>85</v>
      </c>
      <c r="CA26" s="3" t="s">
        <v>185</v>
      </c>
      <c r="CC26" s="3" t="s">
        <v>178</v>
      </c>
      <c r="CD26" s="3">
        <v>5200</v>
      </c>
      <c r="CE26" s="3" t="s">
        <v>86</v>
      </c>
      <c r="CF26" s="4">
        <v>44574</v>
      </c>
      <c r="CI26" s="3">
        <v>1</v>
      </c>
      <c r="CJ26" s="3">
        <v>2</v>
      </c>
      <c r="CK26" s="3">
        <v>41</v>
      </c>
      <c r="CL26" s="3" t="s">
        <v>87</v>
      </c>
    </row>
    <row r="27" spans="1:90" x14ac:dyDescent="0.2">
      <c r="A27" s="3" t="s">
        <v>72</v>
      </c>
      <c r="B27" s="3" t="s">
        <v>73</v>
      </c>
      <c r="C27" s="3" t="s">
        <v>74</v>
      </c>
      <c r="E27" s="3" t="str">
        <f>"009940237762"</f>
        <v>009940237762</v>
      </c>
      <c r="F27" s="4">
        <v>44572</v>
      </c>
      <c r="G27" s="3">
        <v>202207</v>
      </c>
      <c r="H27" s="3" t="s">
        <v>79</v>
      </c>
      <c r="I27" s="3" t="s">
        <v>80</v>
      </c>
      <c r="J27" s="3" t="s">
        <v>77</v>
      </c>
      <c r="K27" s="3" t="s">
        <v>78</v>
      </c>
      <c r="L27" s="3" t="s">
        <v>90</v>
      </c>
      <c r="M27" s="3" t="s">
        <v>91</v>
      </c>
      <c r="N27" s="3" t="s">
        <v>77</v>
      </c>
      <c r="O27" s="3" t="s">
        <v>81</v>
      </c>
      <c r="P27" s="3" t="str">
        <f>"STORES                        "</f>
        <v xml:space="preserve">STORES       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29.89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6.9</v>
      </c>
      <c r="BJ27" s="3">
        <v>13.6</v>
      </c>
      <c r="BK27" s="3">
        <v>14</v>
      </c>
      <c r="BL27" s="3">
        <v>119.34</v>
      </c>
      <c r="BM27" s="3">
        <v>17.899999999999999</v>
      </c>
      <c r="BN27" s="3">
        <v>137.24</v>
      </c>
      <c r="BO27" s="3">
        <v>137.24</v>
      </c>
      <c r="BQ27" s="3" t="s">
        <v>118</v>
      </c>
      <c r="BR27" s="3" t="s">
        <v>118</v>
      </c>
      <c r="BS27" s="4">
        <v>44573</v>
      </c>
      <c r="BT27" s="5">
        <v>0.3972222222222222</v>
      </c>
      <c r="BU27" s="3" t="s">
        <v>186</v>
      </c>
      <c r="BV27" s="3" t="s">
        <v>95</v>
      </c>
      <c r="BY27" s="3">
        <v>68194.37</v>
      </c>
      <c r="BZ27" s="3" t="s">
        <v>85</v>
      </c>
      <c r="CA27" s="3" t="s">
        <v>187</v>
      </c>
      <c r="CC27" s="3" t="s">
        <v>91</v>
      </c>
      <c r="CD27" s="3">
        <v>699</v>
      </c>
      <c r="CE27" s="3" t="s">
        <v>86</v>
      </c>
      <c r="CF27" s="4">
        <v>44573</v>
      </c>
      <c r="CI27" s="3">
        <v>1</v>
      </c>
      <c r="CJ27" s="3">
        <v>1</v>
      </c>
      <c r="CK27" s="3">
        <v>41</v>
      </c>
      <c r="CL27" s="3" t="s">
        <v>87</v>
      </c>
    </row>
    <row r="28" spans="1:90" x14ac:dyDescent="0.2">
      <c r="A28" s="3" t="s">
        <v>72</v>
      </c>
      <c r="B28" s="3" t="s">
        <v>73</v>
      </c>
      <c r="C28" s="3" t="s">
        <v>74</v>
      </c>
      <c r="E28" s="3" t="str">
        <f>"009941567738"</f>
        <v>009941567738</v>
      </c>
      <c r="F28" s="4">
        <v>44572</v>
      </c>
      <c r="G28" s="3">
        <v>202207</v>
      </c>
      <c r="H28" s="3" t="s">
        <v>79</v>
      </c>
      <c r="I28" s="3" t="s">
        <v>80</v>
      </c>
      <c r="J28" s="3" t="s">
        <v>77</v>
      </c>
      <c r="K28" s="3" t="s">
        <v>78</v>
      </c>
      <c r="L28" s="3" t="s">
        <v>188</v>
      </c>
      <c r="M28" s="3" t="s">
        <v>189</v>
      </c>
      <c r="N28" s="3" t="s">
        <v>77</v>
      </c>
      <c r="O28" s="3" t="s">
        <v>81</v>
      </c>
      <c r="P28" s="3" t="str">
        <f>"STORES                        "</f>
        <v xml:space="preserve">STORES   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42.16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1</v>
      </c>
      <c r="BJ28" s="3">
        <v>0.2</v>
      </c>
      <c r="BK28" s="3">
        <v>1</v>
      </c>
      <c r="BL28" s="3">
        <v>166.16</v>
      </c>
      <c r="BM28" s="3">
        <v>24.92</v>
      </c>
      <c r="BN28" s="3">
        <v>191.08</v>
      </c>
      <c r="BO28" s="3">
        <v>191.08</v>
      </c>
      <c r="BQ28" s="3" t="s">
        <v>190</v>
      </c>
      <c r="BR28" s="3" t="s">
        <v>191</v>
      </c>
      <c r="BS28" s="4">
        <v>44573</v>
      </c>
      <c r="BT28" s="5">
        <v>0.41666666666666669</v>
      </c>
      <c r="BU28" s="3" t="s">
        <v>192</v>
      </c>
      <c r="BV28" s="3" t="s">
        <v>95</v>
      </c>
      <c r="BY28" s="3">
        <v>1200</v>
      </c>
      <c r="BZ28" s="3" t="s">
        <v>85</v>
      </c>
      <c r="CC28" s="3" t="s">
        <v>189</v>
      </c>
      <c r="CD28" s="3">
        <v>4240</v>
      </c>
      <c r="CE28" s="3" t="s">
        <v>86</v>
      </c>
      <c r="CF28" s="4">
        <v>44574</v>
      </c>
      <c r="CI28" s="3">
        <v>2</v>
      </c>
      <c r="CJ28" s="3">
        <v>1</v>
      </c>
      <c r="CK28" s="3">
        <v>43</v>
      </c>
      <c r="CL28" s="3" t="s">
        <v>87</v>
      </c>
    </row>
    <row r="29" spans="1:90" x14ac:dyDescent="0.2">
      <c r="A29" s="3" t="s">
        <v>72</v>
      </c>
      <c r="B29" s="3" t="s">
        <v>73</v>
      </c>
      <c r="C29" s="3" t="s">
        <v>74</v>
      </c>
      <c r="E29" s="3" t="str">
        <f>"009941050339"</f>
        <v>009941050339</v>
      </c>
      <c r="F29" s="4">
        <v>44572</v>
      </c>
      <c r="G29" s="3">
        <v>202207</v>
      </c>
      <c r="H29" s="3" t="s">
        <v>157</v>
      </c>
      <c r="I29" s="3" t="s">
        <v>158</v>
      </c>
      <c r="J29" s="3" t="s">
        <v>151</v>
      </c>
      <c r="K29" s="3" t="s">
        <v>78</v>
      </c>
      <c r="L29" s="3" t="s">
        <v>132</v>
      </c>
      <c r="M29" s="3" t="s">
        <v>133</v>
      </c>
      <c r="N29" s="3" t="s">
        <v>193</v>
      </c>
      <c r="O29" s="3" t="s">
        <v>81</v>
      </c>
      <c r="P29" s="3" t="str">
        <f>"YASHEN POORAI                 "</f>
        <v xml:space="preserve">YASHEN POORAI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33.590000000000003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3</v>
      </c>
      <c r="BI29" s="3">
        <v>17.8</v>
      </c>
      <c r="BJ29" s="3">
        <v>12.4</v>
      </c>
      <c r="BK29" s="3">
        <v>18</v>
      </c>
      <c r="BL29" s="3">
        <v>133.44999999999999</v>
      </c>
      <c r="BM29" s="3">
        <v>20.02</v>
      </c>
      <c r="BN29" s="3">
        <v>153.47</v>
      </c>
      <c r="BO29" s="3">
        <v>153.47</v>
      </c>
      <c r="BQ29" s="3" t="s">
        <v>194</v>
      </c>
      <c r="BR29" s="3" t="s">
        <v>195</v>
      </c>
      <c r="BS29" s="4">
        <v>44573</v>
      </c>
      <c r="BT29" s="5">
        <v>0.34166666666666662</v>
      </c>
      <c r="BU29" s="3" t="s">
        <v>137</v>
      </c>
      <c r="BV29" s="3" t="s">
        <v>95</v>
      </c>
      <c r="BY29" s="3">
        <v>62160</v>
      </c>
      <c r="BZ29" s="3" t="s">
        <v>85</v>
      </c>
      <c r="CA29" s="3" t="s">
        <v>136</v>
      </c>
      <c r="CC29" s="3" t="s">
        <v>133</v>
      </c>
      <c r="CD29" s="3">
        <v>2090</v>
      </c>
      <c r="CE29" s="3" t="s">
        <v>86</v>
      </c>
      <c r="CF29" s="4">
        <v>44574</v>
      </c>
      <c r="CI29" s="3">
        <v>1</v>
      </c>
      <c r="CJ29" s="3">
        <v>1</v>
      </c>
      <c r="CK29" s="3">
        <v>41</v>
      </c>
      <c r="CL29" s="3" t="s">
        <v>87</v>
      </c>
    </row>
    <row r="30" spans="1:90" x14ac:dyDescent="0.2">
      <c r="A30" s="3" t="s">
        <v>72</v>
      </c>
      <c r="B30" s="3" t="s">
        <v>73</v>
      </c>
      <c r="C30" s="3" t="s">
        <v>74</v>
      </c>
      <c r="E30" s="3" t="str">
        <f>"009941171580"</f>
        <v>009941171580</v>
      </c>
      <c r="F30" s="4">
        <v>44572</v>
      </c>
      <c r="G30" s="3">
        <v>202207</v>
      </c>
      <c r="H30" s="3" t="s">
        <v>79</v>
      </c>
      <c r="I30" s="3" t="s">
        <v>80</v>
      </c>
      <c r="J30" s="3" t="s">
        <v>77</v>
      </c>
      <c r="K30" s="3" t="s">
        <v>78</v>
      </c>
      <c r="L30" s="3" t="s">
        <v>196</v>
      </c>
      <c r="M30" s="3" t="s">
        <v>197</v>
      </c>
      <c r="N30" s="3" t="s">
        <v>77</v>
      </c>
      <c r="O30" s="3" t="s">
        <v>115</v>
      </c>
      <c r="P30" s="3" t="str">
        <f>"STORES                        "</f>
        <v xml:space="preserve">STORES      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29.95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1</v>
      </c>
      <c r="BJ30" s="3">
        <v>0.2</v>
      </c>
      <c r="BK30" s="3">
        <v>1</v>
      </c>
      <c r="BL30" s="3">
        <v>114.31</v>
      </c>
      <c r="BM30" s="3">
        <v>17.149999999999999</v>
      </c>
      <c r="BN30" s="3">
        <v>131.46</v>
      </c>
      <c r="BO30" s="3">
        <v>131.46</v>
      </c>
      <c r="BQ30" s="3" t="s">
        <v>198</v>
      </c>
      <c r="BR30" s="3" t="s">
        <v>118</v>
      </c>
      <c r="BS30" s="4">
        <v>44581</v>
      </c>
      <c r="BT30" s="5">
        <v>0.36180555555555555</v>
      </c>
      <c r="BU30" s="3" t="s">
        <v>199</v>
      </c>
      <c r="BV30" s="3" t="s">
        <v>87</v>
      </c>
      <c r="BW30" s="3" t="s">
        <v>200</v>
      </c>
      <c r="BX30" s="3" t="s">
        <v>201</v>
      </c>
      <c r="BY30" s="3">
        <v>1200</v>
      </c>
      <c r="BZ30" s="3" t="s">
        <v>117</v>
      </c>
      <c r="CC30" s="3" t="s">
        <v>197</v>
      </c>
      <c r="CD30" s="3">
        <v>2940</v>
      </c>
      <c r="CE30" s="3" t="s">
        <v>86</v>
      </c>
      <c r="CF30" s="4">
        <v>44581</v>
      </c>
      <c r="CI30" s="3">
        <v>1</v>
      </c>
      <c r="CJ30" s="3">
        <v>7</v>
      </c>
      <c r="CK30" s="3">
        <v>23</v>
      </c>
      <c r="CL30" s="3" t="s">
        <v>87</v>
      </c>
    </row>
    <row r="31" spans="1:90" x14ac:dyDescent="0.2">
      <c r="A31" s="3" t="s">
        <v>72</v>
      </c>
      <c r="B31" s="3" t="s">
        <v>73</v>
      </c>
      <c r="C31" s="3" t="s">
        <v>74</v>
      </c>
      <c r="E31" s="3" t="str">
        <f>"009940956732"</f>
        <v>009940956732</v>
      </c>
      <c r="F31" s="4">
        <v>44572</v>
      </c>
      <c r="G31" s="3">
        <v>202207</v>
      </c>
      <c r="H31" s="3" t="s">
        <v>79</v>
      </c>
      <c r="I31" s="3" t="s">
        <v>80</v>
      </c>
      <c r="J31" s="3" t="s">
        <v>77</v>
      </c>
      <c r="K31" s="3" t="s">
        <v>78</v>
      </c>
      <c r="L31" s="3" t="s">
        <v>90</v>
      </c>
      <c r="M31" s="3" t="s">
        <v>91</v>
      </c>
      <c r="N31" s="3" t="s">
        <v>77</v>
      </c>
      <c r="O31" s="3" t="s">
        <v>115</v>
      </c>
      <c r="P31" s="3" t="str">
        <f>"STORES                        "</f>
        <v xml:space="preserve">STORES      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15.46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1</v>
      </c>
      <c r="BJ31" s="3">
        <v>0.2</v>
      </c>
      <c r="BK31" s="3">
        <v>1</v>
      </c>
      <c r="BL31" s="3">
        <v>59</v>
      </c>
      <c r="BM31" s="3">
        <v>8.85</v>
      </c>
      <c r="BN31" s="3">
        <v>67.849999999999994</v>
      </c>
      <c r="BO31" s="3">
        <v>67.849999999999994</v>
      </c>
      <c r="BQ31" s="3" t="s">
        <v>118</v>
      </c>
      <c r="BR31" s="3" t="s">
        <v>111</v>
      </c>
      <c r="BS31" s="4">
        <v>44573</v>
      </c>
      <c r="BT31" s="5">
        <v>0.3972222222222222</v>
      </c>
      <c r="BU31" s="3" t="s">
        <v>186</v>
      </c>
      <c r="BV31" s="3" t="s">
        <v>95</v>
      </c>
      <c r="BY31" s="3">
        <v>1200</v>
      </c>
      <c r="BZ31" s="3" t="s">
        <v>117</v>
      </c>
      <c r="CA31" s="3" t="s">
        <v>187</v>
      </c>
      <c r="CC31" s="3" t="s">
        <v>91</v>
      </c>
      <c r="CD31" s="3">
        <v>699</v>
      </c>
      <c r="CE31" s="3" t="s">
        <v>86</v>
      </c>
      <c r="CF31" s="4">
        <v>44573</v>
      </c>
      <c r="CI31" s="3">
        <v>1</v>
      </c>
      <c r="CJ31" s="3">
        <v>1</v>
      </c>
      <c r="CK31" s="3">
        <v>21</v>
      </c>
      <c r="CL31" s="3" t="s">
        <v>87</v>
      </c>
    </row>
    <row r="32" spans="1:90" x14ac:dyDescent="0.2">
      <c r="A32" s="3" t="s">
        <v>72</v>
      </c>
      <c r="B32" s="3" t="s">
        <v>73</v>
      </c>
      <c r="C32" s="3" t="s">
        <v>74</v>
      </c>
      <c r="E32" s="3" t="str">
        <f>"009941856381"</f>
        <v>009941856381</v>
      </c>
      <c r="F32" s="4">
        <v>44572</v>
      </c>
      <c r="G32" s="3">
        <v>202207</v>
      </c>
      <c r="H32" s="3" t="s">
        <v>79</v>
      </c>
      <c r="I32" s="3" t="s">
        <v>80</v>
      </c>
      <c r="J32" s="3" t="s">
        <v>77</v>
      </c>
      <c r="K32" s="3" t="s">
        <v>78</v>
      </c>
      <c r="L32" s="3" t="s">
        <v>123</v>
      </c>
      <c r="M32" s="3" t="s">
        <v>124</v>
      </c>
      <c r="N32" s="3" t="s">
        <v>77</v>
      </c>
      <c r="O32" s="3" t="s">
        <v>115</v>
      </c>
      <c r="P32" s="3" t="str">
        <f>"STORES                        "</f>
        <v xml:space="preserve">STORES   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29.95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1</v>
      </c>
      <c r="BJ32" s="3">
        <v>0.2</v>
      </c>
      <c r="BK32" s="3">
        <v>1</v>
      </c>
      <c r="BL32" s="3">
        <v>114.31</v>
      </c>
      <c r="BM32" s="3">
        <v>17.149999999999999</v>
      </c>
      <c r="BN32" s="3">
        <v>131.46</v>
      </c>
      <c r="BO32" s="3">
        <v>131.46</v>
      </c>
      <c r="BQ32" s="3" t="s">
        <v>163</v>
      </c>
      <c r="BR32" s="3" t="s">
        <v>111</v>
      </c>
      <c r="BS32" s="4">
        <v>44573</v>
      </c>
      <c r="BT32" s="5">
        <v>0.375</v>
      </c>
      <c r="BU32" s="3" t="s">
        <v>202</v>
      </c>
      <c r="BV32" s="3" t="s">
        <v>95</v>
      </c>
      <c r="BY32" s="3">
        <v>1200</v>
      </c>
      <c r="BZ32" s="3" t="s">
        <v>117</v>
      </c>
      <c r="CA32" s="3" t="s">
        <v>203</v>
      </c>
      <c r="CC32" s="3" t="s">
        <v>124</v>
      </c>
      <c r="CD32" s="3">
        <v>1034</v>
      </c>
      <c r="CE32" s="3" t="s">
        <v>86</v>
      </c>
      <c r="CF32" s="4">
        <v>44573</v>
      </c>
      <c r="CI32" s="3">
        <v>1</v>
      </c>
      <c r="CJ32" s="3">
        <v>1</v>
      </c>
      <c r="CK32" s="3">
        <v>23</v>
      </c>
      <c r="CL32" s="3" t="s">
        <v>87</v>
      </c>
    </row>
    <row r="33" spans="1:90" x14ac:dyDescent="0.2">
      <c r="A33" s="3" t="s">
        <v>72</v>
      </c>
      <c r="B33" s="3" t="s">
        <v>73</v>
      </c>
      <c r="C33" s="3" t="s">
        <v>74</v>
      </c>
      <c r="E33" s="3" t="str">
        <f>"009941851504"</f>
        <v>009941851504</v>
      </c>
      <c r="F33" s="4">
        <v>44572</v>
      </c>
      <c r="G33" s="3">
        <v>202207</v>
      </c>
      <c r="H33" s="3" t="s">
        <v>79</v>
      </c>
      <c r="I33" s="3" t="s">
        <v>80</v>
      </c>
      <c r="J33" s="3" t="s">
        <v>77</v>
      </c>
      <c r="K33" s="3" t="s">
        <v>78</v>
      </c>
      <c r="L33" s="3" t="s">
        <v>108</v>
      </c>
      <c r="M33" s="3" t="s">
        <v>109</v>
      </c>
      <c r="N33" s="3" t="s">
        <v>77</v>
      </c>
      <c r="O33" s="3" t="s">
        <v>115</v>
      </c>
      <c r="P33" s="3" t="str">
        <f>"STORES                        "</f>
        <v xml:space="preserve">STORES      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15.46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1</v>
      </c>
      <c r="BJ33" s="3">
        <v>0.2</v>
      </c>
      <c r="BK33" s="3">
        <v>1</v>
      </c>
      <c r="BL33" s="3">
        <v>59</v>
      </c>
      <c r="BM33" s="3">
        <v>8.85</v>
      </c>
      <c r="BN33" s="3">
        <v>67.849999999999994</v>
      </c>
      <c r="BO33" s="3">
        <v>67.849999999999994</v>
      </c>
      <c r="BQ33" s="3" t="s">
        <v>204</v>
      </c>
      <c r="BR33" s="3" t="s">
        <v>111</v>
      </c>
      <c r="BS33" s="4">
        <v>44573</v>
      </c>
      <c r="BT33" s="5">
        <v>0.44930555555555557</v>
      </c>
      <c r="BU33" s="3" t="s">
        <v>205</v>
      </c>
      <c r="BV33" s="3" t="s">
        <v>95</v>
      </c>
      <c r="BY33" s="3">
        <v>1200</v>
      </c>
      <c r="BZ33" s="3" t="s">
        <v>117</v>
      </c>
      <c r="CA33" s="3" t="s">
        <v>206</v>
      </c>
      <c r="CC33" s="3" t="s">
        <v>109</v>
      </c>
      <c r="CD33" s="3">
        <v>9332</v>
      </c>
      <c r="CE33" s="3" t="s">
        <v>86</v>
      </c>
      <c r="CF33" s="4">
        <v>44574</v>
      </c>
      <c r="CI33" s="3">
        <v>1</v>
      </c>
      <c r="CJ33" s="3">
        <v>1</v>
      </c>
      <c r="CK33" s="3">
        <v>21</v>
      </c>
      <c r="CL33" s="3" t="s">
        <v>87</v>
      </c>
    </row>
    <row r="34" spans="1:90" x14ac:dyDescent="0.2">
      <c r="A34" s="3" t="s">
        <v>72</v>
      </c>
      <c r="B34" s="3" t="s">
        <v>73</v>
      </c>
      <c r="C34" s="3" t="s">
        <v>74</v>
      </c>
      <c r="E34" s="3" t="str">
        <f>"009941300632"</f>
        <v>009941300632</v>
      </c>
      <c r="F34" s="4">
        <v>44572</v>
      </c>
      <c r="G34" s="3">
        <v>202207</v>
      </c>
      <c r="H34" s="3" t="s">
        <v>75</v>
      </c>
      <c r="I34" s="3" t="s">
        <v>76</v>
      </c>
      <c r="J34" s="3" t="s">
        <v>77</v>
      </c>
      <c r="K34" s="3" t="s">
        <v>78</v>
      </c>
      <c r="L34" s="3" t="s">
        <v>132</v>
      </c>
      <c r="M34" s="3" t="s">
        <v>133</v>
      </c>
      <c r="N34" s="3" t="s">
        <v>207</v>
      </c>
      <c r="O34" s="3" t="s">
        <v>81</v>
      </c>
      <c r="P34" s="3" t="str">
        <f>"                              "</f>
        <v xml:space="preserve">         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42.16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1</v>
      </c>
      <c r="BJ34" s="3">
        <v>0.2</v>
      </c>
      <c r="BK34" s="3">
        <v>1</v>
      </c>
      <c r="BL34" s="3">
        <v>166.16</v>
      </c>
      <c r="BM34" s="3">
        <v>24.92</v>
      </c>
      <c r="BN34" s="3">
        <v>191.08</v>
      </c>
      <c r="BO34" s="3">
        <v>191.08</v>
      </c>
      <c r="BQ34" s="3" t="s">
        <v>208</v>
      </c>
      <c r="BR34" s="3" t="s">
        <v>83</v>
      </c>
      <c r="BS34" s="4">
        <v>44573</v>
      </c>
      <c r="BT34" s="5">
        <v>0.46458333333333335</v>
      </c>
      <c r="BU34" s="3" t="s">
        <v>209</v>
      </c>
      <c r="BV34" s="3" t="s">
        <v>95</v>
      </c>
      <c r="BY34" s="3">
        <v>1200</v>
      </c>
      <c r="BZ34" s="3" t="s">
        <v>85</v>
      </c>
      <c r="CA34" s="3" t="s">
        <v>210</v>
      </c>
      <c r="CC34" s="3" t="s">
        <v>133</v>
      </c>
      <c r="CD34" s="3">
        <v>2031</v>
      </c>
      <c r="CE34" s="3" t="s">
        <v>86</v>
      </c>
      <c r="CF34" s="4">
        <v>44573</v>
      </c>
      <c r="CI34" s="3">
        <v>2</v>
      </c>
      <c r="CJ34" s="3">
        <v>1</v>
      </c>
      <c r="CK34" s="3">
        <v>43</v>
      </c>
      <c r="CL34" s="3" t="s">
        <v>87</v>
      </c>
    </row>
    <row r="35" spans="1:90" x14ac:dyDescent="0.2">
      <c r="A35" s="3" t="s">
        <v>72</v>
      </c>
      <c r="B35" s="3" t="s">
        <v>73</v>
      </c>
      <c r="C35" s="3" t="s">
        <v>74</v>
      </c>
      <c r="E35" s="3" t="str">
        <f>"009941171581"</f>
        <v>009941171581</v>
      </c>
      <c r="F35" s="4">
        <v>44572</v>
      </c>
      <c r="G35" s="3">
        <v>202207</v>
      </c>
      <c r="H35" s="3" t="s">
        <v>79</v>
      </c>
      <c r="I35" s="3" t="s">
        <v>80</v>
      </c>
      <c r="J35" s="3" t="s">
        <v>77</v>
      </c>
      <c r="K35" s="3" t="s">
        <v>78</v>
      </c>
      <c r="L35" s="3" t="s">
        <v>75</v>
      </c>
      <c r="M35" s="3" t="s">
        <v>76</v>
      </c>
      <c r="N35" s="3" t="s">
        <v>92</v>
      </c>
      <c r="O35" s="3" t="s">
        <v>115</v>
      </c>
      <c r="P35" s="3" t="str">
        <f>"STORES                        "</f>
        <v xml:space="preserve">STORES           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50.24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3.2</v>
      </c>
      <c r="BJ35" s="3">
        <v>2.7</v>
      </c>
      <c r="BK35" s="3">
        <v>3.5</v>
      </c>
      <c r="BL35" s="3">
        <v>191.75</v>
      </c>
      <c r="BM35" s="3">
        <v>28.76</v>
      </c>
      <c r="BN35" s="3">
        <v>220.51</v>
      </c>
      <c r="BO35" s="3">
        <v>220.51</v>
      </c>
      <c r="BQ35" s="3" t="s">
        <v>211</v>
      </c>
      <c r="BR35" s="3" t="s">
        <v>118</v>
      </c>
      <c r="BS35" s="4">
        <v>44573</v>
      </c>
      <c r="BT35" s="5">
        <v>0.3215277777777778</v>
      </c>
      <c r="BU35" s="3" t="s">
        <v>192</v>
      </c>
      <c r="BV35" s="3" t="s">
        <v>95</v>
      </c>
      <c r="BY35" s="3">
        <v>13527.36</v>
      </c>
      <c r="BZ35" s="3" t="s">
        <v>117</v>
      </c>
      <c r="CC35" s="3" t="s">
        <v>76</v>
      </c>
      <c r="CD35" s="3">
        <v>3900</v>
      </c>
      <c r="CE35" s="3" t="s">
        <v>86</v>
      </c>
      <c r="CF35" s="4">
        <v>44574</v>
      </c>
      <c r="CI35" s="3">
        <v>1</v>
      </c>
      <c r="CJ35" s="3">
        <v>1</v>
      </c>
      <c r="CK35" s="3">
        <v>23</v>
      </c>
      <c r="CL35" s="3" t="s">
        <v>87</v>
      </c>
    </row>
    <row r="36" spans="1:90" x14ac:dyDescent="0.2">
      <c r="A36" s="3" t="s">
        <v>72</v>
      </c>
      <c r="B36" s="3" t="s">
        <v>73</v>
      </c>
      <c r="C36" s="3" t="s">
        <v>74</v>
      </c>
      <c r="E36" s="3" t="str">
        <f>"009940237764"</f>
        <v>009940237764</v>
      </c>
      <c r="F36" s="4">
        <v>44572</v>
      </c>
      <c r="G36" s="3">
        <v>202207</v>
      </c>
      <c r="H36" s="3" t="s">
        <v>79</v>
      </c>
      <c r="I36" s="3" t="s">
        <v>80</v>
      </c>
      <c r="J36" s="3" t="s">
        <v>77</v>
      </c>
      <c r="K36" s="3" t="s">
        <v>78</v>
      </c>
      <c r="L36" s="3" t="s">
        <v>90</v>
      </c>
      <c r="M36" s="3" t="s">
        <v>91</v>
      </c>
      <c r="N36" s="3" t="s">
        <v>212</v>
      </c>
      <c r="O36" s="3" t="s">
        <v>81</v>
      </c>
      <c r="P36" s="3" t="str">
        <f>"NA                            "</f>
        <v xml:space="preserve">NA        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520.16999999999996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3</v>
      </c>
      <c r="BI36" s="3">
        <v>124</v>
      </c>
      <c r="BJ36" s="3">
        <v>412.3</v>
      </c>
      <c r="BK36" s="3">
        <v>413</v>
      </c>
      <c r="BL36" s="3">
        <v>1990.68</v>
      </c>
      <c r="BM36" s="3">
        <v>298.60000000000002</v>
      </c>
      <c r="BN36" s="3">
        <v>2289.2800000000002</v>
      </c>
      <c r="BO36" s="3">
        <v>2289.2800000000002</v>
      </c>
      <c r="BQ36" s="3" t="s">
        <v>118</v>
      </c>
      <c r="BR36" s="3" t="s">
        <v>118</v>
      </c>
      <c r="BS36" s="4">
        <v>44574</v>
      </c>
      <c r="BT36" s="5">
        <v>0.68402777777777779</v>
      </c>
      <c r="BU36" s="3" t="s">
        <v>213</v>
      </c>
      <c r="BV36" s="3" t="s">
        <v>87</v>
      </c>
      <c r="BW36" s="3" t="s">
        <v>214</v>
      </c>
      <c r="BX36" s="3" t="s">
        <v>215</v>
      </c>
      <c r="BY36" s="3">
        <v>1310820</v>
      </c>
      <c r="BZ36" s="3" t="s">
        <v>85</v>
      </c>
      <c r="CA36" s="3" t="s">
        <v>169</v>
      </c>
      <c r="CC36" s="3" t="s">
        <v>91</v>
      </c>
      <c r="CD36" s="3">
        <v>699</v>
      </c>
      <c r="CE36" s="3" t="s">
        <v>86</v>
      </c>
      <c r="CF36" s="4">
        <v>44574</v>
      </c>
      <c r="CI36" s="3">
        <v>1</v>
      </c>
      <c r="CJ36" s="3">
        <v>2</v>
      </c>
      <c r="CK36" s="3">
        <v>41</v>
      </c>
      <c r="CL36" s="3" t="s">
        <v>87</v>
      </c>
    </row>
    <row r="37" spans="1:90" x14ac:dyDescent="0.2">
      <c r="A37" s="3" t="s">
        <v>72</v>
      </c>
      <c r="B37" s="3" t="s">
        <v>73</v>
      </c>
      <c r="C37" s="3" t="s">
        <v>74</v>
      </c>
      <c r="E37" s="3" t="str">
        <f>"009941567737"</f>
        <v>009941567737</v>
      </c>
      <c r="F37" s="4">
        <v>44572</v>
      </c>
      <c r="G37" s="3">
        <v>202207</v>
      </c>
      <c r="H37" s="3" t="s">
        <v>79</v>
      </c>
      <c r="I37" s="3" t="s">
        <v>80</v>
      </c>
      <c r="J37" s="3" t="s">
        <v>77</v>
      </c>
      <c r="K37" s="3" t="s">
        <v>78</v>
      </c>
      <c r="L37" s="3" t="s">
        <v>149</v>
      </c>
      <c r="M37" s="3" t="s">
        <v>150</v>
      </c>
      <c r="N37" s="3" t="s">
        <v>77</v>
      </c>
      <c r="O37" s="3" t="s">
        <v>81</v>
      </c>
      <c r="P37" s="3" t="str">
        <f>"STORES                        "</f>
        <v xml:space="preserve">STORES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91.48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2</v>
      </c>
      <c r="BI37" s="3">
        <v>48</v>
      </c>
      <c r="BJ37" s="3">
        <v>64.2</v>
      </c>
      <c r="BK37" s="3">
        <v>65</v>
      </c>
      <c r="BL37" s="3">
        <v>354.43</v>
      </c>
      <c r="BM37" s="3">
        <v>53.16</v>
      </c>
      <c r="BN37" s="3">
        <v>407.59</v>
      </c>
      <c r="BO37" s="3">
        <v>407.59</v>
      </c>
      <c r="BQ37" s="3" t="s">
        <v>216</v>
      </c>
      <c r="BR37" s="3" t="s">
        <v>118</v>
      </c>
      <c r="BS37" s="4">
        <v>44578</v>
      </c>
      <c r="BT37" s="5">
        <v>0.4201388888888889</v>
      </c>
      <c r="BU37" s="3" t="s">
        <v>217</v>
      </c>
      <c r="BV37" s="3" t="s">
        <v>87</v>
      </c>
      <c r="BW37" s="3" t="s">
        <v>218</v>
      </c>
      <c r="BX37" s="3" t="s">
        <v>219</v>
      </c>
      <c r="BY37" s="3">
        <v>321249.59999999998</v>
      </c>
      <c r="BZ37" s="3" t="s">
        <v>85</v>
      </c>
      <c r="CC37" s="3" t="s">
        <v>150</v>
      </c>
      <c r="CD37" s="3">
        <v>3200</v>
      </c>
      <c r="CE37" s="3" t="s">
        <v>86</v>
      </c>
      <c r="CF37" s="4">
        <v>44581</v>
      </c>
      <c r="CI37" s="3">
        <v>1</v>
      </c>
      <c r="CJ37" s="3">
        <v>4</v>
      </c>
      <c r="CK37" s="3">
        <v>41</v>
      </c>
      <c r="CL37" s="3" t="s">
        <v>87</v>
      </c>
    </row>
    <row r="38" spans="1:90" x14ac:dyDescent="0.2">
      <c r="A38" s="3" t="s">
        <v>72</v>
      </c>
      <c r="B38" s="3" t="s">
        <v>73</v>
      </c>
      <c r="C38" s="3" t="s">
        <v>74</v>
      </c>
      <c r="E38" s="3" t="str">
        <f>"009940237763"</f>
        <v>009940237763</v>
      </c>
      <c r="F38" s="4">
        <v>44572</v>
      </c>
      <c r="G38" s="3">
        <v>202207</v>
      </c>
      <c r="H38" s="3" t="s">
        <v>79</v>
      </c>
      <c r="I38" s="3" t="s">
        <v>80</v>
      </c>
      <c r="J38" s="3" t="s">
        <v>77</v>
      </c>
      <c r="K38" s="3" t="s">
        <v>78</v>
      </c>
      <c r="L38" s="3" t="s">
        <v>90</v>
      </c>
      <c r="M38" s="3" t="s">
        <v>91</v>
      </c>
      <c r="N38" s="3" t="s">
        <v>92</v>
      </c>
      <c r="O38" s="3" t="s">
        <v>81</v>
      </c>
      <c r="P38" s="3" t="str">
        <f>"STORES                        "</f>
        <v xml:space="preserve">STORES  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64.38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29</v>
      </c>
      <c r="BJ38" s="3">
        <v>42.9</v>
      </c>
      <c r="BK38" s="3">
        <v>43</v>
      </c>
      <c r="BL38" s="3">
        <v>250.99</v>
      </c>
      <c r="BM38" s="3">
        <v>37.65</v>
      </c>
      <c r="BN38" s="3">
        <v>288.64</v>
      </c>
      <c r="BO38" s="3">
        <v>288.64</v>
      </c>
      <c r="BQ38" s="3" t="s">
        <v>118</v>
      </c>
      <c r="BR38" s="3" t="s">
        <v>164</v>
      </c>
      <c r="BS38" s="4">
        <v>44573</v>
      </c>
      <c r="BT38" s="5">
        <v>0.3972222222222222</v>
      </c>
      <c r="BU38" s="3" t="s">
        <v>186</v>
      </c>
      <c r="BV38" s="3" t="s">
        <v>95</v>
      </c>
      <c r="BY38" s="3">
        <v>214400</v>
      </c>
      <c r="BZ38" s="3" t="s">
        <v>85</v>
      </c>
      <c r="CA38" s="3" t="s">
        <v>187</v>
      </c>
      <c r="CC38" s="3" t="s">
        <v>91</v>
      </c>
      <c r="CD38" s="3">
        <v>699</v>
      </c>
      <c r="CE38" s="3" t="s">
        <v>86</v>
      </c>
      <c r="CF38" s="4">
        <v>44573</v>
      </c>
      <c r="CI38" s="3">
        <v>1</v>
      </c>
      <c r="CJ38" s="3">
        <v>1</v>
      </c>
      <c r="CK38" s="3">
        <v>41</v>
      </c>
      <c r="CL38" s="3" t="s">
        <v>87</v>
      </c>
    </row>
    <row r="39" spans="1:90" x14ac:dyDescent="0.2">
      <c r="A39" s="3" t="s">
        <v>72</v>
      </c>
      <c r="B39" s="3" t="s">
        <v>73</v>
      </c>
      <c r="C39" s="3" t="s">
        <v>74</v>
      </c>
      <c r="E39" s="3" t="str">
        <f>"009941621978"</f>
        <v>009941621978</v>
      </c>
      <c r="F39" s="4">
        <v>44572</v>
      </c>
      <c r="G39" s="3">
        <v>202207</v>
      </c>
      <c r="H39" s="3" t="s">
        <v>79</v>
      </c>
      <c r="I39" s="3" t="s">
        <v>80</v>
      </c>
      <c r="J39" s="3" t="s">
        <v>77</v>
      </c>
      <c r="K39" s="3" t="s">
        <v>78</v>
      </c>
      <c r="L39" s="3" t="s">
        <v>97</v>
      </c>
      <c r="M39" s="3" t="s">
        <v>98</v>
      </c>
      <c r="N39" s="3" t="s">
        <v>77</v>
      </c>
      <c r="O39" s="3" t="s">
        <v>81</v>
      </c>
      <c r="P39" s="3" t="str">
        <f>"STORES                        "</f>
        <v xml:space="preserve">STORES  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29.89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2</v>
      </c>
      <c r="BI39" s="3">
        <v>4.4000000000000004</v>
      </c>
      <c r="BJ39" s="3">
        <v>2.7</v>
      </c>
      <c r="BK39" s="3">
        <v>5</v>
      </c>
      <c r="BL39" s="3">
        <v>119.34</v>
      </c>
      <c r="BM39" s="3">
        <v>17.899999999999999</v>
      </c>
      <c r="BN39" s="3">
        <v>137.24</v>
      </c>
      <c r="BO39" s="3">
        <v>137.24</v>
      </c>
      <c r="BQ39" s="3" t="s">
        <v>118</v>
      </c>
      <c r="BR39" s="3" t="s">
        <v>118</v>
      </c>
      <c r="BS39" s="4">
        <v>44575</v>
      </c>
      <c r="BT39" s="5">
        <v>0.40763888888888888</v>
      </c>
      <c r="BU39" s="3" t="s">
        <v>220</v>
      </c>
      <c r="BV39" s="3" t="s">
        <v>87</v>
      </c>
      <c r="BW39" s="3" t="s">
        <v>221</v>
      </c>
      <c r="BX39" s="3" t="s">
        <v>222</v>
      </c>
      <c r="BY39" s="3">
        <v>13730.94</v>
      </c>
      <c r="BZ39" s="3" t="s">
        <v>85</v>
      </c>
      <c r="CA39" s="3" t="s">
        <v>223</v>
      </c>
      <c r="CC39" s="3" t="s">
        <v>98</v>
      </c>
      <c r="CD39" s="3">
        <v>8000</v>
      </c>
      <c r="CE39" s="3" t="s">
        <v>86</v>
      </c>
      <c r="CF39" s="4">
        <v>44578</v>
      </c>
      <c r="CI39" s="3">
        <v>2</v>
      </c>
      <c r="CJ39" s="3">
        <v>3</v>
      </c>
      <c r="CK39" s="3">
        <v>41</v>
      </c>
      <c r="CL39" s="3" t="s">
        <v>87</v>
      </c>
    </row>
    <row r="40" spans="1:90" x14ac:dyDescent="0.2">
      <c r="A40" s="3" t="s">
        <v>72</v>
      </c>
      <c r="B40" s="3" t="s">
        <v>73</v>
      </c>
      <c r="C40" s="3" t="s">
        <v>74</v>
      </c>
      <c r="E40" s="3" t="str">
        <f>"009941618970"</f>
        <v>009941618970</v>
      </c>
      <c r="F40" s="4">
        <v>44572</v>
      </c>
      <c r="G40" s="3">
        <v>202207</v>
      </c>
      <c r="H40" s="3" t="s">
        <v>79</v>
      </c>
      <c r="I40" s="3" t="s">
        <v>80</v>
      </c>
      <c r="J40" s="3" t="s">
        <v>77</v>
      </c>
      <c r="K40" s="3" t="s">
        <v>78</v>
      </c>
      <c r="L40" s="3" t="s">
        <v>157</v>
      </c>
      <c r="M40" s="3" t="s">
        <v>158</v>
      </c>
      <c r="N40" s="3" t="s">
        <v>77</v>
      </c>
      <c r="O40" s="3" t="s">
        <v>81</v>
      </c>
      <c r="P40" s="3" t="str">
        <f>"STORES                        "</f>
        <v xml:space="preserve">STORES  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74.239999999999995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4</v>
      </c>
      <c r="BI40" s="3">
        <v>31.9</v>
      </c>
      <c r="BJ40" s="3">
        <v>50.5</v>
      </c>
      <c r="BK40" s="3">
        <v>51</v>
      </c>
      <c r="BL40" s="3">
        <v>288.61</v>
      </c>
      <c r="BM40" s="3">
        <v>43.29</v>
      </c>
      <c r="BN40" s="3">
        <v>331.9</v>
      </c>
      <c r="BO40" s="3">
        <v>331.9</v>
      </c>
      <c r="BQ40" s="3" t="s">
        <v>118</v>
      </c>
      <c r="BR40" s="3" t="s">
        <v>118</v>
      </c>
      <c r="BS40" s="4">
        <v>44574</v>
      </c>
      <c r="BT40" s="5">
        <v>0.44375000000000003</v>
      </c>
      <c r="BU40" s="3" t="s">
        <v>224</v>
      </c>
      <c r="BV40" s="3" t="s">
        <v>87</v>
      </c>
      <c r="BW40" s="3" t="s">
        <v>221</v>
      </c>
      <c r="BX40" s="3" t="s">
        <v>219</v>
      </c>
      <c r="BY40" s="3">
        <v>252489.17</v>
      </c>
      <c r="BZ40" s="3" t="s">
        <v>85</v>
      </c>
      <c r="CA40" s="3" t="s">
        <v>161</v>
      </c>
      <c r="CC40" s="3" t="s">
        <v>158</v>
      </c>
      <c r="CD40" s="3">
        <v>4091</v>
      </c>
      <c r="CE40" s="3" t="s">
        <v>86</v>
      </c>
      <c r="CF40" s="4">
        <v>44574</v>
      </c>
      <c r="CI40" s="3">
        <v>1</v>
      </c>
      <c r="CJ40" s="3">
        <v>2</v>
      </c>
      <c r="CK40" s="3">
        <v>41</v>
      </c>
      <c r="CL40" s="3" t="s">
        <v>87</v>
      </c>
    </row>
    <row r="41" spans="1:90" x14ac:dyDescent="0.2">
      <c r="A41" s="3" t="s">
        <v>72</v>
      </c>
      <c r="B41" s="3" t="s">
        <v>73</v>
      </c>
      <c r="C41" s="3" t="s">
        <v>74</v>
      </c>
      <c r="E41" s="3" t="str">
        <f>"009941936020"</f>
        <v>009941936020</v>
      </c>
      <c r="F41" s="4">
        <v>44572</v>
      </c>
      <c r="G41" s="3">
        <v>202207</v>
      </c>
      <c r="H41" s="3" t="s">
        <v>225</v>
      </c>
      <c r="I41" s="3" t="s">
        <v>226</v>
      </c>
      <c r="J41" s="3" t="s">
        <v>92</v>
      </c>
      <c r="K41" s="3" t="s">
        <v>78</v>
      </c>
      <c r="L41" s="3" t="s">
        <v>103</v>
      </c>
      <c r="M41" s="3" t="s">
        <v>104</v>
      </c>
      <c r="N41" s="3" t="s">
        <v>92</v>
      </c>
      <c r="O41" s="3" t="s">
        <v>81</v>
      </c>
      <c r="P41" s="3" t="str">
        <f>"                              "</f>
        <v xml:space="preserve">                 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98.18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1</v>
      </c>
      <c r="BI41" s="3">
        <v>29.5</v>
      </c>
      <c r="BJ41" s="3">
        <v>40.6</v>
      </c>
      <c r="BK41" s="3">
        <v>41</v>
      </c>
      <c r="BL41" s="3">
        <v>380</v>
      </c>
      <c r="BM41" s="3">
        <v>57</v>
      </c>
      <c r="BN41" s="3">
        <v>437</v>
      </c>
      <c r="BO41" s="3">
        <v>437</v>
      </c>
      <c r="BQ41" s="3" t="s">
        <v>181</v>
      </c>
      <c r="BR41" s="3" t="s">
        <v>227</v>
      </c>
      <c r="BS41" s="4">
        <v>44574</v>
      </c>
      <c r="BT41" s="5">
        <v>0.53333333333333333</v>
      </c>
      <c r="BU41" s="3" t="s">
        <v>173</v>
      </c>
      <c r="BV41" s="3" t="s">
        <v>87</v>
      </c>
      <c r="BW41" s="3" t="s">
        <v>221</v>
      </c>
      <c r="BX41" s="3" t="s">
        <v>228</v>
      </c>
      <c r="BY41" s="3">
        <v>202800</v>
      </c>
      <c r="BZ41" s="3" t="s">
        <v>85</v>
      </c>
      <c r="CA41" s="3" t="s">
        <v>174</v>
      </c>
      <c r="CC41" s="3" t="s">
        <v>104</v>
      </c>
      <c r="CD41" s="3">
        <v>6000</v>
      </c>
      <c r="CE41" s="3" t="s">
        <v>86</v>
      </c>
      <c r="CF41" s="4">
        <v>44574</v>
      </c>
      <c r="CI41" s="3">
        <v>1</v>
      </c>
      <c r="CJ41" s="3">
        <v>2</v>
      </c>
      <c r="CK41" s="3">
        <v>43</v>
      </c>
      <c r="CL41" s="3" t="s">
        <v>87</v>
      </c>
    </row>
    <row r="42" spans="1:90" x14ac:dyDescent="0.2">
      <c r="A42" s="3" t="s">
        <v>72</v>
      </c>
      <c r="B42" s="3" t="s">
        <v>73</v>
      </c>
      <c r="C42" s="3" t="s">
        <v>74</v>
      </c>
      <c r="E42" s="3" t="str">
        <f>"009941994666"</f>
        <v>009941994666</v>
      </c>
      <c r="F42" s="4">
        <v>44572</v>
      </c>
      <c r="G42" s="3">
        <v>202207</v>
      </c>
      <c r="H42" s="3" t="s">
        <v>108</v>
      </c>
      <c r="I42" s="3" t="s">
        <v>109</v>
      </c>
      <c r="J42" s="3" t="s">
        <v>77</v>
      </c>
      <c r="K42" s="3" t="s">
        <v>78</v>
      </c>
      <c r="L42" s="3" t="s">
        <v>132</v>
      </c>
      <c r="M42" s="3" t="s">
        <v>133</v>
      </c>
      <c r="N42" s="3" t="s">
        <v>92</v>
      </c>
      <c r="O42" s="3" t="s">
        <v>81</v>
      </c>
      <c r="P42" s="3" t="str">
        <f>"                              "</f>
        <v xml:space="preserve">                  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119.82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15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2</v>
      </c>
      <c r="BI42" s="3">
        <v>52</v>
      </c>
      <c r="BJ42" s="3">
        <v>87.9</v>
      </c>
      <c r="BK42" s="3">
        <v>88</v>
      </c>
      <c r="BL42" s="3">
        <v>477.58</v>
      </c>
      <c r="BM42" s="3">
        <v>71.64</v>
      </c>
      <c r="BN42" s="3">
        <v>549.22</v>
      </c>
      <c r="BO42" s="3">
        <v>549.22</v>
      </c>
      <c r="BQ42" s="3" t="s">
        <v>82</v>
      </c>
      <c r="BR42" s="3" t="s">
        <v>229</v>
      </c>
      <c r="BS42" s="4">
        <v>44573</v>
      </c>
      <c r="BT42" s="5">
        <v>0.34236111111111112</v>
      </c>
      <c r="BU42" s="3" t="s">
        <v>137</v>
      </c>
      <c r="BV42" s="3" t="s">
        <v>95</v>
      </c>
      <c r="BY42" s="3">
        <v>219760</v>
      </c>
      <c r="BZ42" s="3" t="s">
        <v>230</v>
      </c>
      <c r="CA42" s="3" t="s">
        <v>136</v>
      </c>
      <c r="CC42" s="3" t="s">
        <v>133</v>
      </c>
      <c r="CD42" s="3">
        <v>2000</v>
      </c>
      <c r="CE42" s="3" t="s">
        <v>86</v>
      </c>
      <c r="CF42" s="4">
        <v>44574</v>
      </c>
      <c r="CI42" s="3">
        <v>1</v>
      </c>
      <c r="CJ42" s="3">
        <v>1</v>
      </c>
      <c r="CK42" s="3">
        <v>41</v>
      </c>
      <c r="CL42" s="3" t="s">
        <v>87</v>
      </c>
    </row>
    <row r="43" spans="1:90" x14ac:dyDescent="0.2">
      <c r="A43" s="3" t="s">
        <v>72</v>
      </c>
      <c r="B43" s="3" t="s">
        <v>73</v>
      </c>
      <c r="C43" s="3" t="s">
        <v>74</v>
      </c>
      <c r="E43" s="3" t="str">
        <f>"009941856382"</f>
        <v>009941856382</v>
      </c>
      <c r="F43" s="4">
        <v>44573</v>
      </c>
      <c r="G43" s="3">
        <v>202207</v>
      </c>
      <c r="H43" s="3" t="s">
        <v>79</v>
      </c>
      <c r="I43" s="3" t="s">
        <v>80</v>
      </c>
      <c r="J43" s="3" t="s">
        <v>77</v>
      </c>
      <c r="K43" s="3" t="s">
        <v>78</v>
      </c>
      <c r="L43" s="3" t="s">
        <v>123</v>
      </c>
      <c r="M43" s="3" t="s">
        <v>124</v>
      </c>
      <c r="N43" s="3" t="s">
        <v>231</v>
      </c>
      <c r="O43" s="3" t="s">
        <v>115</v>
      </c>
      <c r="P43" s="3" t="str">
        <f>"LOCKS                         "</f>
        <v xml:space="preserve">LOCKS     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29.95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1</v>
      </c>
      <c r="BI43" s="3">
        <v>1</v>
      </c>
      <c r="BJ43" s="3">
        <v>0.2</v>
      </c>
      <c r="BK43" s="3">
        <v>1</v>
      </c>
      <c r="BL43" s="3">
        <v>114.31</v>
      </c>
      <c r="BM43" s="3">
        <v>17.149999999999999</v>
      </c>
      <c r="BN43" s="3">
        <v>131.46</v>
      </c>
      <c r="BO43" s="3">
        <v>131.46</v>
      </c>
      <c r="BQ43" s="3" t="s">
        <v>163</v>
      </c>
      <c r="BR43" s="3" t="s">
        <v>232</v>
      </c>
      <c r="BS43" s="4">
        <v>44574</v>
      </c>
      <c r="BT43" s="5">
        <v>0.35138888888888892</v>
      </c>
      <c r="BU43" s="3" t="s">
        <v>233</v>
      </c>
      <c r="BV43" s="3" t="s">
        <v>95</v>
      </c>
      <c r="BY43" s="3">
        <v>1200</v>
      </c>
      <c r="BZ43" s="3" t="s">
        <v>117</v>
      </c>
      <c r="CA43" s="3" t="s">
        <v>203</v>
      </c>
      <c r="CC43" s="3" t="s">
        <v>124</v>
      </c>
      <c r="CD43" s="3">
        <v>1034</v>
      </c>
      <c r="CE43" s="3" t="s">
        <v>86</v>
      </c>
      <c r="CF43" s="4">
        <v>44575</v>
      </c>
      <c r="CI43" s="3">
        <v>1</v>
      </c>
      <c r="CJ43" s="3">
        <v>1</v>
      </c>
      <c r="CK43" s="3">
        <v>23</v>
      </c>
      <c r="CL43" s="3" t="s">
        <v>87</v>
      </c>
    </row>
    <row r="44" spans="1:90" x14ac:dyDescent="0.2">
      <c r="A44" s="3" t="s">
        <v>72</v>
      </c>
      <c r="B44" s="3" t="s">
        <v>73</v>
      </c>
      <c r="C44" s="3" t="s">
        <v>74</v>
      </c>
      <c r="E44" s="3" t="str">
        <f>"009941618587"</f>
        <v>009941618587</v>
      </c>
      <c r="F44" s="4">
        <v>44573</v>
      </c>
      <c r="G44" s="3">
        <v>202207</v>
      </c>
      <c r="H44" s="3" t="s">
        <v>79</v>
      </c>
      <c r="I44" s="3" t="s">
        <v>80</v>
      </c>
      <c r="J44" s="3" t="s">
        <v>77</v>
      </c>
      <c r="K44" s="3" t="s">
        <v>78</v>
      </c>
      <c r="L44" s="3" t="s">
        <v>112</v>
      </c>
      <c r="M44" s="3" t="s">
        <v>113</v>
      </c>
      <c r="N44" s="3" t="s">
        <v>234</v>
      </c>
      <c r="O44" s="3" t="s">
        <v>115</v>
      </c>
      <c r="P44" s="3" t="str">
        <f>"STORES                        "</f>
        <v xml:space="preserve">STORES           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29.95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1</v>
      </c>
      <c r="BJ44" s="3">
        <v>0.2</v>
      </c>
      <c r="BK44" s="3">
        <v>1</v>
      </c>
      <c r="BL44" s="3">
        <v>114.31</v>
      </c>
      <c r="BM44" s="3">
        <v>17.149999999999999</v>
      </c>
      <c r="BN44" s="3">
        <v>131.46</v>
      </c>
      <c r="BO44" s="3">
        <v>131.46</v>
      </c>
      <c r="BQ44" s="3" t="s">
        <v>116</v>
      </c>
      <c r="BR44" s="3" t="s">
        <v>111</v>
      </c>
      <c r="BS44" s="4">
        <v>44574</v>
      </c>
      <c r="BT44" s="5">
        <v>0.37083333333333335</v>
      </c>
      <c r="BU44" s="3" t="s">
        <v>235</v>
      </c>
      <c r="BV44" s="3" t="s">
        <v>95</v>
      </c>
      <c r="BY44" s="3">
        <v>1200</v>
      </c>
      <c r="BZ44" s="3" t="s">
        <v>117</v>
      </c>
      <c r="CA44" s="3" t="s">
        <v>236</v>
      </c>
      <c r="CC44" s="3" t="s">
        <v>113</v>
      </c>
      <c r="CD44" s="3">
        <v>300</v>
      </c>
      <c r="CE44" s="3" t="s">
        <v>86</v>
      </c>
      <c r="CF44" s="4">
        <v>44574</v>
      </c>
      <c r="CI44" s="3">
        <v>1</v>
      </c>
      <c r="CJ44" s="3">
        <v>1</v>
      </c>
      <c r="CK44" s="3">
        <v>23</v>
      </c>
      <c r="CL44" s="3" t="s">
        <v>87</v>
      </c>
    </row>
    <row r="45" spans="1:90" x14ac:dyDescent="0.2">
      <c r="A45" s="3" t="s">
        <v>72</v>
      </c>
      <c r="B45" s="3" t="s">
        <v>73</v>
      </c>
      <c r="C45" s="3" t="s">
        <v>74</v>
      </c>
      <c r="E45" s="3" t="str">
        <f>"009941618902"</f>
        <v>009941618902</v>
      </c>
      <c r="F45" s="4">
        <v>44573</v>
      </c>
      <c r="G45" s="3">
        <v>202207</v>
      </c>
      <c r="H45" s="3" t="s">
        <v>79</v>
      </c>
      <c r="I45" s="3" t="s">
        <v>80</v>
      </c>
      <c r="J45" s="3" t="s">
        <v>77</v>
      </c>
      <c r="K45" s="3" t="s">
        <v>78</v>
      </c>
      <c r="L45" s="3" t="s">
        <v>123</v>
      </c>
      <c r="M45" s="3" t="s">
        <v>124</v>
      </c>
      <c r="N45" s="3" t="s">
        <v>237</v>
      </c>
      <c r="O45" s="3" t="s">
        <v>81</v>
      </c>
      <c r="P45" s="3" t="str">
        <f>"STORES                        "</f>
        <v xml:space="preserve">STORES     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199.46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3</v>
      </c>
      <c r="BI45" s="3">
        <v>71.7</v>
      </c>
      <c r="BJ45" s="3">
        <v>87.4</v>
      </c>
      <c r="BK45" s="3">
        <v>88</v>
      </c>
      <c r="BL45" s="3">
        <v>766.57</v>
      </c>
      <c r="BM45" s="3">
        <v>114.99</v>
      </c>
      <c r="BN45" s="3">
        <v>881.56</v>
      </c>
      <c r="BO45" s="3">
        <v>881.56</v>
      </c>
      <c r="BQ45" s="3" t="s">
        <v>163</v>
      </c>
      <c r="BR45" s="3" t="s">
        <v>111</v>
      </c>
      <c r="BS45" s="4">
        <v>44574</v>
      </c>
      <c r="BT45" s="5">
        <v>0.35138888888888892</v>
      </c>
      <c r="BU45" s="3" t="s">
        <v>233</v>
      </c>
      <c r="BV45" s="3" t="s">
        <v>95</v>
      </c>
      <c r="BY45" s="3">
        <v>437043.74</v>
      </c>
      <c r="BZ45" s="3" t="s">
        <v>85</v>
      </c>
      <c r="CA45" s="3" t="s">
        <v>203</v>
      </c>
      <c r="CC45" s="3" t="s">
        <v>124</v>
      </c>
      <c r="CD45" s="3">
        <v>1034</v>
      </c>
      <c r="CE45" s="3" t="s">
        <v>86</v>
      </c>
      <c r="CF45" s="4">
        <v>44575</v>
      </c>
      <c r="CI45" s="3">
        <v>1</v>
      </c>
      <c r="CJ45" s="3">
        <v>1</v>
      </c>
      <c r="CK45" s="3">
        <v>43</v>
      </c>
      <c r="CL45" s="3" t="s">
        <v>87</v>
      </c>
    </row>
    <row r="46" spans="1:90" x14ac:dyDescent="0.2">
      <c r="A46" s="3" t="s">
        <v>72</v>
      </c>
      <c r="B46" s="3" t="s">
        <v>73</v>
      </c>
      <c r="C46" s="3" t="s">
        <v>74</v>
      </c>
      <c r="E46" s="3" t="str">
        <f>"009941258068"</f>
        <v>009941258068</v>
      </c>
      <c r="F46" s="4">
        <v>44574</v>
      </c>
      <c r="G46" s="3">
        <v>202207</v>
      </c>
      <c r="H46" s="3" t="s">
        <v>177</v>
      </c>
      <c r="I46" s="3" t="s">
        <v>178</v>
      </c>
      <c r="J46" s="3" t="s">
        <v>231</v>
      </c>
      <c r="K46" s="3" t="s">
        <v>78</v>
      </c>
      <c r="L46" s="3" t="s">
        <v>132</v>
      </c>
      <c r="M46" s="3" t="s">
        <v>133</v>
      </c>
      <c r="N46" s="3" t="s">
        <v>231</v>
      </c>
      <c r="O46" s="3" t="s">
        <v>81</v>
      </c>
      <c r="P46" s="3" t="str">
        <f>"                              "</f>
        <v xml:space="preserve">            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31.12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1</v>
      </c>
      <c r="BI46" s="3">
        <v>16</v>
      </c>
      <c r="BJ46" s="3">
        <v>15.6</v>
      </c>
      <c r="BK46" s="3">
        <v>16</v>
      </c>
      <c r="BL46" s="3">
        <v>124.04</v>
      </c>
      <c r="BM46" s="3">
        <v>18.61</v>
      </c>
      <c r="BN46" s="3">
        <v>142.65</v>
      </c>
      <c r="BO46" s="3">
        <v>142.65</v>
      </c>
      <c r="BQ46" s="3" t="s">
        <v>82</v>
      </c>
      <c r="BR46" s="3" t="s">
        <v>182</v>
      </c>
      <c r="BS46" s="4">
        <v>44578</v>
      </c>
      <c r="BT46" s="5">
        <v>0.49722222222222223</v>
      </c>
      <c r="BU46" s="3" t="s">
        <v>238</v>
      </c>
      <c r="BV46" s="3" t="s">
        <v>95</v>
      </c>
      <c r="BY46" s="3">
        <v>78120</v>
      </c>
      <c r="CA46" s="3" t="s">
        <v>136</v>
      </c>
      <c r="CC46" s="3" t="s">
        <v>133</v>
      </c>
      <c r="CD46" s="3">
        <v>2000</v>
      </c>
      <c r="CE46" s="3" t="s">
        <v>86</v>
      </c>
      <c r="CF46" s="4">
        <v>44579</v>
      </c>
      <c r="CI46" s="3">
        <v>2</v>
      </c>
      <c r="CJ46" s="3">
        <v>2</v>
      </c>
      <c r="CK46" s="3">
        <v>41</v>
      </c>
      <c r="CL46" s="3" t="s">
        <v>87</v>
      </c>
    </row>
    <row r="47" spans="1:90" x14ac:dyDescent="0.2">
      <c r="A47" s="3" t="s">
        <v>72</v>
      </c>
      <c r="B47" s="3" t="s">
        <v>73</v>
      </c>
      <c r="C47" s="3" t="s">
        <v>74</v>
      </c>
      <c r="E47" s="3" t="str">
        <f>"009940746420"</f>
        <v>009940746420</v>
      </c>
      <c r="F47" s="4">
        <v>44573</v>
      </c>
      <c r="G47" s="3">
        <v>202207</v>
      </c>
      <c r="H47" s="3" t="s">
        <v>97</v>
      </c>
      <c r="I47" s="3" t="s">
        <v>98</v>
      </c>
      <c r="J47" s="3" t="s">
        <v>77</v>
      </c>
      <c r="K47" s="3" t="s">
        <v>78</v>
      </c>
      <c r="L47" s="3" t="s">
        <v>79</v>
      </c>
      <c r="M47" s="3" t="s">
        <v>80</v>
      </c>
      <c r="N47" s="3" t="s">
        <v>77</v>
      </c>
      <c r="O47" s="3" t="s">
        <v>81</v>
      </c>
      <c r="P47" s="3" t="str">
        <f>"                              "</f>
        <v xml:space="preserve">          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73.010000000000005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1</v>
      </c>
      <c r="BI47" s="3">
        <v>28.7</v>
      </c>
      <c r="BJ47" s="3">
        <v>49.2</v>
      </c>
      <c r="BK47" s="3">
        <v>50</v>
      </c>
      <c r="BL47" s="3">
        <v>283.91000000000003</v>
      </c>
      <c r="BM47" s="3">
        <v>42.59</v>
      </c>
      <c r="BN47" s="3">
        <v>326.5</v>
      </c>
      <c r="BO47" s="3">
        <v>326.5</v>
      </c>
      <c r="BQ47" s="3" t="s">
        <v>99</v>
      </c>
      <c r="BR47" s="3" t="s">
        <v>100</v>
      </c>
      <c r="BS47" s="4">
        <v>44575</v>
      </c>
      <c r="BT47" s="5">
        <v>0.39305555555555555</v>
      </c>
      <c r="BU47" s="3" t="s">
        <v>137</v>
      </c>
      <c r="BV47" s="3" t="s">
        <v>95</v>
      </c>
      <c r="BY47" s="3">
        <v>246037.5</v>
      </c>
      <c r="BZ47" s="3" t="s">
        <v>85</v>
      </c>
      <c r="CA47" s="3" t="s">
        <v>136</v>
      </c>
      <c r="CC47" s="3" t="s">
        <v>80</v>
      </c>
      <c r="CD47" s="3">
        <v>2146</v>
      </c>
      <c r="CE47" s="3" t="s">
        <v>86</v>
      </c>
      <c r="CF47" s="4">
        <v>44576</v>
      </c>
      <c r="CI47" s="3">
        <v>2</v>
      </c>
      <c r="CJ47" s="3">
        <v>2</v>
      </c>
      <c r="CK47" s="3">
        <v>41</v>
      </c>
      <c r="CL47" s="3" t="s">
        <v>87</v>
      </c>
    </row>
    <row r="48" spans="1:90" x14ac:dyDescent="0.2">
      <c r="A48" s="3" t="s">
        <v>72</v>
      </c>
      <c r="B48" s="3" t="s">
        <v>73</v>
      </c>
      <c r="C48" s="3" t="s">
        <v>74</v>
      </c>
      <c r="E48" s="3" t="str">
        <f>"009941618969"</f>
        <v>009941618969</v>
      </c>
      <c r="F48" s="4">
        <v>44574</v>
      </c>
      <c r="G48" s="3">
        <v>202207</v>
      </c>
      <c r="H48" s="3" t="s">
        <v>79</v>
      </c>
      <c r="I48" s="3" t="s">
        <v>80</v>
      </c>
      <c r="J48" s="3" t="s">
        <v>77</v>
      </c>
      <c r="K48" s="3" t="s">
        <v>78</v>
      </c>
      <c r="L48" s="3" t="s">
        <v>157</v>
      </c>
      <c r="M48" s="3" t="s">
        <v>158</v>
      </c>
      <c r="N48" s="3" t="s">
        <v>77</v>
      </c>
      <c r="O48" s="3" t="s">
        <v>81</v>
      </c>
      <c r="P48" s="3" t="str">
        <f>"STORES                        "</f>
        <v xml:space="preserve">STORES      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29.89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2.2000000000000002</v>
      </c>
      <c r="BJ48" s="3">
        <v>7.7</v>
      </c>
      <c r="BK48" s="3">
        <v>8</v>
      </c>
      <c r="BL48" s="3">
        <v>119.34</v>
      </c>
      <c r="BM48" s="3">
        <v>17.899999999999999</v>
      </c>
      <c r="BN48" s="3">
        <v>137.24</v>
      </c>
      <c r="BO48" s="3">
        <v>137.24</v>
      </c>
      <c r="BQ48" s="3" t="s">
        <v>118</v>
      </c>
      <c r="BR48" s="3" t="s">
        <v>118</v>
      </c>
      <c r="BS48" s="4">
        <v>44575</v>
      </c>
      <c r="BT48" s="5">
        <v>0.5708333333333333</v>
      </c>
      <c r="BU48" s="3" t="s">
        <v>239</v>
      </c>
      <c r="BV48" s="3" t="s">
        <v>95</v>
      </c>
      <c r="BY48" s="3">
        <v>38403.019999999997</v>
      </c>
      <c r="BZ48" s="3" t="s">
        <v>85</v>
      </c>
      <c r="CA48" s="3" t="s">
        <v>240</v>
      </c>
      <c r="CC48" s="3" t="s">
        <v>158</v>
      </c>
      <c r="CD48" s="3">
        <v>4091</v>
      </c>
      <c r="CE48" s="3" t="s">
        <v>86</v>
      </c>
      <c r="CF48" s="4">
        <v>44578</v>
      </c>
      <c r="CI48" s="3">
        <v>1</v>
      </c>
      <c r="CJ48" s="3">
        <v>1</v>
      </c>
      <c r="CK48" s="3">
        <v>41</v>
      </c>
      <c r="CL48" s="3" t="s">
        <v>87</v>
      </c>
    </row>
    <row r="49" spans="1:90" x14ac:dyDescent="0.2">
      <c r="A49" s="3" t="s">
        <v>72</v>
      </c>
      <c r="B49" s="3" t="s">
        <v>73</v>
      </c>
      <c r="C49" s="3" t="s">
        <v>74</v>
      </c>
      <c r="E49" s="3" t="str">
        <f>"009941567734"</f>
        <v>009941567734</v>
      </c>
      <c r="F49" s="4">
        <v>44574</v>
      </c>
      <c r="G49" s="3">
        <v>202207</v>
      </c>
      <c r="H49" s="3" t="s">
        <v>79</v>
      </c>
      <c r="I49" s="3" t="s">
        <v>80</v>
      </c>
      <c r="J49" s="3" t="s">
        <v>77</v>
      </c>
      <c r="K49" s="3" t="s">
        <v>78</v>
      </c>
      <c r="L49" s="3" t="s">
        <v>120</v>
      </c>
      <c r="M49" s="3" t="s">
        <v>121</v>
      </c>
      <c r="N49" s="3" t="s">
        <v>77</v>
      </c>
      <c r="O49" s="3" t="s">
        <v>81</v>
      </c>
      <c r="P49" s="3" t="str">
        <f>"STORES                        "</f>
        <v xml:space="preserve">STORES      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42.16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15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1.1000000000000001</v>
      </c>
      <c r="BJ49" s="3">
        <v>10.5</v>
      </c>
      <c r="BK49" s="3">
        <v>11</v>
      </c>
      <c r="BL49" s="3">
        <v>181.16</v>
      </c>
      <c r="BM49" s="3">
        <v>27.17</v>
      </c>
      <c r="BN49" s="3">
        <v>208.33</v>
      </c>
      <c r="BO49" s="3">
        <v>208.33</v>
      </c>
      <c r="BQ49" s="3" t="s">
        <v>241</v>
      </c>
      <c r="BR49" s="3" t="s">
        <v>164</v>
      </c>
      <c r="BS49" s="4">
        <v>44581</v>
      </c>
      <c r="BT49" s="5">
        <v>0.6430555555555556</v>
      </c>
      <c r="BU49" s="3" t="s">
        <v>241</v>
      </c>
      <c r="BV49" s="3" t="s">
        <v>87</v>
      </c>
      <c r="BW49" s="3" t="s">
        <v>242</v>
      </c>
      <c r="BX49" s="3" t="s">
        <v>215</v>
      </c>
      <c r="BY49" s="3">
        <v>52737.55</v>
      </c>
      <c r="BZ49" s="3" t="s">
        <v>230</v>
      </c>
      <c r="CC49" s="3" t="s">
        <v>121</v>
      </c>
      <c r="CD49" s="3">
        <v>8460</v>
      </c>
      <c r="CE49" s="3" t="s">
        <v>86</v>
      </c>
      <c r="CF49" s="4">
        <v>44586</v>
      </c>
      <c r="CI49" s="3">
        <v>1</v>
      </c>
      <c r="CJ49" s="3">
        <v>5</v>
      </c>
      <c r="CK49" s="3">
        <v>43</v>
      </c>
      <c r="CL49" s="3" t="s">
        <v>87</v>
      </c>
    </row>
    <row r="50" spans="1:90" x14ac:dyDescent="0.2">
      <c r="A50" s="3" t="s">
        <v>72</v>
      </c>
      <c r="B50" s="3" t="s">
        <v>73</v>
      </c>
      <c r="C50" s="3" t="s">
        <v>74</v>
      </c>
      <c r="E50" s="3" t="str">
        <f>"009941618588"</f>
        <v>009941618588</v>
      </c>
      <c r="F50" s="4">
        <v>44574</v>
      </c>
      <c r="G50" s="3">
        <v>202207</v>
      </c>
      <c r="H50" s="3" t="s">
        <v>79</v>
      </c>
      <c r="I50" s="3" t="s">
        <v>80</v>
      </c>
      <c r="J50" s="3" t="s">
        <v>77</v>
      </c>
      <c r="K50" s="3" t="s">
        <v>78</v>
      </c>
      <c r="L50" s="3" t="s">
        <v>112</v>
      </c>
      <c r="M50" s="3" t="s">
        <v>113</v>
      </c>
      <c r="N50" s="3" t="s">
        <v>77</v>
      </c>
      <c r="O50" s="3" t="s">
        <v>81</v>
      </c>
      <c r="P50" s="3" t="str">
        <f>"STORES                        "</f>
        <v xml:space="preserve">STORES      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76.63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12.1</v>
      </c>
      <c r="BJ50" s="3">
        <v>30.9</v>
      </c>
      <c r="BK50" s="3">
        <v>31</v>
      </c>
      <c r="BL50" s="3">
        <v>297.75</v>
      </c>
      <c r="BM50" s="3">
        <v>44.66</v>
      </c>
      <c r="BN50" s="3">
        <v>342.41</v>
      </c>
      <c r="BO50" s="3">
        <v>342.41</v>
      </c>
      <c r="BQ50" s="3" t="s">
        <v>118</v>
      </c>
      <c r="BR50" s="3" t="s">
        <v>118</v>
      </c>
      <c r="BS50" s="4">
        <v>44575</v>
      </c>
      <c r="BT50" s="5">
        <v>0.35486111111111113</v>
      </c>
      <c r="BU50" s="3" t="s">
        <v>235</v>
      </c>
      <c r="BV50" s="3" t="s">
        <v>95</v>
      </c>
      <c r="BY50" s="3">
        <v>154647.84</v>
      </c>
      <c r="BZ50" s="3" t="s">
        <v>85</v>
      </c>
      <c r="CA50" s="3" t="s">
        <v>236</v>
      </c>
      <c r="CC50" s="3" t="s">
        <v>113</v>
      </c>
      <c r="CD50" s="3">
        <v>300</v>
      </c>
      <c r="CE50" s="3" t="s">
        <v>86</v>
      </c>
      <c r="CF50" s="4">
        <v>44575</v>
      </c>
      <c r="CI50" s="3">
        <v>1</v>
      </c>
      <c r="CJ50" s="3">
        <v>1</v>
      </c>
      <c r="CK50" s="3">
        <v>43</v>
      </c>
      <c r="CL50" s="3" t="s">
        <v>87</v>
      </c>
    </row>
    <row r="51" spans="1:90" x14ac:dyDescent="0.2">
      <c r="A51" s="3" t="s">
        <v>72</v>
      </c>
      <c r="B51" s="3" t="s">
        <v>73</v>
      </c>
      <c r="C51" s="3" t="s">
        <v>74</v>
      </c>
      <c r="E51" s="3" t="str">
        <f>"009941171606"</f>
        <v>009941171606</v>
      </c>
      <c r="F51" s="4">
        <v>44574</v>
      </c>
      <c r="G51" s="3">
        <v>202207</v>
      </c>
      <c r="H51" s="3" t="s">
        <v>79</v>
      </c>
      <c r="I51" s="3" t="s">
        <v>80</v>
      </c>
      <c r="J51" s="3" t="s">
        <v>77</v>
      </c>
      <c r="K51" s="3" t="s">
        <v>78</v>
      </c>
      <c r="L51" s="3" t="s">
        <v>101</v>
      </c>
      <c r="M51" s="3" t="s">
        <v>102</v>
      </c>
      <c r="N51" s="3" t="s">
        <v>77</v>
      </c>
      <c r="O51" s="3" t="s">
        <v>115</v>
      </c>
      <c r="P51" s="3" t="str">
        <f>"LOCKS                         "</f>
        <v xml:space="preserve">LOCKS       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131.38999999999999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0.6</v>
      </c>
      <c r="BJ51" s="3">
        <v>9.1</v>
      </c>
      <c r="BK51" s="3">
        <v>9.5</v>
      </c>
      <c r="BL51" s="3">
        <v>501.5</v>
      </c>
      <c r="BM51" s="3">
        <v>75.23</v>
      </c>
      <c r="BN51" s="3">
        <v>576.73</v>
      </c>
      <c r="BO51" s="3">
        <v>576.73</v>
      </c>
      <c r="BQ51" s="3" t="s">
        <v>106</v>
      </c>
      <c r="BR51" s="3" t="s">
        <v>118</v>
      </c>
      <c r="BS51" s="4">
        <v>44581</v>
      </c>
      <c r="BT51" s="5">
        <v>0.54166666666666663</v>
      </c>
      <c r="BU51" s="3" t="s">
        <v>243</v>
      </c>
      <c r="BV51" s="3" t="s">
        <v>87</v>
      </c>
      <c r="BW51" s="3" t="s">
        <v>200</v>
      </c>
      <c r="BX51" s="3" t="s">
        <v>244</v>
      </c>
      <c r="BY51" s="3">
        <v>45642.96</v>
      </c>
      <c r="BZ51" s="3" t="s">
        <v>117</v>
      </c>
      <c r="CC51" s="3" t="s">
        <v>102</v>
      </c>
      <c r="CD51" s="3">
        <v>5099</v>
      </c>
      <c r="CE51" s="3" t="s">
        <v>86</v>
      </c>
      <c r="CF51" s="4">
        <v>44581</v>
      </c>
      <c r="CI51" s="3">
        <v>3</v>
      </c>
      <c r="CJ51" s="3">
        <v>5</v>
      </c>
      <c r="CK51" s="3">
        <v>23</v>
      </c>
      <c r="CL51" s="3" t="s">
        <v>87</v>
      </c>
    </row>
    <row r="52" spans="1:90" x14ac:dyDescent="0.2">
      <c r="A52" s="3" t="s">
        <v>72</v>
      </c>
      <c r="B52" s="3" t="s">
        <v>73</v>
      </c>
      <c r="C52" s="3" t="s">
        <v>74</v>
      </c>
      <c r="E52" s="3" t="str">
        <f>"009939616646"</f>
        <v>009939616646</v>
      </c>
      <c r="F52" s="4">
        <v>44574</v>
      </c>
      <c r="G52" s="3">
        <v>202207</v>
      </c>
      <c r="H52" s="3" t="s">
        <v>79</v>
      </c>
      <c r="I52" s="3" t="s">
        <v>80</v>
      </c>
      <c r="J52" s="3" t="s">
        <v>77</v>
      </c>
      <c r="K52" s="3" t="s">
        <v>78</v>
      </c>
      <c r="L52" s="3" t="s">
        <v>153</v>
      </c>
      <c r="M52" s="3" t="s">
        <v>154</v>
      </c>
      <c r="N52" s="3" t="s">
        <v>77</v>
      </c>
      <c r="O52" s="3" t="s">
        <v>115</v>
      </c>
      <c r="P52" s="3" t="str">
        <f>"LOCKS                         "</f>
        <v xml:space="preserve">LOCKS       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178.73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15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0.2</v>
      </c>
      <c r="BJ52" s="3">
        <v>12.7</v>
      </c>
      <c r="BK52" s="3">
        <v>13</v>
      </c>
      <c r="BL52" s="3">
        <v>697.19</v>
      </c>
      <c r="BM52" s="3">
        <v>104.58</v>
      </c>
      <c r="BN52" s="3">
        <v>801.77</v>
      </c>
      <c r="BO52" s="3">
        <v>801.77</v>
      </c>
      <c r="BQ52" s="3" t="s">
        <v>245</v>
      </c>
      <c r="BR52" s="3" t="s">
        <v>118</v>
      </c>
      <c r="BS52" s="4">
        <v>44575</v>
      </c>
      <c r="BT52" s="5">
        <v>0.70624999999999993</v>
      </c>
      <c r="BU52" s="3" t="s">
        <v>246</v>
      </c>
      <c r="BV52" s="3" t="s">
        <v>87</v>
      </c>
      <c r="BY52" s="3">
        <v>63736.2</v>
      </c>
      <c r="BZ52" s="3" t="s">
        <v>122</v>
      </c>
      <c r="CA52" s="3" t="s">
        <v>247</v>
      </c>
      <c r="CC52" s="3" t="s">
        <v>154</v>
      </c>
      <c r="CD52" s="3">
        <v>922</v>
      </c>
      <c r="CE52" s="3" t="s">
        <v>86</v>
      </c>
      <c r="CF52" s="4">
        <v>44575</v>
      </c>
      <c r="CI52" s="3">
        <v>1</v>
      </c>
      <c r="CJ52" s="3">
        <v>1</v>
      </c>
      <c r="CK52" s="3">
        <v>23</v>
      </c>
      <c r="CL52" s="3" t="s">
        <v>87</v>
      </c>
    </row>
    <row r="53" spans="1:90" x14ac:dyDescent="0.2">
      <c r="A53" s="3" t="s">
        <v>72</v>
      </c>
      <c r="B53" s="3" t="s">
        <v>73</v>
      </c>
      <c r="C53" s="3" t="s">
        <v>74</v>
      </c>
      <c r="E53" s="3" t="str">
        <f>"009940900594"</f>
        <v>009940900594</v>
      </c>
      <c r="F53" s="4">
        <v>44574</v>
      </c>
      <c r="G53" s="3">
        <v>202207</v>
      </c>
      <c r="H53" s="3" t="s">
        <v>90</v>
      </c>
      <c r="I53" s="3" t="s">
        <v>91</v>
      </c>
      <c r="J53" s="3" t="s">
        <v>77</v>
      </c>
      <c r="K53" s="3" t="s">
        <v>78</v>
      </c>
      <c r="L53" s="3" t="s">
        <v>144</v>
      </c>
      <c r="M53" s="3" t="s">
        <v>145</v>
      </c>
      <c r="N53" s="3" t="s">
        <v>248</v>
      </c>
      <c r="O53" s="3" t="s">
        <v>81</v>
      </c>
      <c r="P53" s="3" t="str">
        <f>"                              "</f>
        <v xml:space="preserve">            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118.92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4</v>
      </c>
      <c r="BI53" s="3">
        <v>40</v>
      </c>
      <c r="BJ53" s="3">
        <v>115</v>
      </c>
      <c r="BK53" s="3">
        <v>115</v>
      </c>
      <c r="BL53" s="3">
        <v>459.16</v>
      </c>
      <c r="BM53" s="3">
        <v>68.87</v>
      </c>
      <c r="BN53" s="3">
        <v>528.03</v>
      </c>
      <c r="BO53" s="3">
        <v>528.03</v>
      </c>
      <c r="BS53" s="4">
        <v>44575</v>
      </c>
      <c r="BT53" s="5">
        <v>0.59097222222222223</v>
      </c>
      <c r="BU53" s="3" t="s">
        <v>249</v>
      </c>
      <c r="BV53" s="3" t="s">
        <v>95</v>
      </c>
      <c r="BY53" s="3">
        <v>459500</v>
      </c>
      <c r="BZ53" s="3" t="s">
        <v>85</v>
      </c>
      <c r="CA53" s="3" t="s">
        <v>250</v>
      </c>
      <c r="CC53" s="3" t="s">
        <v>145</v>
      </c>
      <c r="CD53" s="3">
        <v>850</v>
      </c>
      <c r="CE53" s="3" t="s">
        <v>86</v>
      </c>
      <c r="CF53" s="4">
        <v>44575</v>
      </c>
      <c r="CI53" s="3">
        <v>1</v>
      </c>
      <c r="CJ53" s="3">
        <v>1</v>
      </c>
      <c r="CK53" s="3">
        <v>44</v>
      </c>
      <c r="CL53" s="3" t="s">
        <v>87</v>
      </c>
    </row>
    <row r="54" spans="1:90" x14ac:dyDescent="0.2">
      <c r="A54" s="3" t="s">
        <v>72</v>
      </c>
      <c r="B54" s="3" t="s">
        <v>73</v>
      </c>
      <c r="C54" s="3" t="s">
        <v>74</v>
      </c>
      <c r="E54" s="3" t="str">
        <f>"009941567735"</f>
        <v>009941567735</v>
      </c>
      <c r="F54" s="4">
        <v>44574</v>
      </c>
      <c r="G54" s="3">
        <v>202207</v>
      </c>
      <c r="H54" s="3" t="s">
        <v>79</v>
      </c>
      <c r="I54" s="3" t="s">
        <v>80</v>
      </c>
      <c r="J54" s="3" t="s">
        <v>77</v>
      </c>
      <c r="K54" s="3" t="s">
        <v>78</v>
      </c>
      <c r="L54" s="3" t="s">
        <v>251</v>
      </c>
      <c r="M54" s="3" t="s">
        <v>252</v>
      </c>
      <c r="N54" s="3" t="s">
        <v>253</v>
      </c>
      <c r="O54" s="3" t="s">
        <v>81</v>
      </c>
      <c r="P54" s="3" t="str">
        <f>"STORES                        "</f>
        <v xml:space="preserve">STORES           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76.63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23.1</v>
      </c>
      <c r="BJ54" s="3">
        <v>30.5</v>
      </c>
      <c r="BK54" s="3">
        <v>31</v>
      </c>
      <c r="BL54" s="3">
        <v>297.75</v>
      </c>
      <c r="BM54" s="3">
        <v>44.66</v>
      </c>
      <c r="BN54" s="3">
        <v>342.41</v>
      </c>
      <c r="BO54" s="3">
        <v>342.41</v>
      </c>
      <c r="BQ54" s="3" t="s">
        <v>254</v>
      </c>
      <c r="BR54" s="3" t="s">
        <v>118</v>
      </c>
      <c r="BS54" s="4">
        <v>44582</v>
      </c>
      <c r="BT54" s="5">
        <v>0.375</v>
      </c>
      <c r="BU54" s="3" t="s">
        <v>255</v>
      </c>
      <c r="BV54" s="3" t="s">
        <v>87</v>
      </c>
      <c r="BW54" s="3" t="s">
        <v>183</v>
      </c>
      <c r="BX54" s="3" t="s">
        <v>256</v>
      </c>
      <c r="BY54" s="3">
        <v>152279.78</v>
      </c>
      <c r="BZ54" s="3" t="s">
        <v>85</v>
      </c>
      <c r="CC54" s="3" t="s">
        <v>252</v>
      </c>
      <c r="CD54" s="3">
        <v>9459</v>
      </c>
      <c r="CE54" s="3" t="s">
        <v>86</v>
      </c>
      <c r="CF54" s="4">
        <v>44582</v>
      </c>
      <c r="CI54" s="3">
        <v>1</v>
      </c>
      <c r="CJ54" s="3">
        <v>6</v>
      </c>
      <c r="CK54" s="3">
        <v>43</v>
      </c>
      <c r="CL54" s="3" t="s">
        <v>87</v>
      </c>
    </row>
    <row r="55" spans="1:90" x14ac:dyDescent="0.2">
      <c r="A55" s="3" t="s">
        <v>72</v>
      </c>
      <c r="B55" s="3" t="s">
        <v>73</v>
      </c>
      <c r="C55" s="3" t="s">
        <v>74</v>
      </c>
      <c r="E55" s="3" t="str">
        <f>"009941635506"</f>
        <v>009941635506</v>
      </c>
      <c r="F55" s="4">
        <v>44574</v>
      </c>
      <c r="G55" s="3">
        <v>202207</v>
      </c>
      <c r="H55" s="3" t="s">
        <v>79</v>
      </c>
      <c r="I55" s="3" t="s">
        <v>80</v>
      </c>
      <c r="J55" s="3" t="s">
        <v>77</v>
      </c>
      <c r="K55" s="3" t="s">
        <v>78</v>
      </c>
      <c r="L55" s="3" t="s">
        <v>157</v>
      </c>
      <c r="M55" s="3" t="s">
        <v>158</v>
      </c>
      <c r="N55" s="3" t="s">
        <v>77</v>
      </c>
      <c r="O55" s="3" t="s">
        <v>115</v>
      </c>
      <c r="P55" s="3" t="str">
        <f>"LOCKS                         "</f>
        <v xml:space="preserve">LOCKS       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88.84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0.9</v>
      </c>
      <c r="BJ55" s="3">
        <v>11.3</v>
      </c>
      <c r="BK55" s="3">
        <v>11.5</v>
      </c>
      <c r="BL55" s="3">
        <v>339.1</v>
      </c>
      <c r="BM55" s="3">
        <v>50.87</v>
      </c>
      <c r="BN55" s="3">
        <v>389.97</v>
      </c>
      <c r="BO55" s="3">
        <v>389.97</v>
      </c>
      <c r="BQ55" s="3" t="s">
        <v>118</v>
      </c>
      <c r="BR55" s="3" t="s">
        <v>118</v>
      </c>
      <c r="BS55" s="4">
        <v>44575</v>
      </c>
      <c r="BT55" s="5">
        <v>0.37708333333333338</v>
      </c>
      <c r="BU55" s="3" t="s">
        <v>159</v>
      </c>
      <c r="BV55" s="3" t="s">
        <v>95</v>
      </c>
      <c r="BY55" s="3">
        <v>56476.22</v>
      </c>
      <c r="BZ55" s="3" t="s">
        <v>117</v>
      </c>
      <c r="CA55" s="3" t="s">
        <v>161</v>
      </c>
      <c r="CC55" s="3" t="s">
        <v>158</v>
      </c>
      <c r="CD55" s="3">
        <v>4091</v>
      </c>
      <c r="CE55" s="3" t="s">
        <v>86</v>
      </c>
      <c r="CF55" s="4">
        <v>44578</v>
      </c>
      <c r="CI55" s="3">
        <v>1</v>
      </c>
      <c r="CJ55" s="3">
        <v>1</v>
      </c>
      <c r="CK55" s="3">
        <v>21</v>
      </c>
      <c r="CL55" s="3" t="s">
        <v>87</v>
      </c>
    </row>
    <row r="56" spans="1:90" x14ac:dyDescent="0.2">
      <c r="A56" s="3" t="s">
        <v>72</v>
      </c>
      <c r="B56" s="3" t="s">
        <v>73</v>
      </c>
      <c r="C56" s="3" t="s">
        <v>74</v>
      </c>
      <c r="E56" s="3" t="str">
        <f>"009940237760"</f>
        <v>009940237760</v>
      </c>
      <c r="F56" s="4">
        <v>44574</v>
      </c>
      <c r="G56" s="3">
        <v>202207</v>
      </c>
      <c r="H56" s="3" t="s">
        <v>79</v>
      </c>
      <c r="I56" s="3" t="s">
        <v>80</v>
      </c>
      <c r="J56" s="3" t="s">
        <v>77</v>
      </c>
      <c r="K56" s="3" t="s">
        <v>78</v>
      </c>
      <c r="L56" s="3" t="s">
        <v>90</v>
      </c>
      <c r="M56" s="3" t="s">
        <v>91</v>
      </c>
      <c r="N56" s="3" t="s">
        <v>77</v>
      </c>
      <c r="O56" s="3" t="s">
        <v>115</v>
      </c>
      <c r="P56" s="3" t="str">
        <f>"STORES                        "</f>
        <v xml:space="preserve">STORES  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108.15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0.8</v>
      </c>
      <c r="BJ56" s="3">
        <v>13.9</v>
      </c>
      <c r="BK56" s="3">
        <v>14</v>
      </c>
      <c r="BL56" s="3">
        <v>412.81</v>
      </c>
      <c r="BM56" s="3">
        <v>61.92</v>
      </c>
      <c r="BN56" s="3">
        <v>474.73</v>
      </c>
      <c r="BO56" s="3">
        <v>474.73</v>
      </c>
      <c r="BQ56" s="3" t="s">
        <v>118</v>
      </c>
      <c r="BR56" s="3" t="s">
        <v>111</v>
      </c>
      <c r="BS56" s="4">
        <v>44575</v>
      </c>
      <c r="BT56" s="5">
        <v>0.40625</v>
      </c>
      <c r="BU56" s="3" t="s">
        <v>257</v>
      </c>
      <c r="BV56" s="3" t="s">
        <v>95</v>
      </c>
      <c r="BY56" s="3">
        <v>69258.41</v>
      </c>
      <c r="BZ56" s="3" t="s">
        <v>117</v>
      </c>
      <c r="CA56" s="3" t="s">
        <v>96</v>
      </c>
      <c r="CC56" s="3" t="s">
        <v>91</v>
      </c>
      <c r="CD56" s="3">
        <v>699</v>
      </c>
      <c r="CE56" s="3" t="s">
        <v>86</v>
      </c>
      <c r="CF56" s="4">
        <v>44575</v>
      </c>
      <c r="CI56" s="3">
        <v>1</v>
      </c>
      <c r="CJ56" s="3">
        <v>1</v>
      </c>
      <c r="CK56" s="3">
        <v>21</v>
      </c>
      <c r="CL56" s="3" t="s">
        <v>87</v>
      </c>
    </row>
    <row r="57" spans="1:90" x14ac:dyDescent="0.2">
      <c r="A57" s="3" t="s">
        <v>72</v>
      </c>
      <c r="B57" s="3" t="s">
        <v>73</v>
      </c>
      <c r="C57" s="3" t="s">
        <v>74</v>
      </c>
      <c r="E57" s="3" t="str">
        <f>"009942537444"</f>
        <v>009942537444</v>
      </c>
      <c r="F57" s="4">
        <v>44574</v>
      </c>
      <c r="G57" s="3">
        <v>202207</v>
      </c>
      <c r="H57" s="3" t="s">
        <v>123</v>
      </c>
      <c r="I57" s="3" t="s">
        <v>124</v>
      </c>
      <c r="J57" s="3" t="s">
        <v>162</v>
      </c>
      <c r="K57" s="3" t="s">
        <v>78</v>
      </c>
      <c r="L57" s="3" t="s">
        <v>79</v>
      </c>
      <c r="M57" s="3" t="s">
        <v>80</v>
      </c>
      <c r="N57" s="3" t="s">
        <v>77</v>
      </c>
      <c r="O57" s="3" t="s">
        <v>81</v>
      </c>
      <c r="P57" s="3" t="str">
        <f>"083 601 5869                  "</f>
        <v xml:space="preserve">083 601 5869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42.16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1</v>
      </c>
      <c r="BI57" s="3">
        <v>1</v>
      </c>
      <c r="BJ57" s="3">
        <v>0.2</v>
      </c>
      <c r="BK57" s="3">
        <v>1</v>
      </c>
      <c r="BL57" s="3">
        <v>166.16</v>
      </c>
      <c r="BM57" s="3">
        <v>24.92</v>
      </c>
      <c r="BN57" s="3">
        <v>191.08</v>
      </c>
      <c r="BO57" s="3">
        <v>191.08</v>
      </c>
      <c r="BQ57" s="3" t="s">
        <v>258</v>
      </c>
      <c r="BR57" s="3" t="s">
        <v>259</v>
      </c>
      <c r="BS57" s="4">
        <v>44575</v>
      </c>
      <c r="BT57" s="5">
        <v>0.4458333333333333</v>
      </c>
      <c r="BU57" s="3" t="s">
        <v>135</v>
      </c>
      <c r="BV57" s="3" t="s">
        <v>95</v>
      </c>
      <c r="BY57" s="3">
        <v>1200</v>
      </c>
      <c r="BZ57" s="3" t="s">
        <v>85</v>
      </c>
      <c r="CA57" s="3" t="s">
        <v>210</v>
      </c>
      <c r="CC57" s="3" t="s">
        <v>80</v>
      </c>
      <c r="CD57" s="3">
        <v>2146</v>
      </c>
      <c r="CE57" s="3" t="s">
        <v>86</v>
      </c>
      <c r="CF57" s="4">
        <v>44576</v>
      </c>
      <c r="CI57" s="3">
        <v>1</v>
      </c>
      <c r="CJ57" s="3">
        <v>1</v>
      </c>
      <c r="CK57" s="3">
        <v>43</v>
      </c>
      <c r="CL57" s="3" t="s">
        <v>87</v>
      </c>
    </row>
    <row r="58" spans="1:90" x14ac:dyDescent="0.2">
      <c r="A58" s="3" t="s">
        <v>72</v>
      </c>
      <c r="B58" s="3" t="s">
        <v>73</v>
      </c>
      <c r="C58" s="3" t="s">
        <v>74</v>
      </c>
      <c r="E58" s="3" t="str">
        <f>"009940900518"</f>
        <v>009940900518</v>
      </c>
      <c r="F58" s="4">
        <v>44574</v>
      </c>
      <c r="G58" s="3">
        <v>202207</v>
      </c>
      <c r="H58" s="3" t="s">
        <v>90</v>
      </c>
      <c r="I58" s="3" t="s">
        <v>91</v>
      </c>
      <c r="J58" s="3" t="s">
        <v>77</v>
      </c>
      <c r="K58" s="3" t="s">
        <v>78</v>
      </c>
      <c r="L58" s="3" t="s">
        <v>132</v>
      </c>
      <c r="M58" s="3" t="s">
        <v>133</v>
      </c>
      <c r="N58" s="3" t="s">
        <v>77</v>
      </c>
      <c r="O58" s="3" t="s">
        <v>81</v>
      </c>
      <c r="P58" s="3" t="str">
        <f>"                              "</f>
        <v xml:space="preserve">          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29.89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1</v>
      </c>
      <c r="BJ58" s="3">
        <v>0.2</v>
      </c>
      <c r="BK58" s="3">
        <v>1</v>
      </c>
      <c r="BL58" s="3">
        <v>119.34</v>
      </c>
      <c r="BM58" s="3">
        <v>17.899999999999999</v>
      </c>
      <c r="BN58" s="3">
        <v>137.24</v>
      </c>
      <c r="BO58" s="3">
        <v>137.24</v>
      </c>
      <c r="BQ58" s="3" t="s">
        <v>260</v>
      </c>
      <c r="BS58" s="4">
        <v>44575</v>
      </c>
      <c r="BT58" s="5">
        <v>0.4458333333333333</v>
      </c>
      <c r="BU58" s="3" t="s">
        <v>135</v>
      </c>
      <c r="BV58" s="3" t="s">
        <v>95</v>
      </c>
      <c r="BY58" s="3">
        <v>1200</v>
      </c>
      <c r="BZ58" s="3" t="s">
        <v>85</v>
      </c>
      <c r="CA58" s="3" t="s">
        <v>210</v>
      </c>
      <c r="CC58" s="3" t="s">
        <v>133</v>
      </c>
      <c r="CD58" s="3">
        <v>2196</v>
      </c>
      <c r="CE58" s="3" t="s">
        <v>86</v>
      </c>
      <c r="CF58" s="4">
        <v>44576</v>
      </c>
      <c r="CI58" s="3">
        <v>1</v>
      </c>
      <c r="CJ58" s="3">
        <v>1</v>
      </c>
      <c r="CK58" s="3">
        <v>41</v>
      </c>
      <c r="CL58" s="3" t="s">
        <v>87</v>
      </c>
    </row>
    <row r="59" spans="1:90" x14ac:dyDescent="0.2">
      <c r="A59" s="3" t="s">
        <v>72</v>
      </c>
      <c r="B59" s="3" t="s">
        <v>73</v>
      </c>
      <c r="C59" s="3" t="s">
        <v>74</v>
      </c>
      <c r="E59" s="3" t="str">
        <f>"009941108082"</f>
        <v>009941108082</v>
      </c>
      <c r="F59" s="4">
        <v>44574</v>
      </c>
      <c r="G59" s="3">
        <v>202207</v>
      </c>
      <c r="H59" s="3" t="s">
        <v>112</v>
      </c>
      <c r="I59" s="3" t="s">
        <v>113</v>
      </c>
      <c r="J59" s="3" t="s">
        <v>77</v>
      </c>
      <c r="K59" s="3" t="s">
        <v>78</v>
      </c>
      <c r="L59" s="3" t="s">
        <v>261</v>
      </c>
      <c r="M59" s="3" t="s">
        <v>262</v>
      </c>
      <c r="N59" s="3" t="s">
        <v>263</v>
      </c>
      <c r="O59" s="3" t="s">
        <v>81</v>
      </c>
      <c r="P59" s="3" t="str">
        <f>"                              "</f>
        <v xml:space="preserve">         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42.16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1</v>
      </c>
      <c r="BI59" s="3">
        <v>3.1</v>
      </c>
      <c r="BJ59" s="3">
        <v>9.8000000000000007</v>
      </c>
      <c r="BK59" s="3">
        <v>10</v>
      </c>
      <c r="BL59" s="3">
        <v>166.16</v>
      </c>
      <c r="BM59" s="3">
        <v>24.92</v>
      </c>
      <c r="BN59" s="3">
        <v>191.08</v>
      </c>
      <c r="BO59" s="3">
        <v>191.08</v>
      </c>
      <c r="BQ59" s="3" t="s">
        <v>264</v>
      </c>
      <c r="BR59" s="3" t="s">
        <v>265</v>
      </c>
      <c r="BS59" s="4">
        <v>44578</v>
      </c>
      <c r="BT59" s="5">
        <v>0.68819444444444444</v>
      </c>
      <c r="BU59" s="3" t="s">
        <v>266</v>
      </c>
      <c r="BV59" s="3" t="s">
        <v>87</v>
      </c>
      <c r="BW59" s="3" t="s">
        <v>183</v>
      </c>
      <c r="BX59" s="3" t="s">
        <v>267</v>
      </c>
      <c r="BY59" s="3">
        <v>48944</v>
      </c>
      <c r="BZ59" s="3" t="s">
        <v>85</v>
      </c>
      <c r="CA59" s="3" t="s">
        <v>268</v>
      </c>
      <c r="CC59" s="3" t="s">
        <v>262</v>
      </c>
      <c r="CD59" s="3">
        <v>2570</v>
      </c>
      <c r="CE59" s="3" t="s">
        <v>86</v>
      </c>
      <c r="CF59" s="4">
        <v>44579</v>
      </c>
      <c r="CI59" s="3">
        <v>1</v>
      </c>
      <c r="CJ59" s="3">
        <v>2</v>
      </c>
      <c r="CK59" s="3">
        <v>43</v>
      </c>
      <c r="CL59" s="3" t="s">
        <v>87</v>
      </c>
    </row>
    <row r="60" spans="1:90" x14ac:dyDescent="0.2">
      <c r="A60" s="3" t="s">
        <v>72</v>
      </c>
      <c r="B60" s="3" t="s">
        <v>73</v>
      </c>
      <c r="C60" s="3" t="s">
        <v>74</v>
      </c>
      <c r="E60" s="3" t="str">
        <f>"009940237761"</f>
        <v>009940237761</v>
      </c>
      <c r="F60" s="4">
        <v>44573</v>
      </c>
      <c r="G60" s="3">
        <v>202207</v>
      </c>
      <c r="H60" s="3" t="s">
        <v>79</v>
      </c>
      <c r="I60" s="3" t="s">
        <v>80</v>
      </c>
      <c r="J60" s="3" t="s">
        <v>77</v>
      </c>
      <c r="K60" s="3" t="s">
        <v>78</v>
      </c>
      <c r="L60" s="3" t="s">
        <v>90</v>
      </c>
      <c r="M60" s="3" t="s">
        <v>91</v>
      </c>
      <c r="N60" s="3" t="s">
        <v>77</v>
      </c>
      <c r="O60" s="3" t="s">
        <v>81</v>
      </c>
      <c r="P60" s="3" t="str">
        <f>"STORES                        "</f>
        <v xml:space="preserve">STORES          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29.89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1</v>
      </c>
      <c r="BI60" s="3">
        <v>12.9</v>
      </c>
      <c r="BJ60" s="3">
        <v>8.9</v>
      </c>
      <c r="BK60" s="3">
        <v>13</v>
      </c>
      <c r="BL60" s="3">
        <v>119.34</v>
      </c>
      <c r="BM60" s="3">
        <v>17.899999999999999</v>
      </c>
      <c r="BN60" s="3">
        <v>137.24</v>
      </c>
      <c r="BO60" s="3">
        <v>137.24</v>
      </c>
      <c r="BQ60" s="3" t="s">
        <v>269</v>
      </c>
      <c r="BR60" s="3" t="s">
        <v>164</v>
      </c>
      <c r="BS60" s="4">
        <v>44574</v>
      </c>
      <c r="BT60" s="5">
        <v>0.43333333333333335</v>
      </c>
      <c r="BU60" s="3" t="s">
        <v>94</v>
      </c>
      <c r="BV60" s="3" t="s">
        <v>95</v>
      </c>
      <c r="BY60" s="3">
        <v>44499.94</v>
      </c>
      <c r="BZ60" s="3" t="s">
        <v>85</v>
      </c>
      <c r="CA60" s="3" t="s">
        <v>96</v>
      </c>
      <c r="CC60" s="3" t="s">
        <v>91</v>
      </c>
      <c r="CD60" s="3">
        <v>699</v>
      </c>
      <c r="CE60" s="3" t="s">
        <v>86</v>
      </c>
      <c r="CF60" s="4">
        <v>44574</v>
      </c>
      <c r="CI60" s="3">
        <v>1</v>
      </c>
      <c r="CJ60" s="3">
        <v>1</v>
      </c>
      <c r="CK60" s="3">
        <v>41</v>
      </c>
      <c r="CL60" s="3" t="s">
        <v>87</v>
      </c>
    </row>
    <row r="61" spans="1:90" x14ac:dyDescent="0.2">
      <c r="A61" s="3" t="s">
        <v>72</v>
      </c>
      <c r="B61" s="3" t="s">
        <v>73</v>
      </c>
      <c r="C61" s="3" t="s">
        <v>74</v>
      </c>
      <c r="E61" s="3" t="str">
        <f>"009941291361"</f>
        <v>009941291361</v>
      </c>
      <c r="F61" s="4">
        <v>44573</v>
      </c>
      <c r="G61" s="3">
        <v>202207</v>
      </c>
      <c r="H61" s="3" t="s">
        <v>79</v>
      </c>
      <c r="I61" s="3" t="s">
        <v>80</v>
      </c>
      <c r="J61" s="3" t="s">
        <v>77</v>
      </c>
      <c r="K61" s="3" t="s">
        <v>78</v>
      </c>
      <c r="L61" s="3" t="s">
        <v>108</v>
      </c>
      <c r="M61" s="3" t="s">
        <v>109</v>
      </c>
      <c r="N61" s="3" t="s">
        <v>270</v>
      </c>
      <c r="O61" s="3" t="s">
        <v>81</v>
      </c>
      <c r="P61" s="3" t="str">
        <f>"STORES                        "</f>
        <v xml:space="preserve">STORES       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70.540000000000006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2</v>
      </c>
      <c r="BI61" s="3">
        <v>21</v>
      </c>
      <c r="BJ61" s="3">
        <v>47.8</v>
      </c>
      <c r="BK61" s="3">
        <v>48</v>
      </c>
      <c r="BL61" s="3">
        <v>274.5</v>
      </c>
      <c r="BM61" s="3">
        <v>41.18</v>
      </c>
      <c r="BN61" s="3">
        <v>315.68</v>
      </c>
      <c r="BO61" s="3">
        <v>315.68</v>
      </c>
      <c r="BQ61" s="3" t="s">
        <v>271</v>
      </c>
      <c r="BS61" s="4">
        <v>44574</v>
      </c>
      <c r="BT61" s="5">
        <v>0.49305555555555558</v>
      </c>
      <c r="BU61" s="3" t="s">
        <v>272</v>
      </c>
      <c r="BV61" s="3" t="s">
        <v>95</v>
      </c>
      <c r="BY61" s="3">
        <v>238800</v>
      </c>
      <c r="BZ61" s="3" t="s">
        <v>85</v>
      </c>
      <c r="CA61" s="3" t="s">
        <v>206</v>
      </c>
      <c r="CC61" s="3" t="s">
        <v>109</v>
      </c>
      <c r="CD61" s="3">
        <v>9301</v>
      </c>
      <c r="CE61" s="3" t="s">
        <v>86</v>
      </c>
      <c r="CF61" s="4">
        <v>44575</v>
      </c>
      <c r="CI61" s="3">
        <v>1</v>
      </c>
      <c r="CJ61" s="3">
        <v>1</v>
      </c>
      <c r="CK61" s="3">
        <v>41</v>
      </c>
      <c r="CL61" s="3" t="s">
        <v>87</v>
      </c>
    </row>
    <row r="62" spans="1:90" x14ac:dyDescent="0.2">
      <c r="A62" s="3" t="s">
        <v>72</v>
      </c>
      <c r="B62" s="3" t="s">
        <v>73</v>
      </c>
      <c r="C62" s="3" t="s">
        <v>74</v>
      </c>
      <c r="E62" s="3" t="str">
        <f>"080010365900"</f>
        <v>080010365900</v>
      </c>
      <c r="F62" s="4">
        <v>44575</v>
      </c>
      <c r="G62" s="3">
        <v>202207</v>
      </c>
      <c r="H62" s="3" t="s">
        <v>132</v>
      </c>
      <c r="I62" s="3" t="s">
        <v>133</v>
      </c>
      <c r="J62" s="3" t="s">
        <v>273</v>
      </c>
      <c r="K62" s="3" t="s">
        <v>78</v>
      </c>
      <c r="L62" s="3" t="s">
        <v>274</v>
      </c>
      <c r="M62" s="3" t="s">
        <v>275</v>
      </c>
      <c r="N62" s="3" t="s">
        <v>276</v>
      </c>
      <c r="O62" s="3" t="s">
        <v>277</v>
      </c>
      <c r="P62" s="3" t="str">
        <f>"Locks                         "</f>
        <v xml:space="preserve">Locks       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13.43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4.7</v>
      </c>
      <c r="BJ62" s="3">
        <v>8.1999999999999993</v>
      </c>
      <c r="BK62" s="3">
        <v>9</v>
      </c>
      <c r="BL62" s="3">
        <v>51.27</v>
      </c>
      <c r="BM62" s="3">
        <v>7.69</v>
      </c>
      <c r="BN62" s="3">
        <v>58.96</v>
      </c>
      <c r="BO62" s="3">
        <v>58.96</v>
      </c>
      <c r="BP62" s="3" t="s">
        <v>84</v>
      </c>
      <c r="BQ62" s="3" t="s">
        <v>278</v>
      </c>
      <c r="BR62" s="3" t="s">
        <v>279</v>
      </c>
      <c r="BS62" s="4">
        <v>44578</v>
      </c>
      <c r="BT62" s="5">
        <v>0.52361111111111114</v>
      </c>
      <c r="BU62" s="3" t="s">
        <v>280</v>
      </c>
      <c r="BV62" s="3" t="s">
        <v>95</v>
      </c>
      <c r="BY62" s="3">
        <v>41080.19</v>
      </c>
      <c r="BZ62" s="3" t="s">
        <v>85</v>
      </c>
      <c r="CA62" s="3" t="s">
        <v>281</v>
      </c>
      <c r="CC62" s="3" t="s">
        <v>275</v>
      </c>
      <c r="CD62" s="3">
        <v>1684</v>
      </c>
      <c r="CE62" s="3" t="s">
        <v>282</v>
      </c>
      <c r="CF62" s="4">
        <v>44578</v>
      </c>
      <c r="CI62" s="3">
        <v>1</v>
      </c>
      <c r="CJ62" s="3">
        <v>1</v>
      </c>
      <c r="CK62" s="3">
        <v>32</v>
      </c>
      <c r="CL62" s="3" t="s">
        <v>87</v>
      </c>
    </row>
    <row r="63" spans="1:90" x14ac:dyDescent="0.2">
      <c r="A63" s="3" t="s">
        <v>72</v>
      </c>
      <c r="B63" s="3" t="s">
        <v>73</v>
      </c>
      <c r="C63" s="3" t="s">
        <v>74</v>
      </c>
      <c r="E63" s="3" t="str">
        <f>"009942537443"</f>
        <v>009942537443</v>
      </c>
      <c r="F63" s="4">
        <v>44575</v>
      </c>
      <c r="G63" s="3">
        <v>202207</v>
      </c>
      <c r="H63" s="3" t="s">
        <v>123</v>
      </c>
      <c r="I63" s="3" t="s">
        <v>124</v>
      </c>
      <c r="J63" s="3" t="s">
        <v>162</v>
      </c>
      <c r="K63" s="3" t="s">
        <v>78</v>
      </c>
      <c r="L63" s="3" t="s">
        <v>132</v>
      </c>
      <c r="M63" s="3" t="s">
        <v>133</v>
      </c>
      <c r="N63" s="3" t="s">
        <v>92</v>
      </c>
      <c r="O63" s="3" t="s">
        <v>81</v>
      </c>
      <c r="P63" s="3" t="str">
        <f>"083 601 5869                  "</f>
        <v xml:space="preserve">083 601 5869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277.02999999999997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15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4</v>
      </c>
      <c r="BI63" s="3">
        <v>124</v>
      </c>
      <c r="BJ63" s="3">
        <v>22.4</v>
      </c>
      <c r="BK63" s="3">
        <v>124</v>
      </c>
      <c r="BL63" s="3">
        <v>1077.6600000000001</v>
      </c>
      <c r="BM63" s="3">
        <v>161.65</v>
      </c>
      <c r="BN63" s="3">
        <v>1239.31</v>
      </c>
      <c r="BO63" s="3">
        <v>1239.31</v>
      </c>
      <c r="BQ63" s="3" t="s">
        <v>82</v>
      </c>
      <c r="BR63" s="3" t="s">
        <v>283</v>
      </c>
      <c r="BS63" s="4">
        <v>44578</v>
      </c>
      <c r="BT63" s="5">
        <v>0.49027777777777781</v>
      </c>
      <c r="BU63" s="3" t="s">
        <v>238</v>
      </c>
      <c r="BV63" s="3" t="s">
        <v>95</v>
      </c>
      <c r="BY63" s="3">
        <v>55888</v>
      </c>
      <c r="BZ63" s="3" t="s">
        <v>230</v>
      </c>
      <c r="CA63" s="3" t="s">
        <v>136</v>
      </c>
      <c r="CC63" s="3" t="s">
        <v>133</v>
      </c>
      <c r="CD63" s="3">
        <v>2000</v>
      </c>
      <c r="CE63" s="3" t="s">
        <v>86</v>
      </c>
      <c r="CF63" s="4">
        <v>44579</v>
      </c>
      <c r="CI63" s="3">
        <v>1</v>
      </c>
      <c r="CJ63" s="3">
        <v>1</v>
      </c>
      <c r="CK63" s="3">
        <v>43</v>
      </c>
      <c r="CL63" s="3" t="s">
        <v>87</v>
      </c>
    </row>
    <row r="64" spans="1:90" x14ac:dyDescent="0.2">
      <c r="A64" s="3" t="s">
        <v>72</v>
      </c>
      <c r="B64" s="3" t="s">
        <v>73</v>
      </c>
      <c r="C64" s="3" t="s">
        <v>74</v>
      </c>
      <c r="E64" s="3" t="str">
        <f>"009941621977"</f>
        <v>009941621977</v>
      </c>
      <c r="F64" s="4">
        <v>44575</v>
      </c>
      <c r="G64" s="3">
        <v>202207</v>
      </c>
      <c r="H64" s="3" t="s">
        <v>79</v>
      </c>
      <c r="I64" s="3" t="s">
        <v>80</v>
      </c>
      <c r="J64" s="3" t="s">
        <v>77</v>
      </c>
      <c r="K64" s="3" t="s">
        <v>78</v>
      </c>
      <c r="L64" s="3" t="s">
        <v>97</v>
      </c>
      <c r="M64" s="3" t="s">
        <v>98</v>
      </c>
      <c r="N64" s="3" t="s">
        <v>284</v>
      </c>
      <c r="O64" s="3" t="s">
        <v>81</v>
      </c>
      <c r="P64" s="3" t="str">
        <f>"STORES                        "</f>
        <v xml:space="preserve">STORES     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111.19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3</v>
      </c>
      <c r="BI64" s="3">
        <v>45.2</v>
      </c>
      <c r="BJ64" s="3">
        <v>80.5</v>
      </c>
      <c r="BK64" s="3">
        <v>81</v>
      </c>
      <c r="BL64" s="3">
        <v>429.66</v>
      </c>
      <c r="BM64" s="3">
        <v>64.45</v>
      </c>
      <c r="BN64" s="3">
        <v>494.11</v>
      </c>
      <c r="BO64" s="3">
        <v>494.11</v>
      </c>
      <c r="BQ64" s="3" t="s">
        <v>118</v>
      </c>
      <c r="BR64" s="3" t="s">
        <v>111</v>
      </c>
      <c r="BS64" s="4">
        <v>44578</v>
      </c>
      <c r="BT64" s="5">
        <v>0.38541666666666669</v>
      </c>
      <c r="BU64" s="3" t="s">
        <v>285</v>
      </c>
      <c r="BV64" s="3" t="s">
        <v>95</v>
      </c>
      <c r="BY64" s="3">
        <v>402745.59</v>
      </c>
      <c r="BZ64" s="3" t="s">
        <v>85</v>
      </c>
      <c r="CA64" s="3" t="s">
        <v>223</v>
      </c>
      <c r="CC64" s="3" t="s">
        <v>98</v>
      </c>
      <c r="CD64" s="3">
        <v>8000</v>
      </c>
      <c r="CE64" s="3" t="s">
        <v>86</v>
      </c>
      <c r="CF64" s="4">
        <v>44579</v>
      </c>
      <c r="CI64" s="3">
        <v>2</v>
      </c>
      <c r="CJ64" s="3">
        <v>1</v>
      </c>
      <c r="CK64" s="3">
        <v>41</v>
      </c>
      <c r="CL64" s="3" t="s">
        <v>87</v>
      </c>
    </row>
    <row r="65" spans="1:90" x14ac:dyDescent="0.2">
      <c r="A65" s="3" t="s">
        <v>72</v>
      </c>
      <c r="B65" s="3" t="s">
        <v>73</v>
      </c>
      <c r="C65" s="3" t="s">
        <v>74</v>
      </c>
      <c r="E65" s="3" t="str">
        <f>"009940237758"</f>
        <v>009940237758</v>
      </c>
      <c r="F65" s="4">
        <v>44575</v>
      </c>
      <c r="G65" s="3">
        <v>202207</v>
      </c>
      <c r="H65" s="3" t="s">
        <v>79</v>
      </c>
      <c r="I65" s="3" t="s">
        <v>80</v>
      </c>
      <c r="J65" s="3" t="s">
        <v>77</v>
      </c>
      <c r="K65" s="3" t="s">
        <v>78</v>
      </c>
      <c r="L65" s="3" t="s">
        <v>90</v>
      </c>
      <c r="M65" s="3" t="s">
        <v>91</v>
      </c>
      <c r="N65" s="3" t="s">
        <v>286</v>
      </c>
      <c r="O65" s="3" t="s">
        <v>81</v>
      </c>
      <c r="P65" s="3" t="str">
        <f>"STORES                        "</f>
        <v xml:space="preserve">STORES      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31.12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1</v>
      </c>
      <c r="BI65" s="3">
        <v>6.9</v>
      </c>
      <c r="BJ65" s="3">
        <v>15.2</v>
      </c>
      <c r="BK65" s="3">
        <v>16</v>
      </c>
      <c r="BL65" s="3">
        <v>124.04</v>
      </c>
      <c r="BM65" s="3">
        <v>18.61</v>
      </c>
      <c r="BN65" s="3">
        <v>142.65</v>
      </c>
      <c r="BO65" s="3">
        <v>142.65</v>
      </c>
      <c r="BQ65" s="3" t="s">
        <v>118</v>
      </c>
      <c r="BR65" s="3" t="s">
        <v>111</v>
      </c>
      <c r="BS65" s="4">
        <v>44578</v>
      </c>
      <c r="BT65" s="5">
        <v>0.45833333333333331</v>
      </c>
      <c r="BU65" s="3" t="s">
        <v>257</v>
      </c>
      <c r="BV65" s="3" t="s">
        <v>95</v>
      </c>
      <c r="BY65" s="3">
        <v>75960.350000000006</v>
      </c>
      <c r="BZ65" s="3" t="s">
        <v>85</v>
      </c>
      <c r="CA65" s="3" t="s">
        <v>96</v>
      </c>
      <c r="CC65" s="3" t="s">
        <v>91</v>
      </c>
      <c r="CD65" s="3">
        <v>700</v>
      </c>
      <c r="CE65" s="3" t="s">
        <v>86</v>
      </c>
      <c r="CF65" s="4">
        <v>44578</v>
      </c>
      <c r="CI65" s="3">
        <v>1</v>
      </c>
      <c r="CJ65" s="3">
        <v>1</v>
      </c>
      <c r="CK65" s="3">
        <v>41</v>
      </c>
      <c r="CL65" s="3" t="s">
        <v>87</v>
      </c>
    </row>
    <row r="66" spans="1:90" x14ac:dyDescent="0.2">
      <c r="A66" s="3" t="s">
        <v>72</v>
      </c>
      <c r="B66" s="3" t="s">
        <v>73</v>
      </c>
      <c r="C66" s="3" t="s">
        <v>74</v>
      </c>
      <c r="E66" s="3" t="str">
        <f>"009942086251"</f>
        <v>009942086251</v>
      </c>
      <c r="F66" s="4">
        <v>44575</v>
      </c>
      <c r="G66" s="3">
        <v>202207</v>
      </c>
      <c r="H66" s="3" t="s">
        <v>103</v>
      </c>
      <c r="I66" s="3" t="s">
        <v>104</v>
      </c>
      <c r="J66" s="3" t="s">
        <v>176</v>
      </c>
      <c r="K66" s="3" t="s">
        <v>78</v>
      </c>
      <c r="L66" s="3" t="s">
        <v>132</v>
      </c>
      <c r="M66" s="3" t="s">
        <v>133</v>
      </c>
      <c r="N66" s="3" t="s">
        <v>193</v>
      </c>
      <c r="O66" s="3" t="s">
        <v>81</v>
      </c>
      <c r="P66" s="3" t="str">
        <f>"                              "</f>
        <v xml:space="preserve">                 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84.09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43</v>
      </c>
      <c r="BJ66" s="3">
        <v>58.9</v>
      </c>
      <c r="BK66" s="3">
        <v>59</v>
      </c>
      <c r="BL66" s="3">
        <v>326.22000000000003</v>
      </c>
      <c r="BM66" s="3">
        <v>48.93</v>
      </c>
      <c r="BN66" s="3">
        <v>375.15</v>
      </c>
      <c r="BO66" s="3">
        <v>375.15</v>
      </c>
      <c r="BQ66" s="3" t="s">
        <v>99</v>
      </c>
      <c r="BR66" s="3" t="s">
        <v>181</v>
      </c>
      <c r="BS66" s="4">
        <v>44578</v>
      </c>
      <c r="BT66" s="5">
        <v>0.48958333333333331</v>
      </c>
      <c r="BU66" s="3" t="s">
        <v>238</v>
      </c>
      <c r="BV66" s="3" t="s">
        <v>95</v>
      </c>
      <c r="BY66" s="3">
        <v>294400</v>
      </c>
      <c r="BZ66" s="3" t="s">
        <v>85</v>
      </c>
      <c r="CA66" s="3" t="s">
        <v>136</v>
      </c>
      <c r="CC66" s="3" t="s">
        <v>133</v>
      </c>
      <c r="CD66" s="3">
        <v>2090</v>
      </c>
      <c r="CE66" s="3" t="s">
        <v>86</v>
      </c>
      <c r="CF66" s="4">
        <v>44579</v>
      </c>
      <c r="CI66" s="3">
        <v>2</v>
      </c>
      <c r="CJ66" s="3">
        <v>1</v>
      </c>
      <c r="CK66" s="3">
        <v>41</v>
      </c>
      <c r="CL66" s="3" t="s">
        <v>87</v>
      </c>
    </row>
    <row r="67" spans="1:90" x14ac:dyDescent="0.2">
      <c r="A67" s="3" t="s">
        <v>72</v>
      </c>
      <c r="B67" s="3" t="s">
        <v>73</v>
      </c>
      <c r="C67" s="3" t="s">
        <v>74</v>
      </c>
      <c r="E67" s="3" t="str">
        <f>"009942086250"</f>
        <v>009942086250</v>
      </c>
      <c r="F67" s="4">
        <v>44575</v>
      </c>
      <c r="G67" s="3">
        <v>202207</v>
      </c>
      <c r="H67" s="3" t="s">
        <v>103</v>
      </c>
      <c r="I67" s="3" t="s">
        <v>104</v>
      </c>
      <c r="J67" s="3" t="s">
        <v>176</v>
      </c>
      <c r="K67" s="3" t="s">
        <v>78</v>
      </c>
      <c r="L67" s="3" t="s">
        <v>132</v>
      </c>
      <c r="M67" s="3" t="s">
        <v>133</v>
      </c>
      <c r="N67" s="3" t="s">
        <v>193</v>
      </c>
      <c r="O67" s="3" t="s">
        <v>81</v>
      </c>
      <c r="P67" s="3" t="str">
        <f>"                              "</f>
        <v xml:space="preserve">                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302.13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4</v>
      </c>
      <c r="BI67" s="3">
        <v>172</v>
      </c>
      <c r="BJ67" s="3">
        <v>235.5</v>
      </c>
      <c r="BK67" s="3">
        <v>236</v>
      </c>
      <c r="BL67" s="3">
        <v>1158.45</v>
      </c>
      <c r="BM67" s="3">
        <v>173.77</v>
      </c>
      <c r="BN67" s="3">
        <v>1332.22</v>
      </c>
      <c r="BO67" s="3">
        <v>1332.22</v>
      </c>
      <c r="BQ67" s="3" t="s">
        <v>99</v>
      </c>
      <c r="BR67" s="3" t="s">
        <v>181</v>
      </c>
      <c r="BS67" s="4">
        <v>44578</v>
      </c>
      <c r="BT67" s="5">
        <v>0.4909722222222222</v>
      </c>
      <c r="BU67" s="3" t="s">
        <v>287</v>
      </c>
      <c r="BV67" s="3" t="s">
        <v>95</v>
      </c>
      <c r="BY67" s="3">
        <v>294400</v>
      </c>
      <c r="BZ67" s="3" t="s">
        <v>85</v>
      </c>
      <c r="CA67" s="3" t="s">
        <v>136</v>
      </c>
      <c r="CC67" s="3" t="s">
        <v>133</v>
      </c>
      <c r="CD67" s="3">
        <v>2090</v>
      </c>
      <c r="CE67" s="3" t="s">
        <v>86</v>
      </c>
      <c r="CF67" s="4">
        <v>44579</v>
      </c>
      <c r="CI67" s="3">
        <v>2</v>
      </c>
      <c r="CJ67" s="3">
        <v>1</v>
      </c>
      <c r="CK67" s="3">
        <v>41</v>
      </c>
      <c r="CL67" s="3" t="s">
        <v>87</v>
      </c>
    </row>
    <row r="68" spans="1:90" x14ac:dyDescent="0.2">
      <c r="A68" s="3" t="s">
        <v>72</v>
      </c>
      <c r="B68" s="3" t="s">
        <v>73</v>
      </c>
      <c r="C68" s="3" t="s">
        <v>74</v>
      </c>
      <c r="E68" s="3" t="str">
        <f>"009941621976"</f>
        <v>009941621976</v>
      </c>
      <c r="F68" s="4">
        <v>44575</v>
      </c>
      <c r="G68" s="3">
        <v>202207</v>
      </c>
      <c r="H68" s="3" t="s">
        <v>79</v>
      </c>
      <c r="I68" s="3" t="s">
        <v>80</v>
      </c>
      <c r="J68" s="3" t="s">
        <v>77</v>
      </c>
      <c r="K68" s="3" t="s">
        <v>78</v>
      </c>
      <c r="L68" s="3" t="s">
        <v>97</v>
      </c>
      <c r="M68" s="3" t="s">
        <v>98</v>
      </c>
      <c r="N68" s="3" t="s">
        <v>77</v>
      </c>
      <c r="O68" s="3" t="s">
        <v>81</v>
      </c>
      <c r="P68" s="3" t="str">
        <f>"STORES                        "</f>
        <v xml:space="preserve">STORES           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40.98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1</v>
      </c>
      <c r="BI68" s="3">
        <v>5.9</v>
      </c>
      <c r="BJ68" s="3">
        <v>23.4</v>
      </c>
      <c r="BK68" s="3">
        <v>24</v>
      </c>
      <c r="BL68" s="3">
        <v>161.66</v>
      </c>
      <c r="BM68" s="3">
        <v>24.25</v>
      </c>
      <c r="BN68" s="3">
        <v>185.91</v>
      </c>
      <c r="BO68" s="3">
        <v>185.91</v>
      </c>
      <c r="BQ68" s="3" t="s">
        <v>118</v>
      </c>
      <c r="BR68" s="3" t="s">
        <v>118</v>
      </c>
      <c r="BS68" s="4">
        <v>44578</v>
      </c>
      <c r="BT68" s="5">
        <v>0.38541666666666669</v>
      </c>
      <c r="BU68" s="3" t="s">
        <v>285</v>
      </c>
      <c r="BV68" s="3" t="s">
        <v>95</v>
      </c>
      <c r="BY68" s="3">
        <v>117234.86</v>
      </c>
      <c r="BZ68" s="3" t="s">
        <v>85</v>
      </c>
      <c r="CA68" s="3" t="s">
        <v>223</v>
      </c>
      <c r="CC68" s="3" t="s">
        <v>98</v>
      </c>
      <c r="CD68" s="3">
        <v>8000</v>
      </c>
      <c r="CE68" s="3" t="s">
        <v>86</v>
      </c>
      <c r="CF68" s="4">
        <v>44579</v>
      </c>
      <c r="CI68" s="3">
        <v>2</v>
      </c>
      <c r="CJ68" s="3">
        <v>1</v>
      </c>
      <c r="CK68" s="3">
        <v>41</v>
      </c>
      <c r="CL68" s="3" t="s">
        <v>87</v>
      </c>
    </row>
    <row r="69" spans="1:90" x14ac:dyDescent="0.2">
      <c r="A69" s="3" t="s">
        <v>72</v>
      </c>
      <c r="B69" s="3" t="s">
        <v>73</v>
      </c>
      <c r="C69" s="3" t="s">
        <v>74</v>
      </c>
      <c r="E69" s="3" t="str">
        <f>"009941567736"</f>
        <v>009941567736</v>
      </c>
      <c r="F69" s="4">
        <v>44575</v>
      </c>
      <c r="G69" s="3">
        <v>202207</v>
      </c>
      <c r="H69" s="3" t="s">
        <v>79</v>
      </c>
      <c r="I69" s="3" t="s">
        <v>80</v>
      </c>
      <c r="J69" s="3" t="s">
        <v>77</v>
      </c>
      <c r="K69" s="3" t="s">
        <v>78</v>
      </c>
      <c r="L69" s="3" t="s">
        <v>101</v>
      </c>
      <c r="M69" s="3" t="s">
        <v>102</v>
      </c>
      <c r="N69" s="3" t="s">
        <v>286</v>
      </c>
      <c r="O69" s="3" t="s">
        <v>81</v>
      </c>
      <c r="P69" s="3" t="str">
        <f>"STORES                        "</f>
        <v xml:space="preserve">STORES           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42.16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5.4</v>
      </c>
      <c r="BJ69" s="3">
        <v>14.5</v>
      </c>
      <c r="BK69" s="3">
        <v>15</v>
      </c>
      <c r="BL69" s="3">
        <v>166.16</v>
      </c>
      <c r="BM69" s="3">
        <v>24.92</v>
      </c>
      <c r="BN69" s="3">
        <v>191.08</v>
      </c>
      <c r="BO69" s="3">
        <v>191.08</v>
      </c>
      <c r="BQ69" s="3" t="s">
        <v>288</v>
      </c>
      <c r="BR69" s="3" t="s">
        <v>164</v>
      </c>
      <c r="BS69" s="4">
        <v>44580</v>
      </c>
      <c r="BT69" s="5">
        <v>0.37916666666666665</v>
      </c>
      <c r="BU69" s="3" t="s">
        <v>243</v>
      </c>
      <c r="BV69" s="3" t="s">
        <v>95</v>
      </c>
      <c r="BY69" s="3">
        <v>72549.36</v>
      </c>
      <c r="BZ69" s="3" t="s">
        <v>85</v>
      </c>
      <c r="CC69" s="3" t="s">
        <v>102</v>
      </c>
      <c r="CD69" s="3">
        <v>5099</v>
      </c>
      <c r="CE69" s="3" t="s">
        <v>86</v>
      </c>
      <c r="CF69" s="4">
        <v>44580</v>
      </c>
      <c r="CI69" s="3">
        <v>3</v>
      </c>
      <c r="CJ69" s="3">
        <v>3</v>
      </c>
      <c r="CK69" s="3">
        <v>43</v>
      </c>
      <c r="CL69" s="3" t="s">
        <v>87</v>
      </c>
    </row>
    <row r="70" spans="1:90" x14ac:dyDescent="0.2">
      <c r="A70" s="3" t="s">
        <v>72</v>
      </c>
      <c r="B70" s="3" t="s">
        <v>73</v>
      </c>
      <c r="C70" s="3" t="s">
        <v>74</v>
      </c>
      <c r="E70" s="3" t="str">
        <f>"009941618900"</f>
        <v>009941618900</v>
      </c>
      <c r="F70" s="4">
        <v>44575</v>
      </c>
      <c r="G70" s="3">
        <v>202207</v>
      </c>
      <c r="H70" s="3" t="s">
        <v>79</v>
      </c>
      <c r="I70" s="3" t="s">
        <v>80</v>
      </c>
      <c r="J70" s="3" t="s">
        <v>77</v>
      </c>
      <c r="K70" s="3" t="s">
        <v>78</v>
      </c>
      <c r="L70" s="3" t="s">
        <v>123</v>
      </c>
      <c r="M70" s="3" t="s">
        <v>124</v>
      </c>
      <c r="N70" s="3" t="s">
        <v>286</v>
      </c>
      <c r="O70" s="3" t="s">
        <v>81</v>
      </c>
      <c r="P70" s="3" t="str">
        <f>"STORES                        "</f>
        <v xml:space="preserve">STORES      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42.16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1</v>
      </c>
      <c r="BI70" s="3">
        <v>4.3</v>
      </c>
      <c r="BJ70" s="3">
        <v>11.9</v>
      </c>
      <c r="BK70" s="3">
        <v>12</v>
      </c>
      <c r="BL70" s="3">
        <v>166.16</v>
      </c>
      <c r="BM70" s="3">
        <v>24.92</v>
      </c>
      <c r="BN70" s="3">
        <v>191.08</v>
      </c>
      <c r="BO70" s="3">
        <v>191.08</v>
      </c>
      <c r="BQ70" s="3" t="s">
        <v>118</v>
      </c>
      <c r="BR70" s="3" t="s">
        <v>191</v>
      </c>
      <c r="BS70" s="4">
        <v>44578</v>
      </c>
      <c r="BT70" s="5">
        <v>0.36388888888888887</v>
      </c>
      <c r="BU70" s="3" t="s">
        <v>202</v>
      </c>
      <c r="BV70" s="3" t="s">
        <v>95</v>
      </c>
      <c r="BY70" s="3">
        <v>59311.22</v>
      </c>
      <c r="BZ70" s="3" t="s">
        <v>85</v>
      </c>
      <c r="CA70" s="3" t="s">
        <v>203</v>
      </c>
      <c r="CC70" s="3" t="s">
        <v>124</v>
      </c>
      <c r="CD70" s="3">
        <v>1034</v>
      </c>
      <c r="CE70" s="3" t="s">
        <v>86</v>
      </c>
      <c r="CF70" s="4">
        <v>44578</v>
      </c>
      <c r="CI70" s="3">
        <v>1</v>
      </c>
      <c r="CJ70" s="3">
        <v>1</v>
      </c>
      <c r="CK70" s="3">
        <v>43</v>
      </c>
      <c r="CL70" s="3" t="s">
        <v>87</v>
      </c>
    </row>
    <row r="71" spans="1:90" x14ac:dyDescent="0.2">
      <c r="A71" s="3" t="s">
        <v>72</v>
      </c>
      <c r="B71" s="3" t="s">
        <v>73</v>
      </c>
      <c r="C71" s="3" t="s">
        <v>74</v>
      </c>
      <c r="E71" s="3" t="str">
        <f>"009940957488"</f>
        <v>009940957488</v>
      </c>
      <c r="F71" s="4">
        <v>44575</v>
      </c>
      <c r="G71" s="3">
        <v>202207</v>
      </c>
      <c r="H71" s="3" t="s">
        <v>79</v>
      </c>
      <c r="I71" s="3" t="s">
        <v>80</v>
      </c>
      <c r="J71" s="3" t="s">
        <v>77</v>
      </c>
      <c r="K71" s="3" t="s">
        <v>78</v>
      </c>
      <c r="L71" s="3" t="s">
        <v>157</v>
      </c>
      <c r="M71" s="3" t="s">
        <v>158</v>
      </c>
      <c r="N71" s="3" t="s">
        <v>77</v>
      </c>
      <c r="O71" s="3" t="s">
        <v>115</v>
      </c>
      <c r="P71" s="3" t="str">
        <f>"LOCKS                         "</f>
        <v xml:space="preserve">LOCKS    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46.36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0.8</v>
      </c>
      <c r="BJ71" s="3">
        <v>5.8</v>
      </c>
      <c r="BK71" s="3">
        <v>6</v>
      </c>
      <c r="BL71" s="3">
        <v>176.94</v>
      </c>
      <c r="BM71" s="3">
        <v>26.54</v>
      </c>
      <c r="BN71" s="3">
        <v>203.48</v>
      </c>
      <c r="BO71" s="3">
        <v>203.48</v>
      </c>
      <c r="BQ71" s="3" t="s">
        <v>118</v>
      </c>
      <c r="BR71" s="3" t="s">
        <v>111</v>
      </c>
      <c r="BS71" s="4">
        <v>44578</v>
      </c>
      <c r="BT71" s="5">
        <v>0.38125000000000003</v>
      </c>
      <c r="BU71" s="3" t="s">
        <v>160</v>
      </c>
      <c r="BV71" s="3" t="s">
        <v>95</v>
      </c>
      <c r="BY71" s="3">
        <v>29122.6</v>
      </c>
      <c r="BZ71" s="3" t="s">
        <v>117</v>
      </c>
      <c r="CA71" s="3" t="s">
        <v>161</v>
      </c>
      <c r="CC71" s="3" t="s">
        <v>158</v>
      </c>
      <c r="CD71" s="3">
        <v>4091</v>
      </c>
      <c r="CE71" s="3" t="s">
        <v>86</v>
      </c>
      <c r="CF71" s="4">
        <v>44579</v>
      </c>
      <c r="CI71" s="3">
        <v>1</v>
      </c>
      <c r="CJ71" s="3">
        <v>1</v>
      </c>
      <c r="CK71" s="3">
        <v>21</v>
      </c>
      <c r="CL71" s="3" t="s">
        <v>87</v>
      </c>
    </row>
    <row r="72" spans="1:90" x14ac:dyDescent="0.2">
      <c r="A72" s="3" t="s">
        <v>72</v>
      </c>
      <c r="B72" s="3" t="s">
        <v>73</v>
      </c>
      <c r="C72" s="3" t="s">
        <v>74</v>
      </c>
      <c r="E72" s="3" t="str">
        <f>"080010365892"</f>
        <v>080010365892</v>
      </c>
      <c r="F72" s="4">
        <v>44575</v>
      </c>
      <c r="G72" s="3">
        <v>202207</v>
      </c>
      <c r="H72" s="3" t="s">
        <v>132</v>
      </c>
      <c r="I72" s="3" t="s">
        <v>133</v>
      </c>
      <c r="J72" s="3" t="s">
        <v>273</v>
      </c>
      <c r="K72" s="3" t="s">
        <v>78</v>
      </c>
      <c r="L72" s="3" t="s">
        <v>289</v>
      </c>
      <c r="M72" s="3" t="s">
        <v>290</v>
      </c>
      <c r="N72" s="3" t="s">
        <v>291</v>
      </c>
      <c r="O72" s="3" t="s">
        <v>277</v>
      </c>
      <c r="P72" s="3" t="str">
        <f>"Locks                         "</f>
        <v xml:space="preserve">Locks   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14.79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1</v>
      </c>
      <c r="BI72" s="3">
        <v>0.7</v>
      </c>
      <c r="BJ72" s="3">
        <v>9.1999999999999993</v>
      </c>
      <c r="BK72" s="3">
        <v>10</v>
      </c>
      <c r="BL72" s="3">
        <v>56.45</v>
      </c>
      <c r="BM72" s="3">
        <v>8.4700000000000006</v>
      </c>
      <c r="BN72" s="3">
        <v>64.92</v>
      </c>
      <c r="BO72" s="3">
        <v>64.92</v>
      </c>
      <c r="BP72" s="3" t="s">
        <v>84</v>
      </c>
      <c r="BQ72" s="3" t="s">
        <v>292</v>
      </c>
      <c r="BR72" s="3" t="s">
        <v>279</v>
      </c>
      <c r="BS72" s="4">
        <v>44578</v>
      </c>
      <c r="BT72" s="5">
        <v>0.3743055555555555</v>
      </c>
      <c r="BU72" s="3" t="s">
        <v>293</v>
      </c>
      <c r="BV72" s="3" t="s">
        <v>95</v>
      </c>
      <c r="BY72" s="3">
        <v>46061.57</v>
      </c>
      <c r="BZ72" s="3" t="s">
        <v>85</v>
      </c>
      <c r="CA72" s="3" t="s">
        <v>294</v>
      </c>
      <c r="CC72" s="3" t="s">
        <v>290</v>
      </c>
      <c r="CD72" s="3">
        <v>2125</v>
      </c>
      <c r="CE72" s="3" t="s">
        <v>282</v>
      </c>
      <c r="CF72" s="4">
        <v>44578</v>
      </c>
      <c r="CI72" s="3">
        <v>1</v>
      </c>
      <c r="CJ72" s="3">
        <v>1</v>
      </c>
      <c r="CK72" s="3">
        <v>32</v>
      </c>
      <c r="CL72" s="3" t="s">
        <v>87</v>
      </c>
    </row>
    <row r="73" spans="1:90" x14ac:dyDescent="0.2">
      <c r="A73" s="3" t="s">
        <v>72</v>
      </c>
      <c r="B73" s="3" t="s">
        <v>73</v>
      </c>
      <c r="C73" s="3" t="s">
        <v>74</v>
      </c>
      <c r="E73" s="3" t="str">
        <f>"009936115812"</f>
        <v>009936115812</v>
      </c>
      <c r="F73" s="4">
        <v>44578</v>
      </c>
      <c r="G73" s="3">
        <v>202207</v>
      </c>
      <c r="H73" s="3" t="s">
        <v>79</v>
      </c>
      <c r="I73" s="3" t="s">
        <v>80</v>
      </c>
      <c r="J73" s="3" t="s">
        <v>77</v>
      </c>
      <c r="K73" s="3" t="s">
        <v>78</v>
      </c>
      <c r="L73" s="3" t="s">
        <v>103</v>
      </c>
      <c r="M73" s="3" t="s">
        <v>104</v>
      </c>
      <c r="N73" s="3" t="s">
        <v>77</v>
      </c>
      <c r="O73" s="3" t="s">
        <v>81</v>
      </c>
      <c r="P73" s="3" t="str">
        <f t="shared" ref="P73:P78" si="1">"STORES                        "</f>
        <v xml:space="preserve">STORES   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52.06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22</v>
      </c>
      <c r="BJ73" s="3">
        <v>32.6</v>
      </c>
      <c r="BK73" s="3">
        <v>33</v>
      </c>
      <c r="BL73" s="3">
        <v>203.97</v>
      </c>
      <c r="BM73" s="3">
        <v>30.6</v>
      </c>
      <c r="BN73" s="3">
        <v>234.57</v>
      </c>
      <c r="BO73" s="3">
        <v>234.57</v>
      </c>
      <c r="BQ73" s="3" t="s">
        <v>118</v>
      </c>
      <c r="BR73" s="3" t="s">
        <v>111</v>
      </c>
      <c r="BS73" s="4">
        <v>44581</v>
      </c>
      <c r="BT73" s="5">
        <v>0.31944444444444448</v>
      </c>
      <c r="BU73" s="3" t="s">
        <v>295</v>
      </c>
      <c r="BV73" s="3" t="s">
        <v>87</v>
      </c>
      <c r="BW73" s="3" t="s">
        <v>221</v>
      </c>
      <c r="BX73" s="3" t="s">
        <v>228</v>
      </c>
      <c r="BY73" s="3">
        <v>162800.35</v>
      </c>
      <c r="BZ73" s="3" t="s">
        <v>85</v>
      </c>
      <c r="CA73" s="3" t="s">
        <v>296</v>
      </c>
      <c r="CC73" s="3" t="s">
        <v>104</v>
      </c>
      <c r="CD73" s="3">
        <v>6045</v>
      </c>
      <c r="CE73" s="3" t="s">
        <v>86</v>
      </c>
      <c r="CF73" s="4">
        <v>44582</v>
      </c>
      <c r="CI73" s="3">
        <v>2</v>
      </c>
      <c r="CJ73" s="3">
        <v>3</v>
      </c>
      <c r="CK73" s="3">
        <v>41</v>
      </c>
      <c r="CL73" s="3" t="s">
        <v>87</v>
      </c>
    </row>
    <row r="74" spans="1:90" x14ac:dyDescent="0.2">
      <c r="A74" s="3" t="s">
        <v>72</v>
      </c>
      <c r="B74" s="3" t="s">
        <v>73</v>
      </c>
      <c r="C74" s="3" t="s">
        <v>74</v>
      </c>
      <c r="E74" s="3" t="str">
        <f>"009941618968"</f>
        <v>009941618968</v>
      </c>
      <c r="F74" s="4">
        <v>44578</v>
      </c>
      <c r="G74" s="3">
        <v>202207</v>
      </c>
      <c r="H74" s="3" t="s">
        <v>79</v>
      </c>
      <c r="I74" s="3" t="s">
        <v>80</v>
      </c>
      <c r="J74" s="3" t="s">
        <v>77</v>
      </c>
      <c r="K74" s="3" t="s">
        <v>78</v>
      </c>
      <c r="L74" s="3" t="s">
        <v>157</v>
      </c>
      <c r="M74" s="3" t="s">
        <v>158</v>
      </c>
      <c r="N74" s="3" t="s">
        <v>77</v>
      </c>
      <c r="O74" s="3" t="s">
        <v>81</v>
      </c>
      <c r="P74" s="3" t="str">
        <f t="shared" si="1"/>
        <v xml:space="preserve">STORES           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29.89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5.4</v>
      </c>
      <c r="BJ74" s="3">
        <v>7.4</v>
      </c>
      <c r="BK74" s="3">
        <v>8</v>
      </c>
      <c r="BL74" s="3">
        <v>119.34</v>
      </c>
      <c r="BM74" s="3">
        <v>17.899999999999999</v>
      </c>
      <c r="BN74" s="3">
        <v>137.24</v>
      </c>
      <c r="BO74" s="3">
        <v>137.24</v>
      </c>
      <c r="BQ74" s="3" t="s">
        <v>118</v>
      </c>
      <c r="BR74" s="3" t="s">
        <v>118</v>
      </c>
      <c r="BS74" s="4">
        <v>44579</v>
      </c>
      <c r="BT74" s="5">
        <v>0.41666666666666669</v>
      </c>
      <c r="BU74" s="3" t="s">
        <v>297</v>
      </c>
      <c r="BV74" s="3" t="s">
        <v>95</v>
      </c>
      <c r="BY74" s="3">
        <v>36950.910000000003</v>
      </c>
      <c r="BZ74" s="3" t="s">
        <v>85</v>
      </c>
      <c r="CA74" s="3" t="s">
        <v>240</v>
      </c>
      <c r="CC74" s="3" t="s">
        <v>158</v>
      </c>
      <c r="CD74" s="3">
        <v>4091</v>
      </c>
      <c r="CE74" s="3" t="s">
        <v>86</v>
      </c>
      <c r="CF74" s="4">
        <v>44580</v>
      </c>
      <c r="CI74" s="3">
        <v>1</v>
      </c>
      <c r="CJ74" s="3">
        <v>1</v>
      </c>
      <c r="CK74" s="3">
        <v>41</v>
      </c>
      <c r="CL74" s="3" t="s">
        <v>87</v>
      </c>
    </row>
    <row r="75" spans="1:90" x14ac:dyDescent="0.2">
      <c r="A75" s="3" t="s">
        <v>72</v>
      </c>
      <c r="B75" s="3" t="s">
        <v>73</v>
      </c>
      <c r="C75" s="3" t="s">
        <v>74</v>
      </c>
      <c r="E75" s="3" t="str">
        <f>"009940957487"</f>
        <v>009940957487</v>
      </c>
      <c r="F75" s="4">
        <v>44578</v>
      </c>
      <c r="G75" s="3">
        <v>202207</v>
      </c>
      <c r="H75" s="3" t="s">
        <v>79</v>
      </c>
      <c r="I75" s="3" t="s">
        <v>80</v>
      </c>
      <c r="J75" s="3" t="s">
        <v>77</v>
      </c>
      <c r="K75" s="3" t="s">
        <v>78</v>
      </c>
      <c r="L75" s="3" t="s">
        <v>298</v>
      </c>
      <c r="M75" s="3" t="s">
        <v>299</v>
      </c>
      <c r="N75" s="3" t="s">
        <v>77</v>
      </c>
      <c r="O75" s="3" t="s">
        <v>115</v>
      </c>
      <c r="P75" s="3" t="str">
        <f t="shared" si="1"/>
        <v xml:space="preserve">STORES    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12.07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1</v>
      </c>
      <c r="BJ75" s="3">
        <v>0.2</v>
      </c>
      <c r="BK75" s="3">
        <v>1</v>
      </c>
      <c r="BL75" s="3">
        <v>46.08</v>
      </c>
      <c r="BM75" s="3">
        <v>6.91</v>
      </c>
      <c r="BN75" s="3">
        <v>52.99</v>
      </c>
      <c r="BO75" s="3">
        <v>52.99</v>
      </c>
      <c r="BQ75" s="3" t="s">
        <v>159</v>
      </c>
      <c r="BR75" s="3" t="s">
        <v>111</v>
      </c>
      <c r="BS75" s="4">
        <v>44580</v>
      </c>
      <c r="BT75" s="5">
        <v>0.38680555555555557</v>
      </c>
      <c r="BU75" s="3" t="s">
        <v>160</v>
      </c>
      <c r="BV75" s="3" t="s">
        <v>87</v>
      </c>
      <c r="BW75" s="3" t="s">
        <v>218</v>
      </c>
      <c r="BX75" s="3" t="s">
        <v>219</v>
      </c>
      <c r="BY75" s="3">
        <v>1200</v>
      </c>
      <c r="BZ75" s="3" t="s">
        <v>117</v>
      </c>
      <c r="CA75" s="3" t="s">
        <v>161</v>
      </c>
      <c r="CC75" s="3" t="s">
        <v>299</v>
      </c>
      <c r="CD75" s="3">
        <v>1560</v>
      </c>
      <c r="CE75" s="3" t="s">
        <v>86</v>
      </c>
      <c r="CF75" s="4">
        <v>44581</v>
      </c>
      <c r="CI75" s="3">
        <v>1</v>
      </c>
      <c r="CJ75" s="3">
        <v>2</v>
      </c>
      <c r="CK75" s="3">
        <v>22</v>
      </c>
      <c r="CL75" s="3" t="s">
        <v>87</v>
      </c>
    </row>
    <row r="76" spans="1:90" x14ac:dyDescent="0.2">
      <c r="A76" s="3" t="s">
        <v>72</v>
      </c>
      <c r="B76" s="3" t="s">
        <v>73</v>
      </c>
      <c r="C76" s="3" t="s">
        <v>74</v>
      </c>
      <c r="E76" s="3" t="str">
        <f>"009941618818"</f>
        <v>009941618818</v>
      </c>
      <c r="F76" s="4">
        <v>44578</v>
      </c>
      <c r="G76" s="3">
        <v>202207</v>
      </c>
      <c r="H76" s="3" t="s">
        <v>79</v>
      </c>
      <c r="I76" s="3" t="s">
        <v>80</v>
      </c>
      <c r="J76" s="3" t="s">
        <v>77</v>
      </c>
      <c r="K76" s="3" t="s">
        <v>78</v>
      </c>
      <c r="L76" s="3" t="s">
        <v>126</v>
      </c>
      <c r="M76" s="3" t="s">
        <v>127</v>
      </c>
      <c r="N76" s="3" t="s">
        <v>300</v>
      </c>
      <c r="O76" s="3" t="s">
        <v>81</v>
      </c>
      <c r="P76" s="3" t="str">
        <f t="shared" si="1"/>
        <v xml:space="preserve">STORES  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29.89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1.7</v>
      </c>
      <c r="BJ76" s="3">
        <v>8.3000000000000007</v>
      </c>
      <c r="BK76" s="3">
        <v>9</v>
      </c>
      <c r="BL76" s="3">
        <v>119.34</v>
      </c>
      <c r="BM76" s="3">
        <v>17.899999999999999</v>
      </c>
      <c r="BN76" s="3">
        <v>137.24</v>
      </c>
      <c r="BO76" s="3">
        <v>137.24</v>
      </c>
      <c r="BQ76" s="3" t="s">
        <v>301</v>
      </c>
      <c r="BR76" s="3" t="s">
        <v>111</v>
      </c>
      <c r="BS76" s="4">
        <v>44581</v>
      </c>
      <c r="BT76" s="5">
        <v>0.55069444444444449</v>
      </c>
      <c r="BU76" s="3" t="s">
        <v>302</v>
      </c>
      <c r="BV76" s="3" t="s">
        <v>87</v>
      </c>
      <c r="BY76" s="3">
        <v>41616.379999999997</v>
      </c>
      <c r="BZ76" s="3" t="s">
        <v>85</v>
      </c>
      <c r="CC76" s="3" t="s">
        <v>127</v>
      </c>
      <c r="CD76" s="3">
        <v>6536</v>
      </c>
      <c r="CE76" s="3" t="s">
        <v>86</v>
      </c>
      <c r="CF76" s="4">
        <v>44582</v>
      </c>
      <c r="CI76" s="3">
        <v>2</v>
      </c>
      <c r="CJ76" s="3">
        <v>3</v>
      </c>
      <c r="CK76" s="3">
        <v>41</v>
      </c>
      <c r="CL76" s="3" t="s">
        <v>87</v>
      </c>
    </row>
    <row r="77" spans="1:90" x14ac:dyDescent="0.2">
      <c r="A77" s="3" t="s">
        <v>72</v>
      </c>
      <c r="B77" s="3" t="s">
        <v>73</v>
      </c>
      <c r="C77" s="3" t="s">
        <v>74</v>
      </c>
      <c r="E77" s="3" t="str">
        <f>"009941291360"</f>
        <v>009941291360</v>
      </c>
      <c r="F77" s="4">
        <v>44578</v>
      </c>
      <c r="G77" s="3">
        <v>202207</v>
      </c>
      <c r="H77" s="3" t="s">
        <v>79</v>
      </c>
      <c r="I77" s="3" t="s">
        <v>80</v>
      </c>
      <c r="J77" s="3" t="s">
        <v>77</v>
      </c>
      <c r="K77" s="3" t="s">
        <v>78</v>
      </c>
      <c r="L77" s="3" t="s">
        <v>108</v>
      </c>
      <c r="M77" s="3" t="s">
        <v>109</v>
      </c>
      <c r="N77" s="3" t="s">
        <v>77</v>
      </c>
      <c r="O77" s="3" t="s">
        <v>81</v>
      </c>
      <c r="P77" s="3" t="str">
        <f t="shared" si="1"/>
        <v xml:space="preserve">STORES   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29.89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6.6</v>
      </c>
      <c r="BJ77" s="3">
        <v>2.5</v>
      </c>
      <c r="BK77" s="3">
        <v>7</v>
      </c>
      <c r="BL77" s="3">
        <v>119.34</v>
      </c>
      <c r="BM77" s="3">
        <v>17.899999999999999</v>
      </c>
      <c r="BN77" s="3">
        <v>137.24</v>
      </c>
      <c r="BO77" s="3">
        <v>137.24</v>
      </c>
      <c r="BQ77" s="3" t="s">
        <v>118</v>
      </c>
      <c r="BR77" s="3" t="s">
        <v>118</v>
      </c>
      <c r="BS77" s="4">
        <v>44580</v>
      </c>
      <c r="BT77" s="5">
        <v>0.51874999999999993</v>
      </c>
      <c r="BU77" s="3" t="s">
        <v>303</v>
      </c>
      <c r="BV77" s="3" t="s">
        <v>87</v>
      </c>
      <c r="BW77" s="3" t="s">
        <v>218</v>
      </c>
      <c r="BX77" s="3" t="s">
        <v>304</v>
      </c>
      <c r="BY77" s="3">
        <v>12331.8</v>
      </c>
      <c r="BZ77" s="3" t="s">
        <v>85</v>
      </c>
      <c r="CA77" s="3" t="s">
        <v>206</v>
      </c>
      <c r="CC77" s="3" t="s">
        <v>109</v>
      </c>
      <c r="CD77" s="3">
        <v>9300</v>
      </c>
      <c r="CE77" s="3" t="s">
        <v>86</v>
      </c>
      <c r="CF77" s="4">
        <v>44581</v>
      </c>
      <c r="CI77" s="3">
        <v>1</v>
      </c>
      <c r="CJ77" s="3">
        <v>2</v>
      </c>
      <c r="CK77" s="3">
        <v>41</v>
      </c>
      <c r="CL77" s="3" t="s">
        <v>87</v>
      </c>
    </row>
    <row r="78" spans="1:90" x14ac:dyDescent="0.2">
      <c r="A78" s="3" t="s">
        <v>72</v>
      </c>
      <c r="B78" s="3" t="s">
        <v>73</v>
      </c>
      <c r="C78" s="3" t="s">
        <v>74</v>
      </c>
      <c r="E78" s="3" t="str">
        <f>"009941618901"</f>
        <v>009941618901</v>
      </c>
      <c r="F78" s="4">
        <v>44578</v>
      </c>
      <c r="G78" s="3">
        <v>202207</v>
      </c>
      <c r="H78" s="3" t="s">
        <v>79</v>
      </c>
      <c r="I78" s="3" t="s">
        <v>80</v>
      </c>
      <c r="J78" s="3" t="s">
        <v>77</v>
      </c>
      <c r="K78" s="3" t="s">
        <v>78</v>
      </c>
      <c r="L78" s="3" t="s">
        <v>123</v>
      </c>
      <c r="M78" s="3" t="s">
        <v>124</v>
      </c>
      <c r="N78" s="3" t="s">
        <v>77</v>
      </c>
      <c r="O78" s="3" t="s">
        <v>81</v>
      </c>
      <c r="P78" s="3" t="str">
        <f t="shared" si="1"/>
        <v xml:space="preserve">STORES   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70.17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3</v>
      </c>
      <c r="BJ78" s="3">
        <v>27.2</v>
      </c>
      <c r="BK78" s="3">
        <v>28</v>
      </c>
      <c r="BL78" s="3">
        <v>273.08</v>
      </c>
      <c r="BM78" s="3">
        <v>40.96</v>
      </c>
      <c r="BN78" s="3">
        <v>314.04000000000002</v>
      </c>
      <c r="BO78" s="3">
        <v>314.04000000000002</v>
      </c>
      <c r="BQ78" s="3" t="s">
        <v>163</v>
      </c>
      <c r="BR78" s="3" t="s">
        <v>111</v>
      </c>
      <c r="BS78" s="4">
        <v>44579</v>
      </c>
      <c r="BT78" s="5">
        <v>0.35902777777777778</v>
      </c>
      <c r="BU78" s="3" t="s">
        <v>305</v>
      </c>
      <c r="BV78" s="3" t="s">
        <v>95</v>
      </c>
      <c r="BY78" s="3">
        <v>135905.71</v>
      </c>
      <c r="BZ78" s="3" t="s">
        <v>85</v>
      </c>
      <c r="CA78" s="3" t="s">
        <v>203</v>
      </c>
      <c r="CC78" s="3" t="s">
        <v>124</v>
      </c>
      <c r="CD78" s="3">
        <v>1034</v>
      </c>
      <c r="CE78" s="3" t="s">
        <v>86</v>
      </c>
      <c r="CF78" s="4">
        <v>44579</v>
      </c>
      <c r="CI78" s="3">
        <v>1</v>
      </c>
      <c r="CJ78" s="3">
        <v>1</v>
      </c>
      <c r="CK78" s="3">
        <v>43</v>
      </c>
      <c r="CL78" s="3" t="s">
        <v>87</v>
      </c>
    </row>
    <row r="79" spans="1:90" x14ac:dyDescent="0.2">
      <c r="A79" s="3" t="s">
        <v>72</v>
      </c>
      <c r="B79" s="3" t="s">
        <v>73</v>
      </c>
      <c r="C79" s="3" t="s">
        <v>74</v>
      </c>
      <c r="E79" s="3" t="str">
        <f>"009940746421"</f>
        <v>009940746421</v>
      </c>
      <c r="F79" s="4">
        <v>44579</v>
      </c>
      <c r="G79" s="3">
        <v>202207</v>
      </c>
      <c r="H79" s="3" t="s">
        <v>97</v>
      </c>
      <c r="I79" s="3" t="s">
        <v>98</v>
      </c>
      <c r="J79" s="3" t="s">
        <v>77</v>
      </c>
      <c r="K79" s="3" t="s">
        <v>78</v>
      </c>
      <c r="L79" s="3" t="s">
        <v>79</v>
      </c>
      <c r="M79" s="3" t="s">
        <v>80</v>
      </c>
      <c r="N79" s="3" t="s">
        <v>77</v>
      </c>
      <c r="O79" s="3" t="s">
        <v>81</v>
      </c>
      <c r="P79" s="3" t="str">
        <f>"                              "</f>
        <v xml:space="preserve">            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114.89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4</v>
      </c>
      <c r="BI79" s="3">
        <v>40.200000000000003</v>
      </c>
      <c r="BJ79" s="3">
        <v>83.5</v>
      </c>
      <c r="BK79" s="3">
        <v>84</v>
      </c>
      <c r="BL79" s="3">
        <v>443.77</v>
      </c>
      <c r="BM79" s="3">
        <v>66.569999999999993</v>
      </c>
      <c r="BN79" s="3">
        <v>510.34</v>
      </c>
      <c r="BO79" s="3">
        <v>510.34</v>
      </c>
      <c r="BQ79" s="3" t="s">
        <v>99</v>
      </c>
      <c r="BR79" s="3" t="s">
        <v>100</v>
      </c>
      <c r="BS79" s="4">
        <v>44581</v>
      </c>
      <c r="BT79" s="5">
        <v>0.37222222222222223</v>
      </c>
      <c r="BU79" s="3" t="s">
        <v>137</v>
      </c>
      <c r="BV79" s="3" t="s">
        <v>95</v>
      </c>
      <c r="BY79" s="3">
        <v>417480.6</v>
      </c>
      <c r="BZ79" s="3" t="s">
        <v>85</v>
      </c>
      <c r="CA79" s="3" t="s">
        <v>136</v>
      </c>
      <c r="CC79" s="3" t="s">
        <v>80</v>
      </c>
      <c r="CD79" s="3">
        <v>2146</v>
      </c>
      <c r="CE79" s="3" t="s">
        <v>86</v>
      </c>
      <c r="CF79" s="4">
        <v>44582</v>
      </c>
      <c r="CI79" s="3">
        <v>2</v>
      </c>
      <c r="CJ79" s="3">
        <v>2</v>
      </c>
      <c r="CK79" s="3">
        <v>41</v>
      </c>
      <c r="CL79" s="3" t="s">
        <v>87</v>
      </c>
    </row>
    <row r="80" spans="1:90" x14ac:dyDescent="0.2">
      <c r="A80" s="3" t="s">
        <v>72</v>
      </c>
      <c r="B80" s="3" t="s">
        <v>73</v>
      </c>
      <c r="C80" s="3" t="s">
        <v>74</v>
      </c>
      <c r="E80" s="3" t="str">
        <f>"009941567760"</f>
        <v>009941567760</v>
      </c>
      <c r="F80" s="4">
        <v>44579</v>
      </c>
      <c r="G80" s="3">
        <v>202207</v>
      </c>
      <c r="H80" s="3" t="s">
        <v>79</v>
      </c>
      <c r="I80" s="3" t="s">
        <v>80</v>
      </c>
      <c r="J80" s="3" t="s">
        <v>77</v>
      </c>
      <c r="K80" s="3" t="s">
        <v>78</v>
      </c>
      <c r="L80" s="3" t="s">
        <v>75</v>
      </c>
      <c r="M80" s="3" t="s">
        <v>76</v>
      </c>
      <c r="N80" s="3" t="s">
        <v>77</v>
      </c>
      <c r="O80" s="3" t="s">
        <v>81</v>
      </c>
      <c r="P80" s="3" t="str">
        <f>"STORES                        "</f>
        <v xml:space="preserve">STORES      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102.49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16</v>
      </c>
      <c r="BJ80" s="3">
        <v>42.9</v>
      </c>
      <c r="BK80" s="3">
        <v>43</v>
      </c>
      <c r="BL80" s="3">
        <v>396.45</v>
      </c>
      <c r="BM80" s="3">
        <v>59.47</v>
      </c>
      <c r="BN80" s="3">
        <v>455.92</v>
      </c>
      <c r="BO80" s="3">
        <v>455.92</v>
      </c>
      <c r="BQ80" s="3" t="s">
        <v>141</v>
      </c>
      <c r="BR80" s="3" t="s">
        <v>306</v>
      </c>
      <c r="BS80" s="4">
        <v>44581</v>
      </c>
      <c r="BT80" s="5">
        <v>0.33333333333333331</v>
      </c>
      <c r="BU80" s="3" t="s">
        <v>192</v>
      </c>
      <c r="BV80" s="3" t="s">
        <v>95</v>
      </c>
      <c r="BY80" s="3">
        <v>214400</v>
      </c>
      <c r="BZ80" s="3" t="s">
        <v>85</v>
      </c>
      <c r="CC80" s="3" t="s">
        <v>76</v>
      </c>
      <c r="CD80" s="3">
        <v>3900</v>
      </c>
      <c r="CE80" s="3" t="s">
        <v>86</v>
      </c>
      <c r="CF80" s="4">
        <v>44582</v>
      </c>
      <c r="CI80" s="3">
        <v>2</v>
      </c>
      <c r="CJ80" s="3">
        <v>2</v>
      </c>
      <c r="CK80" s="3">
        <v>43</v>
      </c>
      <c r="CL80" s="3" t="s">
        <v>87</v>
      </c>
    </row>
    <row r="81" spans="1:90" x14ac:dyDescent="0.2">
      <c r="A81" s="3" t="s">
        <v>72</v>
      </c>
      <c r="B81" s="3" t="s">
        <v>73</v>
      </c>
      <c r="C81" s="3" t="s">
        <v>74</v>
      </c>
      <c r="E81" s="3" t="str">
        <f>"009940237755"</f>
        <v>009940237755</v>
      </c>
      <c r="F81" s="4">
        <v>44579</v>
      </c>
      <c r="G81" s="3">
        <v>202207</v>
      </c>
      <c r="H81" s="3" t="s">
        <v>79</v>
      </c>
      <c r="I81" s="3" t="s">
        <v>80</v>
      </c>
      <c r="J81" s="3" t="s">
        <v>77</v>
      </c>
      <c r="K81" s="3" t="s">
        <v>78</v>
      </c>
      <c r="L81" s="3" t="s">
        <v>90</v>
      </c>
      <c r="M81" s="3" t="s">
        <v>91</v>
      </c>
      <c r="N81" s="3" t="s">
        <v>77</v>
      </c>
      <c r="O81" s="3" t="s">
        <v>81</v>
      </c>
      <c r="P81" s="3" t="str">
        <f>"STORES                        "</f>
        <v xml:space="preserve">STORES        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161.69999999999999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2</v>
      </c>
      <c r="BI81" s="3">
        <v>122</v>
      </c>
      <c r="BJ81" s="3">
        <v>92.8</v>
      </c>
      <c r="BK81" s="3">
        <v>122</v>
      </c>
      <c r="BL81" s="3">
        <v>622.44000000000005</v>
      </c>
      <c r="BM81" s="3">
        <v>93.37</v>
      </c>
      <c r="BN81" s="3">
        <v>715.81</v>
      </c>
      <c r="BO81" s="3">
        <v>715.81</v>
      </c>
      <c r="BQ81" s="3" t="s">
        <v>118</v>
      </c>
      <c r="BR81" s="3" t="s">
        <v>307</v>
      </c>
      <c r="BS81" s="4">
        <v>44580</v>
      </c>
      <c r="BT81" s="5">
        <v>0.49374999999999997</v>
      </c>
      <c r="BU81" s="3" t="s">
        <v>94</v>
      </c>
      <c r="BV81" s="3" t="s">
        <v>95</v>
      </c>
      <c r="BY81" s="3">
        <v>464000</v>
      </c>
      <c r="BZ81" s="3" t="s">
        <v>85</v>
      </c>
      <c r="CA81" s="3" t="s">
        <v>96</v>
      </c>
      <c r="CC81" s="3" t="s">
        <v>91</v>
      </c>
      <c r="CD81" s="3">
        <v>699</v>
      </c>
      <c r="CE81" s="3" t="s">
        <v>86</v>
      </c>
      <c r="CF81" s="4">
        <v>44580</v>
      </c>
      <c r="CI81" s="3">
        <v>1</v>
      </c>
      <c r="CJ81" s="3">
        <v>1</v>
      </c>
      <c r="CK81" s="3">
        <v>41</v>
      </c>
      <c r="CL81" s="3" t="s">
        <v>87</v>
      </c>
    </row>
    <row r="82" spans="1:90" x14ac:dyDescent="0.2">
      <c r="A82" s="3" t="s">
        <v>72</v>
      </c>
      <c r="B82" s="3" t="s">
        <v>73</v>
      </c>
      <c r="C82" s="3" t="s">
        <v>74</v>
      </c>
      <c r="E82" s="3" t="str">
        <f>"009941189653"</f>
        <v>009941189653</v>
      </c>
      <c r="F82" s="4">
        <v>44579</v>
      </c>
      <c r="G82" s="3">
        <v>202207</v>
      </c>
      <c r="H82" s="3" t="s">
        <v>97</v>
      </c>
      <c r="I82" s="3" t="s">
        <v>98</v>
      </c>
      <c r="J82" s="3" t="s">
        <v>77</v>
      </c>
      <c r="K82" s="3" t="s">
        <v>78</v>
      </c>
      <c r="L82" s="3" t="s">
        <v>126</v>
      </c>
      <c r="M82" s="3" t="s">
        <v>127</v>
      </c>
      <c r="N82" s="3" t="s">
        <v>308</v>
      </c>
      <c r="O82" s="3" t="s">
        <v>115</v>
      </c>
      <c r="P82" s="3" t="str">
        <f>"                              "</f>
        <v xml:space="preserve">            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27.04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0.1</v>
      </c>
      <c r="BJ82" s="3">
        <v>3.4</v>
      </c>
      <c r="BK82" s="3">
        <v>3.5</v>
      </c>
      <c r="BL82" s="3">
        <v>103.22</v>
      </c>
      <c r="BM82" s="3">
        <v>15.48</v>
      </c>
      <c r="BN82" s="3">
        <v>118.7</v>
      </c>
      <c r="BO82" s="3">
        <v>118.7</v>
      </c>
      <c r="BQ82" s="3" t="s">
        <v>309</v>
      </c>
      <c r="BR82" s="3" t="s">
        <v>100</v>
      </c>
      <c r="BS82" s="4">
        <v>44580</v>
      </c>
      <c r="BT82" s="5">
        <v>0.52083333333333337</v>
      </c>
      <c r="BU82" s="3" t="s">
        <v>310</v>
      </c>
      <c r="BV82" s="3" t="s">
        <v>87</v>
      </c>
      <c r="BW82" s="3" t="s">
        <v>311</v>
      </c>
      <c r="BX82" s="3" t="s">
        <v>312</v>
      </c>
      <c r="BY82" s="3">
        <v>17103.45</v>
      </c>
      <c r="BZ82" s="3" t="s">
        <v>117</v>
      </c>
      <c r="CC82" s="3" t="s">
        <v>127</v>
      </c>
      <c r="CD82" s="3">
        <v>6529</v>
      </c>
      <c r="CE82" s="3" t="s">
        <v>86</v>
      </c>
      <c r="CF82" s="4">
        <v>44581</v>
      </c>
      <c r="CI82" s="3">
        <v>1</v>
      </c>
      <c r="CJ82" s="3">
        <v>1</v>
      </c>
      <c r="CK82" s="3">
        <v>21</v>
      </c>
      <c r="CL82" s="3" t="s">
        <v>87</v>
      </c>
    </row>
    <row r="83" spans="1:90" x14ac:dyDescent="0.2">
      <c r="A83" s="3" t="s">
        <v>72</v>
      </c>
      <c r="B83" s="3" t="s">
        <v>73</v>
      </c>
      <c r="C83" s="3" t="s">
        <v>74</v>
      </c>
      <c r="E83" s="3" t="str">
        <f>"009941618967"</f>
        <v>009941618967</v>
      </c>
      <c r="F83" s="4">
        <v>44579</v>
      </c>
      <c r="G83" s="3">
        <v>202207</v>
      </c>
      <c r="H83" s="3" t="s">
        <v>79</v>
      </c>
      <c r="I83" s="3" t="s">
        <v>80</v>
      </c>
      <c r="J83" s="3" t="s">
        <v>77</v>
      </c>
      <c r="K83" s="3" t="s">
        <v>78</v>
      </c>
      <c r="L83" s="3" t="s">
        <v>157</v>
      </c>
      <c r="M83" s="3" t="s">
        <v>158</v>
      </c>
      <c r="N83" s="3" t="s">
        <v>77</v>
      </c>
      <c r="O83" s="3" t="s">
        <v>81</v>
      </c>
      <c r="P83" s="3" t="str">
        <f>"STORES                        "</f>
        <v xml:space="preserve">STORES           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52.06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2</v>
      </c>
      <c r="BI83" s="3">
        <v>32.200000000000003</v>
      </c>
      <c r="BJ83" s="3">
        <v>33</v>
      </c>
      <c r="BK83" s="3">
        <v>33</v>
      </c>
      <c r="BL83" s="3">
        <v>203.97</v>
      </c>
      <c r="BM83" s="3">
        <v>30.6</v>
      </c>
      <c r="BN83" s="3">
        <v>234.57</v>
      </c>
      <c r="BO83" s="3">
        <v>234.57</v>
      </c>
      <c r="BQ83" s="3" t="s">
        <v>118</v>
      </c>
      <c r="BR83" s="3" t="s">
        <v>111</v>
      </c>
      <c r="BS83" s="4">
        <v>44581</v>
      </c>
      <c r="BT83" s="5">
        <v>0.64930555555555558</v>
      </c>
      <c r="BU83" s="3" t="s">
        <v>297</v>
      </c>
      <c r="BV83" s="3" t="s">
        <v>87</v>
      </c>
      <c r="BW83" s="3" t="s">
        <v>221</v>
      </c>
      <c r="BX83" s="3" t="s">
        <v>219</v>
      </c>
      <c r="BY83" s="3">
        <v>165021.59</v>
      </c>
      <c r="BZ83" s="3" t="s">
        <v>85</v>
      </c>
      <c r="CC83" s="3" t="s">
        <v>158</v>
      </c>
      <c r="CD83" s="3">
        <v>4091</v>
      </c>
      <c r="CE83" s="3" t="s">
        <v>86</v>
      </c>
      <c r="CF83" s="4">
        <v>44582</v>
      </c>
      <c r="CI83" s="3">
        <v>1</v>
      </c>
      <c r="CJ83" s="3">
        <v>2</v>
      </c>
      <c r="CK83" s="3">
        <v>41</v>
      </c>
      <c r="CL83" s="3" t="s">
        <v>87</v>
      </c>
    </row>
    <row r="84" spans="1:90" x14ac:dyDescent="0.2">
      <c r="A84" s="3" t="s">
        <v>72</v>
      </c>
      <c r="B84" s="3" t="s">
        <v>73</v>
      </c>
      <c r="C84" s="3" t="s">
        <v>74</v>
      </c>
      <c r="E84" s="3" t="str">
        <f>"009941330906"</f>
        <v>009941330906</v>
      </c>
      <c r="F84" s="4">
        <v>44579</v>
      </c>
      <c r="G84" s="3">
        <v>202207</v>
      </c>
      <c r="H84" s="3" t="s">
        <v>79</v>
      </c>
      <c r="I84" s="3" t="s">
        <v>80</v>
      </c>
      <c r="J84" s="3" t="s">
        <v>77</v>
      </c>
      <c r="K84" s="3" t="s">
        <v>78</v>
      </c>
      <c r="L84" s="3" t="s">
        <v>144</v>
      </c>
      <c r="M84" s="3" t="s">
        <v>145</v>
      </c>
      <c r="N84" s="3" t="s">
        <v>77</v>
      </c>
      <c r="O84" s="3" t="s">
        <v>81</v>
      </c>
      <c r="P84" s="3" t="str">
        <f>"STORES                        "</f>
        <v xml:space="preserve">STORES      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264.11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109</v>
      </c>
      <c r="BJ84" s="3">
        <v>117.9</v>
      </c>
      <c r="BK84" s="3">
        <v>118</v>
      </c>
      <c r="BL84" s="3">
        <v>1013.32</v>
      </c>
      <c r="BM84" s="3">
        <v>152</v>
      </c>
      <c r="BN84" s="3">
        <v>1165.32</v>
      </c>
      <c r="BO84" s="3">
        <v>1165.32</v>
      </c>
      <c r="BQ84" s="3" t="s">
        <v>118</v>
      </c>
      <c r="BR84" s="3" t="s">
        <v>118</v>
      </c>
      <c r="BS84" s="4">
        <v>44580</v>
      </c>
      <c r="BT84" s="5">
        <v>0.45208333333333334</v>
      </c>
      <c r="BU84" s="3" t="s">
        <v>313</v>
      </c>
      <c r="BV84" s="3" t="s">
        <v>95</v>
      </c>
      <c r="BY84" s="3">
        <v>589600</v>
      </c>
      <c r="BZ84" s="3" t="s">
        <v>85</v>
      </c>
      <c r="CA84" s="3" t="s">
        <v>250</v>
      </c>
      <c r="CC84" s="3" t="s">
        <v>145</v>
      </c>
      <c r="CD84" s="3">
        <v>850</v>
      </c>
      <c r="CE84" s="3" t="s">
        <v>86</v>
      </c>
      <c r="CF84" s="4">
        <v>44580</v>
      </c>
      <c r="CI84" s="3">
        <v>1</v>
      </c>
      <c r="CJ84" s="3">
        <v>1</v>
      </c>
      <c r="CK84" s="3">
        <v>43</v>
      </c>
      <c r="CL84" s="3" t="s">
        <v>87</v>
      </c>
    </row>
    <row r="85" spans="1:90" x14ac:dyDescent="0.2">
      <c r="A85" s="3" t="s">
        <v>72</v>
      </c>
      <c r="B85" s="3" t="s">
        <v>73</v>
      </c>
      <c r="C85" s="3" t="s">
        <v>74</v>
      </c>
      <c r="E85" s="3" t="str">
        <f>"009941567762"</f>
        <v>009941567762</v>
      </c>
      <c r="F85" s="4">
        <v>44579</v>
      </c>
      <c r="G85" s="3">
        <v>202207</v>
      </c>
      <c r="H85" s="3" t="s">
        <v>79</v>
      </c>
      <c r="I85" s="3" t="s">
        <v>80</v>
      </c>
      <c r="J85" s="3" t="s">
        <v>77</v>
      </c>
      <c r="K85" s="3" t="s">
        <v>78</v>
      </c>
      <c r="L85" s="3" t="s">
        <v>101</v>
      </c>
      <c r="M85" s="3" t="s">
        <v>102</v>
      </c>
      <c r="N85" s="3" t="s">
        <v>314</v>
      </c>
      <c r="O85" s="3" t="s">
        <v>81</v>
      </c>
      <c r="P85" s="3" t="str">
        <f>"STORES                        "</f>
        <v xml:space="preserve">STORES    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42.16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1</v>
      </c>
      <c r="BI85" s="3">
        <v>8.8000000000000007</v>
      </c>
      <c r="BJ85" s="3">
        <v>10.1</v>
      </c>
      <c r="BK85" s="3">
        <v>11</v>
      </c>
      <c r="BL85" s="3">
        <v>166.16</v>
      </c>
      <c r="BM85" s="3">
        <v>24.92</v>
      </c>
      <c r="BN85" s="3">
        <v>191.08</v>
      </c>
      <c r="BO85" s="3">
        <v>191.08</v>
      </c>
      <c r="BQ85" s="3" t="s">
        <v>315</v>
      </c>
      <c r="BR85" s="3" t="s">
        <v>118</v>
      </c>
      <c r="BS85" s="4">
        <v>44582</v>
      </c>
      <c r="BT85" s="5">
        <v>0.4861111111111111</v>
      </c>
      <c r="BU85" s="3" t="s">
        <v>243</v>
      </c>
      <c r="BV85" s="3" t="s">
        <v>95</v>
      </c>
      <c r="BY85" s="3">
        <v>50657.760000000002</v>
      </c>
      <c r="BZ85" s="3" t="s">
        <v>85</v>
      </c>
      <c r="CC85" s="3" t="s">
        <v>102</v>
      </c>
      <c r="CD85" s="3">
        <v>5099</v>
      </c>
      <c r="CE85" s="3" t="s">
        <v>86</v>
      </c>
      <c r="CF85" s="4">
        <v>44582</v>
      </c>
      <c r="CI85" s="3">
        <v>3</v>
      </c>
      <c r="CJ85" s="3">
        <v>3</v>
      </c>
      <c r="CK85" s="3">
        <v>43</v>
      </c>
      <c r="CL85" s="3" t="s">
        <v>87</v>
      </c>
    </row>
    <row r="86" spans="1:90" x14ac:dyDescent="0.2">
      <c r="A86" s="3" t="s">
        <v>72</v>
      </c>
      <c r="B86" s="3" t="s">
        <v>73</v>
      </c>
      <c r="C86" s="3" t="s">
        <v>74</v>
      </c>
      <c r="E86" s="3" t="str">
        <f>"009941618899"</f>
        <v>009941618899</v>
      </c>
      <c r="F86" s="4">
        <v>44579</v>
      </c>
      <c r="G86" s="3">
        <v>202207</v>
      </c>
      <c r="H86" s="3" t="s">
        <v>79</v>
      </c>
      <c r="I86" s="3" t="s">
        <v>80</v>
      </c>
      <c r="J86" s="3" t="s">
        <v>77</v>
      </c>
      <c r="K86" s="3" t="s">
        <v>78</v>
      </c>
      <c r="L86" s="3" t="s">
        <v>123</v>
      </c>
      <c r="M86" s="3" t="s">
        <v>124</v>
      </c>
      <c r="N86" s="3" t="s">
        <v>77</v>
      </c>
      <c r="O86" s="3" t="s">
        <v>115</v>
      </c>
      <c r="P86" s="3" t="str">
        <f>"STORES                        "</f>
        <v xml:space="preserve">STORES    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43.47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0.2</v>
      </c>
      <c r="BJ86" s="3">
        <v>2.6</v>
      </c>
      <c r="BK86" s="3">
        <v>3</v>
      </c>
      <c r="BL86" s="3">
        <v>165.93</v>
      </c>
      <c r="BM86" s="3">
        <v>24.89</v>
      </c>
      <c r="BN86" s="3">
        <v>190.82</v>
      </c>
      <c r="BO86" s="3">
        <v>190.82</v>
      </c>
      <c r="BQ86" s="3" t="s">
        <v>118</v>
      </c>
      <c r="BR86" s="3" t="s">
        <v>111</v>
      </c>
      <c r="BS86" s="4">
        <v>44580</v>
      </c>
      <c r="BT86" s="5">
        <v>0.4375</v>
      </c>
      <c r="BU86" s="3" t="s">
        <v>316</v>
      </c>
      <c r="BV86" s="3" t="s">
        <v>95</v>
      </c>
      <c r="BY86" s="3">
        <v>12846.2</v>
      </c>
      <c r="BZ86" s="3" t="s">
        <v>117</v>
      </c>
      <c r="CA86" s="3" t="s">
        <v>203</v>
      </c>
      <c r="CC86" s="3" t="s">
        <v>124</v>
      </c>
      <c r="CD86" s="3">
        <v>1034</v>
      </c>
      <c r="CE86" s="3" t="s">
        <v>86</v>
      </c>
      <c r="CF86" s="4">
        <v>44580</v>
      </c>
      <c r="CI86" s="3">
        <v>1</v>
      </c>
      <c r="CJ86" s="3">
        <v>1</v>
      </c>
      <c r="CK86" s="3">
        <v>23</v>
      </c>
      <c r="CL86" s="3" t="s">
        <v>87</v>
      </c>
    </row>
    <row r="87" spans="1:90" x14ac:dyDescent="0.2">
      <c r="A87" s="3" t="s">
        <v>72</v>
      </c>
      <c r="B87" s="3" t="s">
        <v>73</v>
      </c>
      <c r="C87" s="3" t="s">
        <v>74</v>
      </c>
      <c r="E87" s="3" t="str">
        <f>"009941247512"</f>
        <v>009941247512</v>
      </c>
      <c r="F87" s="4">
        <v>44578</v>
      </c>
      <c r="G87" s="3">
        <v>202207</v>
      </c>
      <c r="H87" s="3" t="s">
        <v>317</v>
      </c>
      <c r="I87" s="3" t="s">
        <v>318</v>
      </c>
      <c r="J87" s="3" t="s">
        <v>77</v>
      </c>
      <c r="K87" s="3" t="s">
        <v>78</v>
      </c>
      <c r="L87" s="3" t="s">
        <v>79</v>
      </c>
      <c r="M87" s="3" t="s">
        <v>80</v>
      </c>
      <c r="N87" s="3" t="s">
        <v>319</v>
      </c>
      <c r="O87" s="3" t="s">
        <v>81</v>
      </c>
      <c r="P87" s="3" t="str">
        <f>"                              "</f>
        <v xml:space="preserve">            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57.24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19</v>
      </c>
      <c r="BJ87" s="3">
        <v>21.6</v>
      </c>
      <c r="BK87" s="3">
        <v>22</v>
      </c>
      <c r="BL87" s="3">
        <v>223.73</v>
      </c>
      <c r="BM87" s="3">
        <v>33.56</v>
      </c>
      <c r="BN87" s="3">
        <v>257.29000000000002</v>
      </c>
      <c r="BO87" s="3">
        <v>257.29000000000002</v>
      </c>
      <c r="BS87" s="4">
        <v>44579</v>
      </c>
      <c r="BT87" s="5">
        <v>0.4694444444444445</v>
      </c>
      <c r="BU87" s="3" t="s">
        <v>137</v>
      </c>
      <c r="BV87" s="3" t="s">
        <v>95</v>
      </c>
      <c r="BY87" s="3">
        <v>108000</v>
      </c>
      <c r="BZ87" s="3" t="s">
        <v>85</v>
      </c>
      <c r="CA87" s="3" t="s">
        <v>136</v>
      </c>
      <c r="CC87" s="3" t="s">
        <v>80</v>
      </c>
      <c r="CD87" s="3">
        <v>2146</v>
      </c>
      <c r="CE87" s="3" t="s">
        <v>86</v>
      </c>
      <c r="CF87" s="4">
        <v>44579</v>
      </c>
      <c r="CI87" s="3">
        <v>1</v>
      </c>
      <c r="CJ87" s="3">
        <v>1</v>
      </c>
      <c r="CK87" s="3">
        <v>43</v>
      </c>
      <c r="CL87" s="3" t="s">
        <v>87</v>
      </c>
    </row>
    <row r="88" spans="1:90" x14ac:dyDescent="0.2">
      <c r="A88" s="3" t="s">
        <v>72</v>
      </c>
      <c r="B88" s="3" t="s">
        <v>73</v>
      </c>
      <c r="C88" s="3" t="s">
        <v>74</v>
      </c>
      <c r="E88" s="3" t="str">
        <f>"009941258069"</f>
        <v>009941258069</v>
      </c>
      <c r="F88" s="4">
        <v>44578</v>
      </c>
      <c r="G88" s="3">
        <v>202207</v>
      </c>
      <c r="H88" s="3" t="s">
        <v>177</v>
      </c>
      <c r="I88" s="3" t="s">
        <v>178</v>
      </c>
      <c r="J88" s="3" t="s">
        <v>92</v>
      </c>
      <c r="K88" s="3" t="s">
        <v>78</v>
      </c>
      <c r="L88" s="3" t="s">
        <v>103</v>
      </c>
      <c r="M88" s="3" t="s">
        <v>104</v>
      </c>
      <c r="N88" s="3" t="s">
        <v>92</v>
      </c>
      <c r="O88" s="3" t="s">
        <v>81</v>
      </c>
      <c r="P88" s="3" t="str">
        <f>"                              "</f>
        <v xml:space="preserve">            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108.73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3</v>
      </c>
      <c r="BI88" s="3">
        <v>57</v>
      </c>
      <c r="BJ88" s="3">
        <v>78.400000000000006</v>
      </c>
      <c r="BK88" s="3">
        <v>79</v>
      </c>
      <c r="BL88" s="3">
        <v>420.26</v>
      </c>
      <c r="BM88" s="3">
        <v>63.04</v>
      </c>
      <c r="BN88" s="3">
        <v>483.3</v>
      </c>
      <c r="BO88" s="3">
        <v>483.3</v>
      </c>
      <c r="BQ88" s="3" t="s">
        <v>181</v>
      </c>
      <c r="BR88" s="3" t="s">
        <v>182</v>
      </c>
      <c r="BS88" s="4">
        <v>44580</v>
      </c>
      <c r="BT88" s="5">
        <v>0.39166666666666666</v>
      </c>
      <c r="BU88" s="3" t="s">
        <v>295</v>
      </c>
      <c r="BV88" s="3" t="s">
        <v>87</v>
      </c>
      <c r="BW88" s="3" t="s">
        <v>221</v>
      </c>
      <c r="BX88" s="3" t="s">
        <v>219</v>
      </c>
      <c r="BY88" s="3">
        <v>391896</v>
      </c>
      <c r="BZ88" s="3" t="s">
        <v>85</v>
      </c>
      <c r="CA88" s="3" t="s">
        <v>296</v>
      </c>
      <c r="CC88" s="3" t="s">
        <v>104</v>
      </c>
      <c r="CD88" s="3">
        <v>6000</v>
      </c>
      <c r="CE88" s="3" t="s">
        <v>320</v>
      </c>
      <c r="CF88" s="4">
        <v>44581</v>
      </c>
      <c r="CI88" s="3">
        <v>1</v>
      </c>
      <c r="CJ88" s="3">
        <v>2</v>
      </c>
      <c r="CK88" s="3">
        <v>41</v>
      </c>
      <c r="CL88" s="3" t="s">
        <v>87</v>
      </c>
    </row>
    <row r="89" spans="1:90" x14ac:dyDescent="0.2">
      <c r="A89" s="3" t="s">
        <v>72</v>
      </c>
      <c r="B89" s="3" t="s">
        <v>73</v>
      </c>
      <c r="C89" s="3" t="s">
        <v>74</v>
      </c>
      <c r="E89" s="3" t="str">
        <f>"009941300749"</f>
        <v>009941300749</v>
      </c>
      <c r="F89" s="4">
        <v>44579</v>
      </c>
      <c r="G89" s="3">
        <v>202207</v>
      </c>
      <c r="H89" s="3" t="s">
        <v>75</v>
      </c>
      <c r="I89" s="3" t="s">
        <v>76</v>
      </c>
      <c r="J89" s="3" t="s">
        <v>77</v>
      </c>
      <c r="K89" s="3" t="s">
        <v>78</v>
      </c>
      <c r="L89" s="3" t="s">
        <v>132</v>
      </c>
      <c r="M89" s="3" t="s">
        <v>133</v>
      </c>
      <c r="N89" s="3" t="s">
        <v>77</v>
      </c>
      <c r="O89" s="3" t="s">
        <v>81</v>
      </c>
      <c r="P89" s="3" t="str">
        <f>"                              "</f>
        <v xml:space="preserve">               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42.16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15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4.3</v>
      </c>
      <c r="BJ89" s="3">
        <v>2.9</v>
      </c>
      <c r="BK89" s="3">
        <v>5</v>
      </c>
      <c r="BL89" s="3">
        <v>181.16</v>
      </c>
      <c r="BM89" s="3">
        <v>27.17</v>
      </c>
      <c r="BN89" s="3">
        <v>208.33</v>
      </c>
      <c r="BO89" s="3">
        <v>208.33</v>
      </c>
      <c r="BQ89" s="3" t="s">
        <v>321</v>
      </c>
      <c r="BR89" s="3" t="s">
        <v>83</v>
      </c>
      <c r="BS89" s="4">
        <v>44580</v>
      </c>
      <c r="BT89" s="5">
        <v>0.64652777777777781</v>
      </c>
      <c r="BU89" s="3" t="s">
        <v>322</v>
      </c>
      <c r="BV89" s="3" t="s">
        <v>95</v>
      </c>
      <c r="BY89" s="3">
        <v>14400</v>
      </c>
      <c r="BZ89" s="3" t="s">
        <v>230</v>
      </c>
      <c r="CA89" s="3" t="s">
        <v>323</v>
      </c>
      <c r="CC89" s="3" t="s">
        <v>133</v>
      </c>
      <c r="CD89" s="3">
        <v>2001</v>
      </c>
      <c r="CE89" s="3" t="s">
        <v>86</v>
      </c>
      <c r="CF89" s="4">
        <v>44585</v>
      </c>
      <c r="CI89" s="3">
        <v>2</v>
      </c>
      <c r="CJ89" s="3">
        <v>1</v>
      </c>
      <c r="CK89" s="3">
        <v>43</v>
      </c>
      <c r="CL89" s="3" t="s">
        <v>87</v>
      </c>
    </row>
    <row r="90" spans="1:90" x14ac:dyDescent="0.2">
      <c r="A90" s="3" t="s">
        <v>72</v>
      </c>
      <c r="B90" s="3" t="s">
        <v>73</v>
      </c>
      <c r="C90" s="3" t="s">
        <v>74</v>
      </c>
      <c r="E90" s="3" t="str">
        <f>"009941300748"</f>
        <v>009941300748</v>
      </c>
      <c r="F90" s="4">
        <v>44579</v>
      </c>
      <c r="G90" s="3">
        <v>202207</v>
      </c>
      <c r="H90" s="3" t="s">
        <v>75</v>
      </c>
      <c r="I90" s="3" t="s">
        <v>76</v>
      </c>
      <c r="J90" s="3" t="s">
        <v>77</v>
      </c>
      <c r="K90" s="3" t="s">
        <v>78</v>
      </c>
      <c r="L90" s="3" t="s">
        <v>289</v>
      </c>
      <c r="M90" s="3" t="s">
        <v>290</v>
      </c>
      <c r="N90" s="3" t="s">
        <v>291</v>
      </c>
      <c r="O90" s="3" t="s">
        <v>81</v>
      </c>
      <c r="P90" s="3" t="str">
        <f>"                              "</f>
        <v xml:space="preserve">                 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42.16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1</v>
      </c>
      <c r="BI90" s="3">
        <v>1</v>
      </c>
      <c r="BJ90" s="3">
        <v>0.2</v>
      </c>
      <c r="BK90" s="3">
        <v>1</v>
      </c>
      <c r="BL90" s="3">
        <v>166.16</v>
      </c>
      <c r="BM90" s="3">
        <v>24.92</v>
      </c>
      <c r="BN90" s="3">
        <v>191.08</v>
      </c>
      <c r="BO90" s="3">
        <v>191.08</v>
      </c>
      <c r="BQ90" s="3" t="s">
        <v>324</v>
      </c>
      <c r="BR90" s="3" t="s">
        <v>83</v>
      </c>
      <c r="BS90" s="4">
        <v>44580</v>
      </c>
      <c r="BT90" s="5">
        <v>0.33819444444444446</v>
      </c>
      <c r="BU90" s="3" t="s">
        <v>325</v>
      </c>
      <c r="BV90" s="3" t="s">
        <v>95</v>
      </c>
      <c r="BY90" s="3">
        <v>1200</v>
      </c>
      <c r="BZ90" s="3" t="s">
        <v>85</v>
      </c>
      <c r="CA90" s="3" t="s">
        <v>326</v>
      </c>
      <c r="CC90" s="3" t="s">
        <v>290</v>
      </c>
      <c r="CD90" s="3">
        <v>2194</v>
      </c>
      <c r="CE90" s="3" t="s">
        <v>86</v>
      </c>
      <c r="CF90" s="4">
        <v>44580</v>
      </c>
      <c r="CI90" s="3">
        <v>2</v>
      </c>
      <c r="CJ90" s="3">
        <v>1</v>
      </c>
      <c r="CK90" s="3">
        <v>43</v>
      </c>
      <c r="CL90" s="3" t="s">
        <v>87</v>
      </c>
    </row>
    <row r="91" spans="1:90" x14ac:dyDescent="0.2">
      <c r="A91" s="3" t="s">
        <v>72</v>
      </c>
      <c r="B91" s="3" t="s">
        <v>73</v>
      </c>
      <c r="C91" s="3" t="s">
        <v>74</v>
      </c>
      <c r="E91" s="3" t="str">
        <f>"009941856383"</f>
        <v>009941856383</v>
      </c>
      <c r="F91" s="4">
        <v>44579</v>
      </c>
      <c r="G91" s="3">
        <v>202207</v>
      </c>
      <c r="H91" s="3" t="s">
        <v>79</v>
      </c>
      <c r="I91" s="3" t="s">
        <v>80</v>
      </c>
      <c r="J91" s="3" t="s">
        <v>77</v>
      </c>
      <c r="K91" s="3" t="s">
        <v>78</v>
      </c>
      <c r="L91" s="3" t="s">
        <v>123</v>
      </c>
      <c r="M91" s="3" t="s">
        <v>124</v>
      </c>
      <c r="N91" s="3" t="s">
        <v>77</v>
      </c>
      <c r="O91" s="3" t="s">
        <v>115</v>
      </c>
      <c r="P91" s="3" t="str">
        <f>"STORES                        "</f>
        <v xml:space="preserve">STORES   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36.71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0.9</v>
      </c>
      <c r="BJ91" s="3">
        <v>2.4</v>
      </c>
      <c r="BK91" s="3">
        <v>2.5</v>
      </c>
      <c r="BL91" s="3">
        <v>140.12</v>
      </c>
      <c r="BM91" s="3">
        <v>21.02</v>
      </c>
      <c r="BN91" s="3">
        <v>161.13999999999999</v>
      </c>
      <c r="BO91" s="3">
        <v>161.13999999999999</v>
      </c>
      <c r="BQ91" s="3" t="s">
        <v>118</v>
      </c>
      <c r="BR91" s="3" t="s">
        <v>327</v>
      </c>
      <c r="BS91" s="4">
        <v>44580</v>
      </c>
      <c r="BT91" s="5">
        <v>0.4375</v>
      </c>
      <c r="BU91" s="3" t="s">
        <v>316</v>
      </c>
      <c r="BV91" s="3" t="s">
        <v>95</v>
      </c>
      <c r="BY91" s="3">
        <v>11982.24</v>
      </c>
      <c r="BZ91" s="3" t="s">
        <v>117</v>
      </c>
      <c r="CA91" s="3" t="s">
        <v>203</v>
      </c>
      <c r="CC91" s="3" t="s">
        <v>124</v>
      </c>
      <c r="CD91" s="3">
        <v>1034</v>
      </c>
      <c r="CE91" s="3" t="s">
        <v>86</v>
      </c>
      <c r="CF91" s="4">
        <v>44580</v>
      </c>
      <c r="CI91" s="3">
        <v>1</v>
      </c>
      <c r="CJ91" s="3">
        <v>1</v>
      </c>
      <c r="CK91" s="3">
        <v>23</v>
      </c>
      <c r="CL91" s="3" t="s">
        <v>87</v>
      </c>
    </row>
    <row r="92" spans="1:90" x14ac:dyDescent="0.2">
      <c r="A92" s="3" t="s">
        <v>72</v>
      </c>
      <c r="B92" s="3" t="s">
        <v>73</v>
      </c>
      <c r="C92" s="3" t="s">
        <v>74</v>
      </c>
      <c r="E92" s="3" t="str">
        <f>"009941567761"</f>
        <v>009941567761</v>
      </c>
      <c r="F92" s="4">
        <v>44579</v>
      </c>
      <c r="G92" s="3">
        <v>202207</v>
      </c>
      <c r="H92" s="3" t="s">
        <v>79</v>
      </c>
      <c r="I92" s="3" t="s">
        <v>80</v>
      </c>
      <c r="J92" s="3" t="s">
        <v>77</v>
      </c>
      <c r="K92" s="3" t="s">
        <v>78</v>
      </c>
      <c r="L92" s="3" t="s">
        <v>328</v>
      </c>
      <c r="M92" s="3" t="s">
        <v>329</v>
      </c>
      <c r="N92" s="3" t="s">
        <v>330</v>
      </c>
      <c r="O92" s="3" t="s">
        <v>115</v>
      </c>
      <c r="P92" s="3" t="str">
        <f>"STORES                        "</f>
        <v xml:space="preserve">STORES   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29.95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0.2</v>
      </c>
      <c r="BJ92" s="3">
        <v>1.3</v>
      </c>
      <c r="BK92" s="3">
        <v>1.5</v>
      </c>
      <c r="BL92" s="3">
        <v>114.31</v>
      </c>
      <c r="BM92" s="3">
        <v>17.149999999999999</v>
      </c>
      <c r="BN92" s="3">
        <v>131.46</v>
      </c>
      <c r="BO92" s="3">
        <v>131.46</v>
      </c>
      <c r="BQ92" s="3" t="s">
        <v>118</v>
      </c>
      <c r="BR92" s="3" t="s">
        <v>118</v>
      </c>
      <c r="BS92" s="4">
        <v>44581</v>
      </c>
      <c r="BT92" s="5">
        <v>0.48749999999999999</v>
      </c>
      <c r="BU92" s="3" t="s">
        <v>331</v>
      </c>
      <c r="BV92" s="3" t="s">
        <v>87</v>
      </c>
      <c r="BW92" s="3" t="s">
        <v>221</v>
      </c>
      <c r="BX92" s="3" t="s">
        <v>215</v>
      </c>
      <c r="BY92" s="3">
        <v>6520.18</v>
      </c>
      <c r="BZ92" s="3" t="s">
        <v>117</v>
      </c>
      <c r="CA92" s="3" t="s">
        <v>332</v>
      </c>
      <c r="CC92" s="3" t="s">
        <v>329</v>
      </c>
      <c r="CD92" s="3">
        <v>4399</v>
      </c>
      <c r="CE92" s="3" t="s">
        <v>86</v>
      </c>
      <c r="CF92" s="4">
        <v>44582</v>
      </c>
      <c r="CI92" s="3">
        <v>1</v>
      </c>
      <c r="CJ92" s="3">
        <v>2</v>
      </c>
      <c r="CK92" s="3">
        <v>23</v>
      </c>
      <c r="CL92" s="3" t="s">
        <v>87</v>
      </c>
    </row>
    <row r="93" spans="1:90" x14ac:dyDescent="0.2">
      <c r="A93" s="3" t="s">
        <v>72</v>
      </c>
      <c r="B93" s="3" t="s">
        <v>73</v>
      </c>
      <c r="C93" s="3" t="s">
        <v>74</v>
      </c>
      <c r="E93" s="3" t="str">
        <f>"009940956593"</f>
        <v>009940956593</v>
      </c>
      <c r="F93" s="4">
        <v>44579</v>
      </c>
      <c r="G93" s="3">
        <v>202207</v>
      </c>
      <c r="H93" s="3" t="s">
        <v>79</v>
      </c>
      <c r="I93" s="3" t="s">
        <v>80</v>
      </c>
      <c r="J93" s="3" t="s">
        <v>77</v>
      </c>
      <c r="K93" s="3" t="s">
        <v>78</v>
      </c>
      <c r="L93" s="3" t="s">
        <v>112</v>
      </c>
      <c r="M93" s="3" t="s">
        <v>113</v>
      </c>
      <c r="N93" s="3" t="s">
        <v>77</v>
      </c>
      <c r="O93" s="3" t="s">
        <v>115</v>
      </c>
      <c r="P93" s="3" t="str">
        <f>"STORES                        "</f>
        <v xml:space="preserve">STORES       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29.95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0.2</v>
      </c>
      <c r="BJ93" s="3">
        <v>2</v>
      </c>
      <c r="BK93" s="3">
        <v>2</v>
      </c>
      <c r="BL93" s="3">
        <v>114.31</v>
      </c>
      <c r="BM93" s="3">
        <v>17.149999999999999</v>
      </c>
      <c r="BN93" s="3">
        <v>131.46</v>
      </c>
      <c r="BO93" s="3">
        <v>131.46</v>
      </c>
      <c r="BP93" s="3">
        <v>9941856383</v>
      </c>
      <c r="BQ93" s="3" t="s">
        <v>116</v>
      </c>
      <c r="BR93" s="3" t="s">
        <v>111</v>
      </c>
      <c r="BS93" s="4">
        <v>44580</v>
      </c>
      <c r="BT93" s="5">
        <v>0.4236111111111111</v>
      </c>
      <c r="BU93" s="3" t="s">
        <v>235</v>
      </c>
      <c r="BV93" s="3" t="s">
        <v>95</v>
      </c>
      <c r="BY93" s="3">
        <v>9769.48</v>
      </c>
      <c r="BZ93" s="3" t="s">
        <v>117</v>
      </c>
      <c r="CA93" s="3" t="s">
        <v>236</v>
      </c>
      <c r="CC93" s="3" t="s">
        <v>113</v>
      </c>
      <c r="CD93" s="3">
        <v>299</v>
      </c>
      <c r="CE93" s="3" t="s">
        <v>86</v>
      </c>
      <c r="CF93" s="4">
        <v>44580</v>
      </c>
      <c r="CI93" s="3">
        <v>1</v>
      </c>
      <c r="CJ93" s="3">
        <v>1</v>
      </c>
      <c r="CK93" s="3">
        <v>23</v>
      </c>
      <c r="CL93" s="3" t="s">
        <v>87</v>
      </c>
    </row>
    <row r="94" spans="1:90" x14ac:dyDescent="0.2">
      <c r="A94" s="3" t="s">
        <v>72</v>
      </c>
      <c r="B94" s="3" t="s">
        <v>73</v>
      </c>
      <c r="C94" s="3" t="s">
        <v>74</v>
      </c>
      <c r="E94" s="3" t="str">
        <f>"009941050340"</f>
        <v>009941050340</v>
      </c>
      <c r="F94" s="4">
        <v>44579</v>
      </c>
      <c r="G94" s="3">
        <v>202207</v>
      </c>
      <c r="H94" s="3" t="s">
        <v>157</v>
      </c>
      <c r="I94" s="3" t="s">
        <v>158</v>
      </c>
      <c r="J94" s="3" t="s">
        <v>151</v>
      </c>
      <c r="K94" s="3" t="s">
        <v>78</v>
      </c>
      <c r="L94" s="3" t="s">
        <v>132</v>
      </c>
      <c r="M94" s="3" t="s">
        <v>133</v>
      </c>
      <c r="N94" s="3" t="s">
        <v>77</v>
      </c>
      <c r="O94" s="3" t="s">
        <v>81</v>
      </c>
      <c r="P94" s="3" t="str">
        <f>"                              "</f>
        <v xml:space="preserve">            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29.89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1</v>
      </c>
      <c r="BI94" s="3">
        <v>9</v>
      </c>
      <c r="BJ94" s="3">
        <v>7.8</v>
      </c>
      <c r="BK94" s="3">
        <v>9</v>
      </c>
      <c r="BL94" s="3">
        <v>119.34</v>
      </c>
      <c r="BM94" s="3">
        <v>17.899999999999999</v>
      </c>
      <c r="BN94" s="3">
        <v>137.24</v>
      </c>
      <c r="BO94" s="3">
        <v>137.24</v>
      </c>
      <c r="BQ94" s="3" t="s">
        <v>99</v>
      </c>
      <c r="BR94" s="3" t="s">
        <v>333</v>
      </c>
      <c r="BS94" s="4">
        <v>44580</v>
      </c>
      <c r="BT94" s="5">
        <v>0.66805555555555562</v>
      </c>
      <c r="BU94" s="3" t="s">
        <v>238</v>
      </c>
      <c r="BV94" s="3" t="s">
        <v>95</v>
      </c>
      <c r="BY94" s="3">
        <v>39235</v>
      </c>
      <c r="BZ94" s="3" t="s">
        <v>85</v>
      </c>
      <c r="CA94" s="3" t="s">
        <v>210</v>
      </c>
      <c r="CC94" s="3" t="s">
        <v>133</v>
      </c>
      <c r="CD94" s="3">
        <v>2090</v>
      </c>
      <c r="CE94" s="3" t="s">
        <v>86</v>
      </c>
      <c r="CF94" s="4">
        <v>44580</v>
      </c>
      <c r="CI94" s="3">
        <v>1</v>
      </c>
      <c r="CJ94" s="3">
        <v>1</v>
      </c>
      <c r="CK94" s="3">
        <v>41</v>
      </c>
      <c r="CL94" s="3" t="s">
        <v>87</v>
      </c>
    </row>
    <row r="95" spans="1:90" x14ac:dyDescent="0.2">
      <c r="A95" s="3" t="s">
        <v>72</v>
      </c>
      <c r="B95" s="3" t="s">
        <v>73</v>
      </c>
      <c r="C95" s="3" t="s">
        <v>74</v>
      </c>
      <c r="E95" s="3" t="str">
        <f>"080010368642"</f>
        <v>080010368642</v>
      </c>
      <c r="F95" s="4">
        <v>44579</v>
      </c>
      <c r="G95" s="3">
        <v>202207</v>
      </c>
      <c r="H95" s="3" t="s">
        <v>289</v>
      </c>
      <c r="I95" s="3" t="s">
        <v>290</v>
      </c>
      <c r="J95" s="3" t="s">
        <v>291</v>
      </c>
      <c r="K95" s="3" t="s">
        <v>78</v>
      </c>
      <c r="L95" s="3" t="s">
        <v>132</v>
      </c>
      <c r="M95" s="3" t="s">
        <v>133</v>
      </c>
      <c r="N95" s="3" t="s">
        <v>273</v>
      </c>
      <c r="O95" s="3" t="s">
        <v>115</v>
      </c>
      <c r="P95" s="3" t="str">
        <f>"Locks                         "</f>
        <v xml:space="preserve">Locks    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12.07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1</v>
      </c>
      <c r="BJ95" s="3">
        <v>0.2</v>
      </c>
      <c r="BK95" s="3">
        <v>1</v>
      </c>
      <c r="BL95" s="3">
        <v>46.08</v>
      </c>
      <c r="BM95" s="3">
        <v>6.91</v>
      </c>
      <c r="BN95" s="3">
        <v>52.99</v>
      </c>
      <c r="BO95" s="3">
        <v>52.99</v>
      </c>
      <c r="BP95" s="3" t="s">
        <v>84</v>
      </c>
      <c r="BQ95" s="3" t="s">
        <v>279</v>
      </c>
      <c r="BR95" s="3" t="s">
        <v>292</v>
      </c>
      <c r="BS95" s="4">
        <v>44580</v>
      </c>
      <c r="BT95" s="5">
        <v>0.41041666666666665</v>
      </c>
      <c r="BU95" s="3" t="s">
        <v>334</v>
      </c>
      <c r="BV95" s="3" t="s">
        <v>95</v>
      </c>
      <c r="BY95" s="3">
        <v>1200</v>
      </c>
      <c r="BZ95" s="3" t="s">
        <v>117</v>
      </c>
      <c r="CA95" s="3" t="s">
        <v>335</v>
      </c>
      <c r="CC95" s="3" t="s">
        <v>133</v>
      </c>
      <c r="CD95" s="3">
        <v>2196</v>
      </c>
      <c r="CE95" s="3" t="s">
        <v>282</v>
      </c>
      <c r="CF95" s="4">
        <v>44580</v>
      </c>
      <c r="CI95" s="3">
        <v>1</v>
      </c>
      <c r="CJ95" s="3">
        <v>1</v>
      </c>
      <c r="CK95" s="3">
        <v>22</v>
      </c>
      <c r="CL95" s="3" t="s">
        <v>87</v>
      </c>
    </row>
    <row r="96" spans="1:90" x14ac:dyDescent="0.2">
      <c r="A96" s="3" t="s">
        <v>72</v>
      </c>
      <c r="B96" s="3" t="s">
        <v>73</v>
      </c>
      <c r="C96" s="3" t="s">
        <v>74</v>
      </c>
      <c r="E96" s="3" t="str">
        <f>"009940956731"</f>
        <v>009940956731</v>
      </c>
      <c r="F96" s="4">
        <v>44579</v>
      </c>
      <c r="G96" s="3">
        <v>202207</v>
      </c>
      <c r="H96" s="3" t="s">
        <v>79</v>
      </c>
      <c r="I96" s="3" t="s">
        <v>80</v>
      </c>
      <c r="J96" s="3" t="s">
        <v>77</v>
      </c>
      <c r="K96" s="3" t="s">
        <v>78</v>
      </c>
      <c r="L96" s="3" t="s">
        <v>90</v>
      </c>
      <c r="M96" s="3" t="s">
        <v>91</v>
      </c>
      <c r="N96" s="3" t="s">
        <v>77</v>
      </c>
      <c r="O96" s="3" t="s">
        <v>115</v>
      </c>
      <c r="P96" s="3" t="str">
        <f>"STORES                        "</f>
        <v xml:space="preserve">STORES   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19.32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1.2</v>
      </c>
      <c r="BJ96" s="3">
        <v>2.1</v>
      </c>
      <c r="BK96" s="3">
        <v>2.5</v>
      </c>
      <c r="BL96" s="3">
        <v>73.739999999999995</v>
      </c>
      <c r="BM96" s="3">
        <v>11.06</v>
      </c>
      <c r="BN96" s="3">
        <v>84.8</v>
      </c>
      <c r="BO96" s="3">
        <v>84.8</v>
      </c>
      <c r="BQ96" s="3" t="s">
        <v>336</v>
      </c>
      <c r="BR96" s="3" t="s">
        <v>111</v>
      </c>
      <c r="BS96" s="4">
        <v>44580</v>
      </c>
      <c r="BT96" s="5">
        <v>0.42152777777777778</v>
      </c>
      <c r="BU96" s="3" t="s">
        <v>94</v>
      </c>
      <c r="BV96" s="3" t="s">
        <v>95</v>
      </c>
      <c r="BY96" s="3">
        <v>10262.02</v>
      </c>
      <c r="BZ96" s="3" t="s">
        <v>117</v>
      </c>
      <c r="CA96" s="3" t="s">
        <v>96</v>
      </c>
      <c r="CC96" s="3" t="s">
        <v>91</v>
      </c>
      <c r="CD96" s="3">
        <v>699</v>
      </c>
      <c r="CE96" s="3" t="s">
        <v>86</v>
      </c>
      <c r="CF96" s="4">
        <v>44580</v>
      </c>
      <c r="CI96" s="3">
        <v>1</v>
      </c>
      <c r="CJ96" s="3">
        <v>1</v>
      </c>
      <c r="CK96" s="3">
        <v>21</v>
      </c>
      <c r="CL96" s="3" t="s">
        <v>87</v>
      </c>
    </row>
    <row r="97" spans="1:90" x14ac:dyDescent="0.2">
      <c r="A97" s="3" t="s">
        <v>72</v>
      </c>
      <c r="B97" s="3" t="s">
        <v>73</v>
      </c>
      <c r="C97" s="3" t="s">
        <v>74</v>
      </c>
      <c r="E97" s="3" t="str">
        <f>"009940900592"</f>
        <v>009940900592</v>
      </c>
      <c r="F97" s="4">
        <v>44578</v>
      </c>
      <c r="G97" s="3">
        <v>202207</v>
      </c>
      <c r="H97" s="3" t="s">
        <v>90</v>
      </c>
      <c r="I97" s="3" t="s">
        <v>91</v>
      </c>
      <c r="J97" s="3" t="s">
        <v>77</v>
      </c>
      <c r="K97" s="3" t="s">
        <v>78</v>
      </c>
      <c r="L97" s="3" t="s">
        <v>79</v>
      </c>
      <c r="M97" s="3" t="s">
        <v>80</v>
      </c>
      <c r="N97" s="3" t="s">
        <v>337</v>
      </c>
      <c r="O97" s="3" t="s">
        <v>81</v>
      </c>
      <c r="P97" s="3" t="str">
        <f>"                              "</f>
        <v xml:space="preserve">        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108.73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2</v>
      </c>
      <c r="BI97" s="3">
        <v>44</v>
      </c>
      <c r="BJ97" s="3">
        <v>79</v>
      </c>
      <c r="BK97" s="3">
        <v>79</v>
      </c>
      <c r="BL97" s="3">
        <v>420.26</v>
      </c>
      <c r="BM97" s="3">
        <v>63.04</v>
      </c>
      <c r="BN97" s="3">
        <v>483.3</v>
      </c>
      <c r="BO97" s="3">
        <v>483.3</v>
      </c>
      <c r="BQ97" s="3" t="s">
        <v>338</v>
      </c>
      <c r="BS97" s="4">
        <v>44579</v>
      </c>
      <c r="BT97" s="5">
        <v>0.47013888888888888</v>
      </c>
      <c r="BU97" s="3" t="s">
        <v>137</v>
      </c>
      <c r="BV97" s="3" t="s">
        <v>95</v>
      </c>
      <c r="BY97" s="3">
        <v>394875</v>
      </c>
      <c r="BZ97" s="3" t="s">
        <v>85</v>
      </c>
      <c r="CA97" s="3" t="s">
        <v>136</v>
      </c>
      <c r="CC97" s="3" t="s">
        <v>80</v>
      </c>
      <c r="CD97" s="3">
        <v>2146</v>
      </c>
      <c r="CE97" s="3" t="s">
        <v>86</v>
      </c>
      <c r="CF97" s="4">
        <v>44579</v>
      </c>
      <c r="CI97" s="3">
        <v>1</v>
      </c>
      <c r="CJ97" s="3">
        <v>1</v>
      </c>
      <c r="CK97" s="3">
        <v>41</v>
      </c>
      <c r="CL97" s="3" t="s">
        <v>87</v>
      </c>
    </row>
    <row r="98" spans="1:90" x14ac:dyDescent="0.2">
      <c r="A98" s="3" t="s">
        <v>72</v>
      </c>
      <c r="B98" s="3" t="s">
        <v>73</v>
      </c>
      <c r="C98" s="3" t="s">
        <v>74</v>
      </c>
      <c r="E98" s="3" t="str">
        <f>"009941171604"</f>
        <v>009941171604</v>
      </c>
      <c r="F98" s="4">
        <v>44578</v>
      </c>
      <c r="G98" s="3">
        <v>202207</v>
      </c>
      <c r="H98" s="3" t="s">
        <v>79</v>
      </c>
      <c r="I98" s="3" t="s">
        <v>80</v>
      </c>
      <c r="J98" s="3" t="s">
        <v>77</v>
      </c>
      <c r="K98" s="3" t="s">
        <v>78</v>
      </c>
      <c r="L98" s="3" t="s">
        <v>188</v>
      </c>
      <c r="M98" s="3" t="s">
        <v>189</v>
      </c>
      <c r="N98" s="3" t="s">
        <v>286</v>
      </c>
      <c r="O98" s="3" t="s">
        <v>115</v>
      </c>
      <c r="P98" s="3" t="str">
        <f>"STORES                        "</f>
        <v xml:space="preserve">STORES  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104.34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1</v>
      </c>
      <c r="BJ98" s="3">
        <v>7.1</v>
      </c>
      <c r="BK98" s="3">
        <v>7.5</v>
      </c>
      <c r="BL98" s="3">
        <v>398.25</v>
      </c>
      <c r="BM98" s="3">
        <v>59.74</v>
      </c>
      <c r="BN98" s="3">
        <v>457.99</v>
      </c>
      <c r="BO98" s="3">
        <v>457.99</v>
      </c>
      <c r="BQ98" s="3" t="s">
        <v>339</v>
      </c>
      <c r="BR98" s="3" t="s">
        <v>111</v>
      </c>
      <c r="BS98" s="4">
        <v>44580</v>
      </c>
      <c r="BT98" s="5">
        <v>0.625</v>
      </c>
      <c r="BU98" s="3" t="s">
        <v>340</v>
      </c>
      <c r="BV98" s="3" t="s">
        <v>95</v>
      </c>
      <c r="BY98" s="3">
        <v>35568.35</v>
      </c>
      <c r="BZ98" s="3" t="s">
        <v>117</v>
      </c>
      <c r="CC98" s="3" t="s">
        <v>189</v>
      </c>
      <c r="CD98" s="3">
        <v>4240</v>
      </c>
      <c r="CE98" s="3" t="s">
        <v>86</v>
      </c>
      <c r="CF98" s="4">
        <v>44582</v>
      </c>
      <c r="CI98" s="3">
        <v>2</v>
      </c>
      <c r="CJ98" s="3">
        <v>2</v>
      </c>
      <c r="CK98" s="3">
        <v>23</v>
      </c>
      <c r="CL98" s="3" t="s">
        <v>87</v>
      </c>
    </row>
    <row r="99" spans="1:90" x14ac:dyDescent="0.2">
      <c r="A99" s="3" t="s">
        <v>72</v>
      </c>
      <c r="B99" s="3" t="s">
        <v>73</v>
      </c>
      <c r="C99" s="3" t="s">
        <v>74</v>
      </c>
      <c r="E99" s="3" t="str">
        <f>"009941300752"</f>
        <v>009941300752</v>
      </c>
      <c r="F99" s="4">
        <v>44578</v>
      </c>
      <c r="G99" s="3">
        <v>202207</v>
      </c>
      <c r="H99" s="3" t="s">
        <v>75</v>
      </c>
      <c r="I99" s="3" t="s">
        <v>76</v>
      </c>
      <c r="J99" s="3" t="s">
        <v>77</v>
      </c>
      <c r="K99" s="3" t="s">
        <v>78</v>
      </c>
      <c r="L99" s="3" t="s">
        <v>132</v>
      </c>
      <c r="M99" s="3" t="s">
        <v>133</v>
      </c>
      <c r="N99" s="3" t="s">
        <v>92</v>
      </c>
      <c r="O99" s="3" t="s">
        <v>81</v>
      </c>
      <c r="P99" s="3" t="str">
        <f>"                              "</f>
        <v xml:space="preserve">            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152.05000000000001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2</v>
      </c>
      <c r="BI99" s="3">
        <v>17.7</v>
      </c>
      <c r="BJ99" s="3">
        <v>65.900000000000006</v>
      </c>
      <c r="BK99" s="3">
        <v>66</v>
      </c>
      <c r="BL99" s="3">
        <v>585.62</v>
      </c>
      <c r="BM99" s="3">
        <v>87.84</v>
      </c>
      <c r="BN99" s="3">
        <v>673.46</v>
      </c>
      <c r="BO99" s="3">
        <v>673.46</v>
      </c>
      <c r="BR99" s="3" t="s">
        <v>341</v>
      </c>
      <c r="BS99" s="4">
        <v>44579</v>
      </c>
      <c r="BT99" s="5">
        <v>0.47083333333333338</v>
      </c>
      <c r="BU99" s="3" t="s">
        <v>137</v>
      </c>
      <c r="BV99" s="3" t="s">
        <v>95</v>
      </c>
      <c r="BY99" s="3">
        <v>329409</v>
      </c>
      <c r="BZ99" s="3" t="s">
        <v>85</v>
      </c>
      <c r="CA99" s="3" t="s">
        <v>136</v>
      </c>
      <c r="CC99" s="3" t="s">
        <v>133</v>
      </c>
      <c r="CD99" s="3">
        <v>2196</v>
      </c>
      <c r="CE99" s="3" t="s">
        <v>107</v>
      </c>
      <c r="CF99" s="4">
        <v>44579</v>
      </c>
      <c r="CI99" s="3">
        <v>2</v>
      </c>
      <c r="CJ99" s="3">
        <v>1</v>
      </c>
      <c r="CK99" s="3">
        <v>43</v>
      </c>
      <c r="CL99" s="3" t="s">
        <v>87</v>
      </c>
    </row>
    <row r="100" spans="1:90" x14ac:dyDescent="0.2">
      <c r="A100" s="3" t="s">
        <v>72</v>
      </c>
      <c r="B100" s="3" t="s">
        <v>73</v>
      </c>
      <c r="C100" s="3" t="s">
        <v>74</v>
      </c>
      <c r="E100" s="3" t="str">
        <f>"009940956730"</f>
        <v>009940956730</v>
      </c>
      <c r="F100" s="4">
        <v>44580</v>
      </c>
      <c r="G100" s="3">
        <v>202207</v>
      </c>
      <c r="H100" s="3" t="s">
        <v>79</v>
      </c>
      <c r="I100" s="3" t="s">
        <v>80</v>
      </c>
      <c r="J100" s="3" t="s">
        <v>77</v>
      </c>
      <c r="K100" s="3" t="s">
        <v>78</v>
      </c>
      <c r="L100" s="3" t="s">
        <v>90</v>
      </c>
      <c r="M100" s="3" t="s">
        <v>91</v>
      </c>
      <c r="N100" s="3" t="s">
        <v>77</v>
      </c>
      <c r="O100" s="3" t="s">
        <v>115</v>
      </c>
      <c r="P100" s="3" t="str">
        <f t="shared" ref="P100:P108" si="2">"STORES                        "</f>
        <v xml:space="preserve">STORES      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15.46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1</v>
      </c>
      <c r="BI100" s="3">
        <v>0.2</v>
      </c>
      <c r="BJ100" s="3">
        <v>0.9</v>
      </c>
      <c r="BK100" s="3">
        <v>1</v>
      </c>
      <c r="BL100" s="3">
        <v>59</v>
      </c>
      <c r="BM100" s="3">
        <v>8.85</v>
      </c>
      <c r="BN100" s="3">
        <v>67.849999999999994</v>
      </c>
      <c r="BO100" s="3">
        <v>67.849999999999994</v>
      </c>
      <c r="BQ100" s="3" t="s">
        <v>118</v>
      </c>
      <c r="BR100" s="3" t="s">
        <v>111</v>
      </c>
      <c r="BS100" s="4">
        <v>44581</v>
      </c>
      <c r="BT100" s="5">
        <v>0.4284722222222222</v>
      </c>
      <c r="BU100" s="3" t="s">
        <v>94</v>
      </c>
      <c r="BV100" s="3" t="s">
        <v>95</v>
      </c>
      <c r="BY100" s="3">
        <v>4258.8500000000004</v>
      </c>
      <c r="BZ100" s="3" t="s">
        <v>117</v>
      </c>
      <c r="CA100" s="3" t="s">
        <v>96</v>
      </c>
      <c r="CC100" s="3" t="s">
        <v>91</v>
      </c>
      <c r="CD100" s="3">
        <v>699</v>
      </c>
      <c r="CE100" s="3" t="s">
        <v>86</v>
      </c>
      <c r="CF100" s="4">
        <v>44581</v>
      </c>
      <c r="CI100" s="3">
        <v>1</v>
      </c>
      <c r="CJ100" s="3">
        <v>1</v>
      </c>
      <c r="CK100" s="3">
        <v>21</v>
      </c>
      <c r="CL100" s="3" t="s">
        <v>87</v>
      </c>
    </row>
    <row r="101" spans="1:90" x14ac:dyDescent="0.2">
      <c r="A101" s="3" t="s">
        <v>72</v>
      </c>
      <c r="B101" s="3" t="s">
        <v>73</v>
      </c>
      <c r="C101" s="3" t="s">
        <v>74</v>
      </c>
      <c r="E101" s="3" t="str">
        <f>"009941332609"</f>
        <v>009941332609</v>
      </c>
      <c r="F101" s="4">
        <v>44580</v>
      </c>
      <c r="G101" s="3">
        <v>202207</v>
      </c>
      <c r="H101" s="3" t="s">
        <v>79</v>
      </c>
      <c r="I101" s="3" t="s">
        <v>80</v>
      </c>
      <c r="J101" s="3" t="s">
        <v>77</v>
      </c>
      <c r="K101" s="3" t="s">
        <v>78</v>
      </c>
      <c r="L101" s="3" t="s">
        <v>112</v>
      </c>
      <c r="M101" s="3" t="s">
        <v>113</v>
      </c>
      <c r="N101" s="3" t="s">
        <v>77</v>
      </c>
      <c r="O101" s="3" t="s">
        <v>81</v>
      </c>
      <c r="P101" s="3" t="str">
        <f t="shared" si="2"/>
        <v xml:space="preserve">STORES           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42.16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3.6</v>
      </c>
      <c r="BJ101" s="3">
        <v>2.2000000000000002</v>
      </c>
      <c r="BK101" s="3">
        <v>4</v>
      </c>
      <c r="BL101" s="3">
        <v>166.16</v>
      </c>
      <c r="BM101" s="3">
        <v>24.92</v>
      </c>
      <c r="BN101" s="3">
        <v>191.08</v>
      </c>
      <c r="BO101" s="3">
        <v>191.08</v>
      </c>
      <c r="BQ101" s="3" t="s">
        <v>342</v>
      </c>
      <c r="BR101" s="3" t="s">
        <v>111</v>
      </c>
      <c r="BS101" s="4">
        <v>44581</v>
      </c>
      <c r="BT101" s="5">
        <v>0.36041666666666666</v>
      </c>
      <c r="BU101" s="3" t="s">
        <v>235</v>
      </c>
      <c r="BV101" s="3" t="s">
        <v>95</v>
      </c>
      <c r="BY101" s="3">
        <v>11144.64</v>
      </c>
      <c r="BZ101" s="3" t="s">
        <v>85</v>
      </c>
      <c r="CA101" s="3" t="s">
        <v>236</v>
      </c>
      <c r="CC101" s="3" t="s">
        <v>113</v>
      </c>
      <c r="CD101" s="3">
        <v>300</v>
      </c>
      <c r="CE101" s="3" t="s">
        <v>86</v>
      </c>
      <c r="CF101" s="4">
        <v>44581</v>
      </c>
      <c r="CI101" s="3">
        <v>1</v>
      </c>
      <c r="CJ101" s="3">
        <v>1</v>
      </c>
      <c r="CK101" s="3">
        <v>43</v>
      </c>
      <c r="CL101" s="3" t="s">
        <v>87</v>
      </c>
    </row>
    <row r="102" spans="1:90" x14ac:dyDescent="0.2">
      <c r="A102" s="3" t="s">
        <v>72</v>
      </c>
      <c r="B102" s="3" t="s">
        <v>73</v>
      </c>
      <c r="C102" s="3" t="s">
        <v>74</v>
      </c>
      <c r="E102" s="3" t="str">
        <f>"009941332909"</f>
        <v>009941332909</v>
      </c>
      <c r="F102" s="4">
        <v>44580</v>
      </c>
      <c r="G102" s="3">
        <v>202207</v>
      </c>
      <c r="H102" s="3" t="s">
        <v>79</v>
      </c>
      <c r="I102" s="3" t="s">
        <v>80</v>
      </c>
      <c r="J102" s="3" t="s">
        <v>77</v>
      </c>
      <c r="K102" s="3" t="s">
        <v>78</v>
      </c>
      <c r="L102" s="3" t="s">
        <v>157</v>
      </c>
      <c r="M102" s="3" t="s">
        <v>158</v>
      </c>
      <c r="N102" s="3" t="s">
        <v>286</v>
      </c>
      <c r="O102" s="3" t="s">
        <v>81</v>
      </c>
      <c r="P102" s="3" t="str">
        <f t="shared" si="2"/>
        <v xml:space="preserve">STORES           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29.89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1</v>
      </c>
      <c r="BI102" s="3">
        <v>3.6</v>
      </c>
      <c r="BJ102" s="3">
        <v>2.2000000000000002</v>
      </c>
      <c r="BK102" s="3">
        <v>4</v>
      </c>
      <c r="BL102" s="3">
        <v>119.34</v>
      </c>
      <c r="BM102" s="3">
        <v>17.899999999999999</v>
      </c>
      <c r="BN102" s="3">
        <v>137.24</v>
      </c>
      <c r="BO102" s="3">
        <v>137.24</v>
      </c>
      <c r="BQ102" s="3" t="s">
        <v>118</v>
      </c>
      <c r="BR102" s="3" t="s">
        <v>111</v>
      </c>
      <c r="BS102" s="4">
        <v>44581</v>
      </c>
      <c r="BT102" s="5">
        <v>0.64930555555555558</v>
      </c>
      <c r="BU102" s="3" t="s">
        <v>297</v>
      </c>
      <c r="BV102" s="3" t="s">
        <v>95</v>
      </c>
      <c r="BY102" s="3">
        <v>11159.23</v>
      </c>
      <c r="BZ102" s="3" t="s">
        <v>85</v>
      </c>
      <c r="CC102" s="3" t="s">
        <v>158</v>
      </c>
      <c r="CD102" s="3">
        <v>4091</v>
      </c>
      <c r="CE102" s="3" t="s">
        <v>86</v>
      </c>
      <c r="CF102" s="4">
        <v>44582</v>
      </c>
      <c r="CI102" s="3">
        <v>1</v>
      </c>
      <c r="CJ102" s="3">
        <v>1</v>
      </c>
      <c r="CK102" s="3">
        <v>41</v>
      </c>
      <c r="CL102" s="3" t="s">
        <v>87</v>
      </c>
    </row>
    <row r="103" spans="1:90" x14ac:dyDescent="0.2">
      <c r="A103" s="3" t="s">
        <v>72</v>
      </c>
      <c r="B103" s="3" t="s">
        <v>73</v>
      </c>
      <c r="C103" s="3" t="s">
        <v>74</v>
      </c>
      <c r="E103" s="3" t="str">
        <f>"009941171605"</f>
        <v>009941171605</v>
      </c>
      <c r="F103" s="4">
        <v>44580</v>
      </c>
      <c r="G103" s="3">
        <v>202207</v>
      </c>
      <c r="H103" s="3" t="s">
        <v>79</v>
      </c>
      <c r="I103" s="3" t="s">
        <v>80</v>
      </c>
      <c r="J103" s="3" t="s">
        <v>77</v>
      </c>
      <c r="K103" s="3" t="s">
        <v>78</v>
      </c>
      <c r="L103" s="3" t="s">
        <v>101</v>
      </c>
      <c r="M103" s="3" t="s">
        <v>102</v>
      </c>
      <c r="N103" s="3" t="s">
        <v>77</v>
      </c>
      <c r="O103" s="3" t="s">
        <v>115</v>
      </c>
      <c r="P103" s="3" t="str">
        <f t="shared" si="2"/>
        <v xml:space="preserve">STORES           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29.95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0.2</v>
      </c>
      <c r="BJ103" s="3">
        <v>1.8</v>
      </c>
      <c r="BK103" s="3">
        <v>2</v>
      </c>
      <c r="BL103" s="3">
        <v>114.31</v>
      </c>
      <c r="BM103" s="3">
        <v>17.149999999999999</v>
      </c>
      <c r="BN103" s="3">
        <v>131.46</v>
      </c>
      <c r="BO103" s="3">
        <v>131.46</v>
      </c>
      <c r="BQ103" s="3" t="s">
        <v>118</v>
      </c>
      <c r="BR103" s="3" t="s">
        <v>111</v>
      </c>
      <c r="BS103" s="4">
        <v>44582</v>
      </c>
      <c r="BT103" s="5">
        <v>0.4861111111111111</v>
      </c>
      <c r="BU103" s="3" t="s">
        <v>343</v>
      </c>
      <c r="BV103" s="3" t="s">
        <v>95</v>
      </c>
      <c r="BY103" s="3">
        <v>9163.19</v>
      </c>
      <c r="BZ103" s="3" t="s">
        <v>117</v>
      </c>
      <c r="CC103" s="3" t="s">
        <v>102</v>
      </c>
      <c r="CD103" s="3">
        <v>5099</v>
      </c>
      <c r="CE103" s="3" t="s">
        <v>86</v>
      </c>
      <c r="CF103" s="4">
        <v>44582</v>
      </c>
      <c r="CI103" s="3">
        <v>3</v>
      </c>
      <c r="CJ103" s="3">
        <v>2</v>
      </c>
      <c r="CK103" s="3">
        <v>23</v>
      </c>
      <c r="CL103" s="3" t="s">
        <v>87</v>
      </c>
    </row>
    <row r="104" spans="1:90" x14ac:dyDescent="0.2">
      <c r="A104" s="3" t="s">
        <v>72</v>
      </c>
      <c r="B104" s="3" t="s">
        <v>73</v>
      </c>
      <c r="C104" s="3" t="s">
        <v>74</v>
      </c>
      <c r="E104" s="3" t="str">
        <f>"009936115813"</f>
        <v>009936115813</v>
      </c>
      <c r="F104" s="4">
        <v>44580</v>
      </c>
      <c r="G104" s="3">
        <v>202207</v>
      </c>
      <c r="H104" s="3" t="s">
        <v>79</v>
      </c>
      <c r="I104" s="3" t="s">
        <v>80</v>
      </c>
      <c r="J104" s="3" t="s">
        <v>77</v>
      </c>
      <c r="K104" s="3" t="s">
        <v>78</v>
      </c>
      <c r="L104" s="3" t="s">
        <v>103</v>
      </c>
      <c r="M104" s="3" t="s">
        <v>104</v>
      </c>
      <c r="N104" s="3" t="s">
        <v>125</v>
      </c>
      <c r="O104" s="3" t="s">
        <v>81</v>
      </c>
      <c r="P104" s="3" t="str">
        <f t="shared" si="2"/>
        <v xml:space="preserve">STORES           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29.89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8.3000000000000007</v>
      </c>
      <c r="BJ104" s="3">
        <v>8.8000000000000007</v>
      </c>
      <c r="BK104" s="3">
        <v>9</v>
      </c>
      <c r="BL104" s="3">
        <v>119.34</v>
      </c>
      <c r="BM104" s="3">
        <v>17.899999999999999</v>
      </c>
      <c r="BN104" s="3">
        <v>137.24</v>
      </c>
      <c r="BO104" s="3">
        <v>137.24</v>
      </c>
      <c r="BQ104" s="3" t="s">
        <v>118</v>
      </c>
      <c r="BR104" s="3" t="s">
        <v>111</v>
      </c>
      <c r="BS104" s="4">
        <v>44582</v>
      </c>
      <c r="BT104" s="5">
        <v>0.39374999999999999</v>
      </c>
      <c r="BU104" s="3" t="s">
        <v>344</v>
      </c>
      <c r="BV104" s="3" t="s">
        <v>95</v>
      </c>
      <c r="BY104" s="3">
        <v>43776.35</v>
      </c>
      <c r="BZ104" s="3" t="s">
        <v>85</v>
      </c>
      <c r="CA104" s="3" t="s">
        <v>345</v>
      </c>
      <c r="CC104" s="3" t="s">
        <v>104</v>
      </c>
      <c r="CD104" s="3">
        <v>6045</v>
      </c>
      <c r="CE104" s="3" t="s">
        <v>86</v>
      </c>
      <c r="CF104" s="4">
        <v>44582</v>
      </c>
      <c r="CI104" s="3">
        <v>2</v>
      </c>
      <c r="CJ104" s="3">
        <v>2</v>
      </c>
      <c r="CK104" s="3">
        <v>41</v>
      </c>
      <c r="CL104" s="3" t="s">
        <v>87</v>
      </c>
    </row>
    <row r="105" spans="1:90" x14ac:dyDescent="0.2">
      <c r="A105" s="3" t="s">
        <v>72</v>
      </c>
      <c r="B105" s="3" t="s">
        <v>73</v>
      </c>
      <c r="C105" s="3" t="s">
        <v>74</v>
      </c>
      <c r="E105" s="3" t="str">
        <f>"009941856384"</f>
        <v>009941856384</v>
      </c>
      <c r="F105" s="4">
        <v>44580</v>
      </c>
      <c r="G105" s="3">
        <v>202207</v>
      </c>
      <c r="H105" s="3" t="s">
        <v>79</v>
      </c>
      <c r="I105" s="3" t="s">
        <v>80</v>
      </c>
      <c r="J105" s="3" t="s">
        <v>77</v>
      </c>
      <c r="K105" s="3" t="s">
        <v>78</v>
      </c>
      <c r="L105" s="3" t="s">
        <v>123</v>
      </c>
      <c r="M105" s="3" t="s">
        <v>124</v>
      </c>
      <c r="N105" s="3" t="s">
        <v>77</v>
      </c>
      <c r="O105" s="3" t="s">
        <v>115</v>
      </c>
      <c r="P105" s="3" t="str">
        <f t="shared" si="2"/>
        <v xml:space="preserve">STORES           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43.47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1</v>
      </c>
      <c r="BI105" s="3">
        <v>0.7</v>
      </c>
      <c r="BJ105" s="3">
        <v>2.6</v>
      </c>
      <c r="BK105" s="3">
        <v>3</v>
      </c>
      <c r="BL105" s="3">
        <v>165.93</v>
      </c>
      <c r="BM105" s="3">
        <v>24.89</v>
      </c>
      <c r="BN105" s="3">
        <v>190.82</v>
      </c>
      <c r="BO105" s="3">
        <v>190.82</v>
      </c>
      <c r="BQ105" s="3" t="s">
        <v>118</v>
      </c>
      <c r="BR105" s="3" t="s">
        <v>111</v>
      </c>
      <c r="BS105" s="4">
        <v>44581</v>
      </c>
      <c r="BT105" s="5">
        <v>0.34930555555555554</v>
      </c>
      <c r="BU105" s="3" t="s">
        <v>233</v>
      </c>
      <c r="BV105" s="3" t="s">
        <v>95</v>
      </c>
      <c r="BY105" s="3">
        <v>12972.26</v>
      </c>
      <c r="BZ105" s="3" t="s">
        <v>117</v>
      </c>
      <c r="CA105" s="3" t="s">
        <v>203</v>
      </c>
      <c r="CC105" s="3" t="s">
        <v>124</v>
      </c>
      <c r="CD105" s="3">
        <v>1034</v>
      </c>
      <c r="CE105" s="3" t="s">
        <v>86</v>
      </c>
      <c r="CF105" s="4">
        <v>44582</v>
      </c>
      <c r="CI105" s="3">
        <v>1</v>
      </c>
      <c r="CJ105" s="3">
        <v>1</v>
      </c>
      <c r="CK105" s="3">
        <v>23</v>
      </c>
      <c r="CL105" s="3" t="s">
        <v>87</v>
      </c>
    </row>
    <row r="106" spans="1:90" x14ac:dyDescent="0.2">
      <c r="A106" s="3" t="s">
        <v>72</v>
      </c>
      <c r="B106" s="3" t="s">
        <v>73</v>
      </c>
      <c r="C106" s="3" t="s">
        <v>74</v>
      </c>
      <c r="E106" s="3" t="str">
        <f>"009941567763"</f>
        <v>009941567763</v>
      </c>
      <c r="F106" s="4">
        <v>44580</v>
      </c>
      <c r="G106" s="3">
        <v>202207</v>
      </c>
      <c r="H106" s="3" t="s">
        <v>79</v>
      </c>
      <c r="I106" s="3" t="s">
        <v>80</v>
      </c>
      <c r="J106" s="3" t="s">
        <v>77</v>
      </c>
      <c r="K106" s="3" t="s">
        <v>78</v>
      </c>
      <c r="L106" s="3" t="s">
        <v>317</v>
      </c>
      <c r="M106" s="3" t="s">
        <v>318</v>
      </c>
      <c r="N106" s="3" t="s">
        <v>77</v>
      </c>
      <c r="O106" s="3" t="s">
        <v>81</v>
      </c>
      <c r="P106" s="3" t="str">
        <f t="shared" si="2"/>
        <v xml:space="preserve">STORES           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100.34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27</v>
      </c>
      <c r="BJ106" s="3">
        <v>41.1</v>
      </c>
      <c r="BK106" s="3">
        <v>42</v>
      </c>
      <c r="BL106" s="3">
        <v>388.23</v>
      </c>
      <c r="BM106" s="3">
        <v>58.23</v>
      </c>
      <c r="BN106" s="3">
        <v>446.46</v>
      </c>
      <c r="BO106" s="3">
        <v>446.46</v>
      </c>
      <c r="BQ106" s="3" t="s">
        <v>118</v>
      </c>
      <c r="BR106" s="3" t="s">
        <v>111</v>
      </c>
      <c r="BS106" s="4">
        <v>44581</v>
      </c>
      <c r="BT106" s="5">
        <v>0.65416666666666667</v>
      </c>
      <c r="BU106" s="3" t="s">
        <v>346</v>
      </c>
      <c r="BV106" s="3" t="s">
        <v>95</v>
      </c>
      <c r="BY106" s="3">
        <v>205335</v>
      </c>
      <c r="BZ106" s="3" t="s">
        <v>85</v>
      </c>
      <c r="CC106" s="3" t="s">
        <v>318</v>
      </c>
      <c r="CD106" s="3">
        <v>9700</v>
      </c>
      <c r="CE106" s="3" t="s">
        <v>86</v>
      </c>
      <c r="CF106" s="4">
        <v>44585</v>
      </c>
      <c r="CI106" s="3">
        <v>1</v>
      </c>
      <c r="CJ106" s="3">
        <v>1</v>
      </c>
      <c r="CK106" s="3">
        <v>43</v>
      </c>
      <c r="CL106" s="3" t="s">
        <v>87</v>
      </c>
    </row>
    <row r="107" spans="1:90" x14ac:dyDescent="0.2">
      <c r="A107" s="3" t="s">
        <v>72</v>
      </c>
      <c r="B107" s="3" t="s">
        <v>73</v>
      </c>
      <c r="C107" s="3" t="s">
        <v>74</v>
      </c>
      <c r="E107" s="3" t="str">
        <f>"009935474417"</f>
        <v>009935474417</v>
      </c>
      <c r="F107" s="4">
        <v>44580</v>
      </c>
      <c r="G107" s="3">
        <v>202207</v>
      </c>
      <c r="H107" s="3" t="s">
        <v>79</v>
      </c>
      <c r="I107" s="3" t="s">
        <v>80</v>
      </c>
      <c r="J107" s="3" t="s">
        <v>77</v>
      </c>
      <c r="K107" s="3" t="s">
        <v>78</v>
      </c>
      <c r="L107" s="3" t="s">
        <v>347</v>
      </c>
      <c r="M107" s="3" t="s">
        <v>348</v>
      </c>
      <c r="N107" s="3" t="s">
        <v>286</v>
      </c>
      <c r="O107" s="3" t="s">
        <v>115</v>
      </c>
      <c r="P107" s="3" t="str">
        <f t="shared" si="2"/>
        <v xml:space="preserve">STORES           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29.95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15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0.2</v>
      </c>
      <c r="BJ107" s="3">
        <v>0.8</v>
      </c>
      <c r="BK107" s="3">
        <v>1</v>
      </c>
      <c r="BL107" s="3">
        <v>129.31</v>
      </c>
      <c r="BM107" s="3">
        <v>19.399999999999999</v>
      </c>
      <c r="BN107" s="3">
        <v>148.71</v>
      </c>
      <c r="BO107" s="3">
        <v>148.71</v>
      </c>
      <c r="BQ107" s="3" t="s">
        <v>118</v>
      </c>
      <c r="BR107" s="3" t="s">
        <v>349</v>
      </c>
      <c r="BS107" s="3" t="s">
        <v>84</v>
      </c>
      <c r="BW107" s="3" t="s">
        <v>350</v>
      </c>
      <c r="BX107" s="3" t="s">
        <v>215</v>
      </c>
      <c r="BY107" s="3">
        <v>3935.93</v>
      </c>
      <c r="BZ107" s="3" t="s">
        <v>122</v>
      </c>
      <c r="CC107" s="3" t="s">
        <v>348</v>
      </c>
      <c r="CD107" s="3">
        <v>450</v>
      </c>
      <c r="CE107" s="3" t="s">
        <v>86</v>
      </c>
      <c r="CI107" s="3">
        <v>1</v>
      </c>
      <c r="CJ107" s="3" t="s">
        <v>84</v>
      </c>
      <c r="CK107" s="3">
        <v>23</v>
      </c>
      <c r="CL107" s="3" t="s">
        <v>87</v>
      </c>
    </row>
    <row r="108" spans="1:90" x14ac:dyDescent="0.2">
      <c r="A108" s="3" t="s">
        <v>72</v>
      </c>
      <c r="B108" s="3" t="s">
        <v>73</v>
      </c>
      <c r="C108" s="3" t="s">
        <v>74</v>
      </c>
      <c r="E108" s="3" t="str">
        <f>"009941618898"</f>
        <v>009941618898</v>
      </c>
      <c r="F108" s="4">
        <v>44580</v>
      </c>
      <c r="G108" s="3">
        <v>202207</v>
      </c>
      <c r="H108" s="3" t="s">
        <v>79</v>
      </c>
      <c r="I108" s="3" t="s">
        <v>80</v>
      </c>
      <c r="J108" s="3" t="s">
        <v>77</v>
      </c>
      <c r="K108" s="3" t="s">
        <v>78</v>
      </c>
      <c r="L108" s="3" t="s">
        <v>123</v>
      </c>
      <c r="M108" s="3" t="s">
        <v>124</v>
      </c>
      <c r="N108" s="3" t="s">
        <v>77</v>
      </c>
      <c r="O108" s="3" t="s">
        <v>81</v>
      </c>
      <c r="P108" s="3" t="str">
        <f t="shared" si="2"/>
        <v xml:space="preserve">STORES        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117.58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2</v>
      </c>
      <c r="BI108" s="3">
        <v>31.4</v>
      </c>
      <c r="BJ108" s="3">
        <v>49.6</v>
      </c>
      <c r="BK108" s="3">
        <v>50</v>
      </c>
      <c r="BL108" s="3">
        <v>454.03</v>
      </c>
      <c r="BM108" s="3">
        <v>68.099999999999994</v>
      </c>
      <c r="BN108" s="3">
        <v>522.13</v>
      </c>
      <c r="BO108" s="3">
        <v>522.13</v>
      </c>
      <c r="BQ108" s="3" t="s">
        <v>118</v>
      </c>
      <c r="BR108" s="3" t="s">
        <v>111</v>
      </c>
      <c r="BS108" s="4">
        <v>44581</v>
      </c>
      <c r="BT108" s="5">
        <v>0.34930555555555554</v>
      </c>
      <c r="BU108" s="3" t="s">
        <v>233</v>
      </c>
      <c r="BV108" s="3" t="s">
        <v>95</v>
      </c>
      <c r="BY108" s="3">
        <v>247871.29</v>
      </c>
      <c r="BZ108" s="3" t="s">
        <v>85</v>
      </c>
      <c r="CA108" s="3" t="s">
        <v>203</v>
      </c>
      <c r="CC108" s="3" t="s">
        <v>124</v>
      </c>
      <c r="CD108" s="3">
        <v>1034</v>
      </c>
      <c r="CE108" s="3" t="s">
        <v>86</v>
      </c>
      <c r="CF108" s="4">
        <v>44582</v>
      </c>
      <c r="CI108" s="3">
        <v>1</v>
      </c>
      <c r="CJ108" s="3">
        <v>1</v>
      </c>
      <c r="CK108" s="3">
        <v>43</v>
      </c>
      <c r="CL108" s="3" t="s">
        <v>87</v>
      </c>
    </row>
    <row r="109" spans="1:90" x14ac:dyDescent="0.2">
      <c r="A109" s="3" t="s">
        <v>72</v>
      </c>
      <c r="B109" s="3" t="s">
        <v>73</v>
      </c>
      <c r="C109" s="3" t="s">
        <v>74</v>
      </c>
      <c r="E109" s="3" t="str">
        <f>"009941108084"</f>
        <v>009941108084</v>
      </c>
      <c r="F109" s="4">
        <v>44580</v>
      </c>
      <c r="G109" s="3">
        <v>202207</v>
      </c>
      <c r="H109" s="3" t="s">
        <v>112</v>
      </c>
      <c r="I109" s="3" t="s">
        <v>113</v>
      </c>
      <c r="J109" s="3" t="s">
        <v>77</v>
      </c>
      <c r="K109" s="3" t="s">
        <v>78</v>
      </c>
      <c r="L109" s="3" t="s">
        <v>132</v>
      </c>
      <c r="M109" s="3" t="s">
        <v>133</v>
      </c>
      <c r="N109" s="3" t="s">
        <v>77</v>
      </c>
      <c r="O109" s="3" t="s">
        <v>81</v>
      </c>
      <c r="P109" s="3" t="str">
        <f>"                              "</f>
        <v xml:space="preserve">             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42.16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3</v>
      </c>
      <c r="BI109" s="3">
        <v>14.1</v>
      </c>
      <c r="BJ109" s="3">
        <v>9.1999999999999993</v>
      </c>
      <c r="BK109" s="3">
        <v>15</v>
      </c>
      <c r="BL109" s="3">
        <v>166.16</v>
      </c>
      <c r="BM109" s="3">
        <v>24.92</v>
      </c>
      <c r="BN109" s="3">
        <v>191.08</v>
      </c>
      <c r="BO109" s="3">
        <v>191.08</v>
      </c>
      <c r="BQ109" s="3" t="s">
        <v>82</v>
      </c>
      <c r="BR109" s="3" t="s">
        <v>265</v>
      </c>
      <c r="BS109" s="4">
        <v>44581</v>
      </c>
      <c r="BT109" s="5">
        <v>0.38125000000000003</v>
      </c>
      <c r="BU109" s="3" t="s">
        <v>137</v>
      </c>
      <c r="BV109" s="3" t="s">
        <v>95</v>
      </c>
      <c r="BY109" s="3">
        <v>46131</v>
      </c>
      <c r="BZ109" s="3" t="s">
        <v>85</v>
      </c>
      <c r="CA109" s="3" t="s">
        <v>136</v>
      </c>
      <c r="CC109" s="3" t="s">
        <v>133</v>
      </c>
      <c r="CD109" s="3">
        <v>2196</v>
      </c>
      <c r="CE109" s="3" t="s">
        <v>86</v>
      </c>
      <c r="CF109" s="4">
        <v>44582</v>
      </c>
      <c r="CI109" s="3">
        <v>1</v>
      </c>
      <c r="CJ109" s="3">
        <v>1</v>
      </c>
      <c r="CK109" s="3">
        <v>43</v>
      </c>
      <c r="CL109" s="3" t="s">
        <v>87</v>
      </c>
    </row>
    <row r="110" spans="1:90" x14ac:dyDescent="0.2">
      <c r="A110" s="3" t="s">
        <v>72</v>
      </c>
      <c r="B110" s="3" t="s">
        <v>73</v>
      </c>
      <c r="C110" s="3" t="s">
        <v>74</v>
      </c>
      <c r="E110" s="3" t="str">
        <f>"009940900593"</f>
        <v>009940900593</v>
      </c>
      <c r="F110" s="4">
        <v>44580</v>
      </c>
      <c r="G110" s="3">
        <v>202207</v>
      </c>
      <c r="H110" s="3" t="s">
        <v>90</v>
      </c>
      <c r="I110" s="3" t="s">
        <v>91</v>
      </c>
      <c r="J110" s="3" t="s">
        <v>77</v>
      </c>
      <c r="K110" s="3" t="s">
        <v>78</v>
      </c>
      <c r="L110" s="3" t="s">
        <v>79</v>
      </c>
      <c r="M110" s="3" t="s">
        <v>80</v>
      </c>
      <c r="N110" s="3" t="s">
        <v>77</v>
      </c>
      <c r="O110" s="3" t="s">
        <v>81</v>
      </c>
      <c r="P110" s="3" t="str">
        <f>"                              "</f>
        <v xml:space="preserve">                 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29.89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1</v>
      </c>
      <c r="BJ110" s="3">
        <v>0.2</v>
      </c>
      <c r="BK110" s="3">
        <v>1</v>
      </c>
      <c r="BL110" s="3">
        <v>119.34</v>
      </c>
      <c r="BM110" s="3">
        <v>17.899999999999999</v>
      </c>
      <c r="BN110" s="3">
        <v>137.24</v>
      </c>
      <c r="BO110" s="3">
        <v>137.24</v>
      </c>
      <c r="BQ110" s="3" t="s">
        <v>351</v>
      </c>
      <c r="BR110" s="3" t="s">
        <v>352</v>
      </c>
      <c r="BS110" s="4">
        <v>44581</v>
      </c>
      <c r="BT110" s="5">
        <v>0.38472222222222219</v>
      </c>
      <c r="BU110" s="3" t="s">
        <v>209</v>
      </c>
      <c r="BV110" s="3" t="s">
        <v>95</v>
      </c>
      <c r="BY110" s="3">
        <v>1200</v>
      </c>
      <c r="BZ110" s="3" t="s">
        <v>85</v>
      </c>
      <c r="CA110" s="3" t="s">
        <v>210</v>
      </c>
      <c r="CC110" s="3" t="s">
        <v>80</v>
      </c>
      <c r="CD110" s="3">
        <v>2146</v>
      </c>
      <c r="CE110" s="3" t="s">
        <v>86</v>
      </c>
      <c r="CF110" s="4">
        <v>44581</v>
      </c>
      <c r="CI110" s="3">
        <v>1</v>
      </c>
      <c r="CJ110" s="3">
        <v>1</v>
      </c>
      <c r="CK110" s="3">
        <v>41</v>
      </c>
      <c r="CL110" s="3" t="s">
        <v>87</v>
      </c>
    </row>
    <row r="111" spans="1:90" x14ac:dyDescent="0.2">
      <c r="A111" s="3" t="s">
        <v>72</v>
      </c>
      <c r="B111" s="3" t="s">
        <v>73</v>
      </c>
      <c r="C111" s="3" t="s">
        <v>74</v>
      </c>
      <c r="E111" s="3" t="str">
        <f>"009940900591"</f>
        <v>009940900591</v>
      </c>
      <c r="F111" s="4">
        <v>44580</v>
      </c>
      <c r="G111" s="3">
        <v>202207</v>
      </c>
      <c r="H111" s="3" t="s">
        <v>90</v>
      </c>
      <c r="I111" s="3" t="s">
        <v>91</v>
      </c>
      <c r="J111" s="3" t="s">
        <v>77</v>
      </c>
      <c r="K111" s="3" t="s">
        <v>78</v>
      </c>
      <c r="L111" s="3" t="s">
        <v>144</v>
      </c>
      <c r="M111" s="3" t="s">
        <v>145</v>
      </c>
      <c r="N111" s="3" t="s">
        <v>353</v>
      </c>
      <c r="O111" s="3" t="s">
        <v>81</v>
      </c>
      <c r="P111" s="3" t="str">
        <f>"                              "</f>
        <v xml:space="preserve">            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100.88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2</v>
      </c>
      <c r="BI111" s="3">
        <v>45</v>
      </c>
      <c r="BJ111" s="3">
        <v>93.9</v>
      </c>
      <c r="BK111" s="3">
        <v>94</v>
      </c>
      <c r="BL111" s="3">
        <v>390.3</v>
      </c>
      <c r="BM111" s="3">
        <v>58.55</v>
      </c>
      <c r="BN111" s="3">
        <v>448.85</v>
      </c>
      <c r="BO111" s="3">
        <v>448.85</v>
      </c>
      <c r="BQ111" s="3" t="s">
        <v>354</v>
      </c>
      <c r="BS111" s="4">
        <v>44581</v>
      </c>
      <c r="BT111" s="5">
        <v>0.53055555555555556</v>
      </c>
      <c r="BU111" s="3" t="s">
        <v>249</v>
      </c>
      <c r="BV111" s="3" t="s">
        <v>95</v>
      </c>
      <c r="BY111" s="3">
        <v>469682</v>
      </c>
      <c r="BZ111" s="3" t="s">
        <v>85</v>
      </c>
      <c r="CA111" s="3" t="s">
        <v>250</v>
      </c>
      <c r="CC111" s="3" t="s">
        <v>145</v>
      </c>
      <c r="CD111" s="3">
        <v>850</v>
      </c>
      <c r="CE111" s="3" t="s">
        <v>86</v>
      </c>
      <c r="CF111" s="4">
        <v>44581</v>
      </c>
      <c r="CI111" s="3">
        <v>1</v>
      </c>
      <c r="CJ111" s="3">
        <v>1</v>
      </c>
      <c r="CK111" s="3">
        <v>44</v>
      </c>
      <c r="CL111" s="3" t="s">
        <v>87</v>
      </c>
    </row>
    <row r="112" spans="1:90" x14ac:dyDescent="0.2">
      <c r="A112" s="3" t="s">
        <v>72</v>
      </c>
      <c r="B112" s="3" t="s">
        <v>73</v>
      </c>
      <c r="C112" s="3" t="s">
        <v>74</v>
      </c>
      <c r="E112" s="3" t="str">
        <f>"009941994665"</f>
        <v>009941994665</v>
      </c>
      <c r="F112" s="4">
        <v>44579</v>
      </c>
      <c r="G112" s="3">
        <v>202207</v>
      </c>
      <c r="H112" s="3" t="s">
        <v>108</v>
      </c>
      <c r="I112" s="3" t="s">
        <v>109</v>
      </c>
      <c r="J112" s="3" t="s">
        <v>77</v>
      </c>
      <c r="K112" s="3" t="s">
        <v>78</v>
      </c>
      <c r="L112" s="3" t="s">
        <v>79</v>
      </c>
      <c r="M112" s="3" t="s">
        <v>80</v>
      </c>
      <c r="N112" s="3" t="s">
        <v>77</v>
      </c>
      <c r="O112" s="3" t="s">
        <v>81</v>
      </c>
      <c r="P112" s="3" t="str">
        <f>"                              "</f>
        <v xml:space="preserve">         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377.27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3</v>
      </c>
      <c r="BI112" s="3">
        <v>57</v>
      </c>
      <c r="BJ112" s="3">
        <v>296.39999999999998</v>
      </c>
      <c r="BK112" s="3">
        <v>297</v>
      </c>
      <c r="BL112" s="3">
        <v>1445.26</v>
      </c>
      <c r="BM112" s="3">
        <v>216.79</v>
      </c>
      <c r="BN112" s="3">
        <v>1662.05</v>
      </c>
      <c r="BO112" s="3">
        <v>1662.05</v>
      </c>
      <c r="BQ112" s="3" t="s">
        <v>355</v>
      </c>
      <c r="BR112" s="3" t="s">
        <v>229</v>
      </c>
      <c r="BS112" s="4">
        <v>44580</v>
      </c>
      <c r="BT112" s="5">
        <v>0.45347222222222222</v>
      </c>
      <c r="BU112" s="3" t="s">
        <v>137</v>
      </c>
      <c r="BV112" s="3" t="s">
        <v>95</v>
      </c>
      <c r="BY112" s="3">
        <v>494000</v>
      </c>
      <c r="BZ112" s="3" t="s">
        <v>85</v>
      </c>
      <c r="CA112" s="3" t="s">
        <v>136</v>
      </c>
      <c r="CC112" s="3" t="s">
        <v>80</v>
      </c>
      <c r="CD112" s="3">
        <v>2146</v>
      </c>
      <c r="CE112" s="3" t="s">
        <v>86</v>
      </c>
      <c r="CF112" s="4">
        <v>44581</v>
      </c>
      <c r="CI112" s="3">
        <v>1</v>
      </c>
      <c r="CJ112" s="3">
        <v>1</v>
      </c>
      <c r="CK112" s="3">
        <v>41</v>
      </c>
      <c r="CL112" s="3" t="s">
        <v>87</v>
      </c>
    </row>
    <row r="113" spans="1:90" x14ac:dyDescent="0.2">
      <c r="A113" s="3" t="s">
        <v>72</v>
      </c>
      <c r="B113" s="3" t="s">
        <v>73</v>
      </c>
      <c r="C113" s="3" t="s">
        <v>74</v>
      </c>
      <c r="E113" s="3" t="str">
        <f>"009940864648"</f>
        <v>009940864648</v>
      </c>
      <c r="F113" s="4">
        <v>44575</v>
      </c>
      <c r="G113" s="3">
        <v>202207</v>
      </c>
      <c r="H113" s="3" t="s">
        <v>90</v>
      </c>
      <c r="I113" s="3" t="s">
        <v>91</v>
      </c>
      <c r="J113" s="3" t="s">
        <v>77</v>
      </c>
      <c r="K113" s="3" t="s">
        <v>78</v>
      </c>
      <c r="L113" s="3" t="s">
        <v>90</v>
      </c>
      <c r="M113" s="3" t="s">
        <v>91</v>
      </c>
      <c r="N113" s="3" t="s">
        <v>77</v>
      </c>
      <c r="O113" s="3" t="s">
        <v>81</v>
      </c>
      <c r="P113" s="3" t="str">
        <f>"                              "</f>
        <v xml:space="preserve">            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37.229999999999997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20</v>
      </c>
      <c r="BJ113" s="3">
        <v>35.299999999999997</v>
      </c>
      <c r="BK113" s="3">
        <v>36</v>
      </c>
      <c r="BL113" s="3">
        <v>147.35</v>
      </c>
      <c r="BM113" s="3">
        <v>22.1</v>
      </c>
      <c r="BN113" s="3">
        <v>169.45</v>
      </c>
      <c r="BO113" s="3">
        <v>169.45</v>
      </c>
      <c r="BQ113" s="3" t="s">
        <v>356</v>
      </c>
      <c r="BS113" s="4">
        <v>44578</v>
      </c>
      <c r="BT113" s="5">
        <v>0.45833333333333331</v>
      </c>
      <c r="BU113" s="3" t="s">
        <v>257</v>
      </c>
      <c r="BV113" s="3" t="s">
        <v>95</v>
      </c>
      <c r="BY113" s="3">
        <v>176400</v>
      </c>
      <c r="BZ113" s="3" t="s">
        <v>85</v>
      </c>
      <c r="CA113" s="3" t="s">
        <v>96</v>
      </c>
      <c r="CC113" s="3" t="s">
        <v>91</v>
      </c>
      <c r="CD113" s="3">
        <v>700</v>
      </c>
      <c r="CE113" s="3" t="s">
        <v>86</v>
      </c>
      <c r="CF113" s="4">
        <v>44578</v>
      </c>
      <c r="CI113" s="3">
        <v>1</v>
      </c>
      <c r="CJ113" s="3">
        <v>1</v>
      </c>
      <c r="CK113" s="3">
        <v>42</v>
      </c>
      <c r="CL113" s="3" t="s">
        <v>87</v>
      </c>
    </row>
    <row r="114" spans="1:90" x14ac:dyDescent="0.2">
      <c r="A114" s="3" t="s">
        <v>72</v>
      </c>
      <c r="B114" s="3" t="s">
        <v>73</v>
      </c>
      <c r="C114" s="3" t="s">
        <v>74</v>
      </c>
      <c r="E114" s="3" t="str">
        <f>"009936115814"</f>
        <v>009936115814</v>
      </c>
      <c r="F114" s="4">
        <v>44581</v>
      </c>
      <c r="G114" s="3">
        <v>202207</v>
      </c>
      <c r="H114" s="3" t="s">
        <v>79</v>
      </c>
      <c r="I114" s="3" t="s">
        <v>80</v>
      </c>
      <c r="J114" s="3" t="s">
        <v>77</v>
      </c>
      <c r="K114" s="3" t="s">
        <v>78</v>
      </c>
      <c r="L114" s="3" t="s">
        <v>103</v>
      </c>
      <c r="M114" s="3" t="s">
        <v>104</v>
      </c>
      <c r="N114" s="3" t="s">
        <v>77</v>
      </c>
      <c r="O114" s="3" t="s">
        <v>81</v>
      </c>
      <c r="P114" s="3" t="str">
        <f t="shared" ref="P114:P125" si="3">"STORES                        "</f>
        <v xml:space="preserve">STORES      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29.89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6.3</v>
      </c>
      <c r="BJ114" s="3">
        <v>10.9</v>
      </c>
      <c r="BK114" s="3">
        <v>11</v>
      </c>
      <c r="BL114" s="3">
        <v>119.34</v>
      </c>
      <c r="BM114" s="3">
        <v>17.899999999999999</v>
      </c>
      <c r="BN114" s="3">
        <v>137.24</v>
      </c>
      <c r="BO114" s="3">
        <v>137.24</v>
      </c>
      <c r="BQ114" s="3" t="s">
        <v>118</v>
      </c>
      <c r="BR114" s="3" t="s">
        <v>111</v>
      </c>
      <c r="BS114" s="4">
        <v>44585</v>
      </c>
      <c r="BT114" s="5">
        <v>0.31319444444444444</v>
      </c>
      <c r="BU114" s="3" t="s">
        <v>357</v>
      </c>
      <c r="BV114" s="3" t="s">
        <v>95</v>
      </c>
      <c r="BY114" s="3">
        <v>54649.49</v>
      </c>
      <c r="BZ114" s="3" t="s">
        <v>85</v>
      </c>
      <c r="CA114" s="3" t="s">
        <v>296</v>
      </c>
      <c r="CC114" s="3" t="s">
        <v>104</v>
      </c>
      <c r="CD114" s="3">
        <v>6045</v>
      </c>
      <c r="CE114" s="3" t="s">
        <v>86</v>
      </c>
      <c r="CF114" s="4">
        <v>44585</v>
      </c>
      <c r="CI114" s="3">
        <v>2</v>
      </c>
      <c r="CJ114" s="3">
        <v>2</v>
      </c>
      <c r="CK114" s="3">
        <v>41</v>
      </c>
      <c r="CL114" s="3" t="s">
        <v>87</v>
      </c>
    </row>
    <row r="115" spans="1:90" x14ac:dyDescent="0.2">
      <c r="A115" s="3" t="s">
        <v>72</v>
      </c>
      <c r="B115" s="3" t="s">
        <v>73</v>
      </c>
      <c r="C115" s="3" t="s">
        <v>74</v>
      </c>
      <c r="E115" s="3" t="str">
        <f>"009941332011"</f>
        <v>009941332011</v>
      </c>
      <c r="F115" s="4">
        <v>44581</v>
      </c>
      <c r="G115" s="3">
        <v>202207</v>
      </c>
      <c r="H115" s="3" t="s">
        <v>79</v>
      </c>
      <c r="I115" s="3" t="s">
        <v>80</v>
      </c>
      <c r="J115" s="3" t="s">
        <v>77</v>
      </c>
      <c r="K115" s="3" t="s">
        <v>78</v>
      </c>
      <c r="L115" s="3" t="s">
        <v>90</v>
      </c>
      <c r="M115" s="3" t="s">
        <v>91</v>
      </c>
      <c r="N115" s="3" t="s">
        <v>358</v>
      </c>
      <c r="O115" s="3" t="s">
        <v>81</v>
      </c>
      <c r="P115" s="3" t="str">
        <f t="shared" si="3"/>
        <v xml:space="preserve">STORES  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36.049999999999997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12.2</v>
      </c>
      <c r="BJ115" s="3">
        <v>20</v>
      </c>
      <c r="BK115" s="3">
        <v>20</v>
      </c>
      <c r="BL115" s="3">
        <v>142.85</v>
      </c>
      <c r="BM115" s="3">
        <v>21.43</v>
      </c>
      <c r="BN115" s="3">
        <v>164.28</v>
      </c>
      <c r="BO115" s="3">
        <v>164.28</v>
      </c>
      <c r="BQ115" s="3" t="s">
        <v>118</v>
      </c>
      <c r="BR115" s="3" t="s">
        <v>164</v>
      </c>
      <c r="BS115" s="4">
        <v>44582</v>
      </c>
      <c r="BT115" s="5">
        <v>0.46249999999999997</v>
      </c>
      <c r="BU115" s="3" t="s">
        <v>94</v>
      </c>
      <c r="BV115" s="3" t="s">
        <v>95</v>
      </c>
      <c r="BY115" s="3">
        <v>100093.52</v>
      </c>
      <c r="BZ115" s="3" t="s">
        <v>85</v>
      </c>
      <c r="CA115" s="3" t="s">
        <v>96</v>
      </c>
      <c r="CC115" s="3" t="s">
        <v>91</v>
      </c>
      <c r="CD115" s="3">
        <v>699</v>
      </c>
      <c r="CE115" s="3" t="s">
        <v>86</v>
      </c>
      <c r="CF115" s="4">
        <v>44582</v>
      </c>
      <c r="CI115" s="3">
        <v>1</v>
      </c>
      <c r="CJ115" s="3">
        <v>1</v>
      </c>
      <c r="CK115" s="3">
        <v>41</v>
      </c>
      <c r="CL115" s="3" t="s">
        <v>87</v>
      </c>
    </row>
    <row r="116" spans="1:90" x14ac:dyDescent="0.2">
      <c r="A116" s="3" t="s">
        <v>72</v>
      </c>
      <c r="B116" s="3" t="s">
        <v>73</v>
      </c>
      <c r="C116" s="3" t="s">
        <v>74</v>
      </c>
      <c r="E116" s="3" t="str">
        <f>"009941291359"</f>
        <v>009941291359</v>
      </c>
      <c r="F116" s="4">
        <v>44581</v>
      </c>
      <c r="G116" s="3">
        <v>202207</v>
      </c>
      <c r="H116" s="3" t="s">
        <v>79</v>
      </c>
      <c r="I116" s="3" t="s">
        <v>80</v>
      </c>
      <c r="J116" s="3" t="s">
        <v>77</v>
      </c>
      <c r="K116" s="3" t="s">
        <v>78</v>
      </c>
      <c r="L116" s="3" t="s">
        <v>108</v>
      </c>
      <c r="M116" s="3" t="s">
        <v>109</v>
      </c>
      <c r="N116" s="3" t="s">
        <v>77</v>
      </c>
      <c r="O116" s="3" t="s">
        <v>81</v>
      </c>
      <c r="P116" s="3" t="str">
        <f t="shared" si="3"/>
        <v xml:space="preserve">STORES  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117.35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2</v>
      </c>
      <c r="BI116" s="3">
        <v>74</v>
      </c>
      <c r="BJ116" s="3">
        <v>85.3</v>
      </c>
      <c r="BK116" s="3">
        <v>86</v>
      </c>
      <c r="BL116" s="3">
        <v>453.17</v>
      </c>
      <c r="BM116" s="3">
        <v>67.98</v>
      </c>
      <c r="BN116" s="3">
        <v>521.15</v>
      </c>
      <c r="BO116" s="3">
        <v>521.15</v>
      </c>
      <c r="BQ116" s="3" t="s">
        <v>118</v>
      </c>
      <c r="BR116" s="3" t="s">
        <v>118</v>
      </c>
      <c r="BS116" s="4">
        <v>44585</v>
      </c>
      <c r="BT116" s="5">
        <v>0.48472222222222222</v>
      </c>
      <c r="BU116" s="3" t="s">
        <v>359</v>
      </c>
      <c r="BV116" s="3" t="s">
        <v>87</v>
      </c>
      <c r="BW116" s="3" t="s">
        <v>218</v>
      </c>
      <c r="BX116" s="3" t="s">
        <v>360</v>
      </c>
      <c r="BY116" s="3">
        <v>213180</v>
      </c>
      <c r="BZ116" s="3" t="s">
        <v>85</v>
      </c>
      <c r="CC116" s="3" t="s">
        <v>109</v>
      </c>
      <c r="CD116" s="3">
        <v>9300</v>
      </c>
      <c r="CE116" s="3" t="s">
        <v>86</v>
      </c>
      <c r="CF116" s="4">
        <v>44586</v>
      </c>
      <c r="CI116" s="3">
        <v>1</v>
      </c>
      <c r="CJ116" s="3">
        <v>2</v>
      </c>
      <c r="CK116" s="3">
        <v>41</v>
      </c>
      <c r="CL116" s="3" t="s">
        <v>87</v>
      </c>
    </row>
    <row r="117" spans="1:90" x14ac:dyDescent="0.2">
      <c r="A117" s="3" t="s">
        <v>72</v>
      </c>
      <c r="B117" s="3" t="s">
        <v>73</v>
      </c>
      <c r="C117" s="3" t="s">
        <v>74</v>
      </c>
      <c r="E117" s="3" t="str">
        <f>"009941332908"</f>
        <v>009941332908</v>
      </c>
      <c r="F117" s="4">
        <v>44581</v>
      </c>
      <c r="G117" s="3">
        <v>202207</v>
      </c>
      <c r="H117" s="3" t="s">
        <v>79</v>
      </c>
      <c r="I117" s="3" t="s">
        <v>80</v>
      </c>
      <c r="J117" s="3" t="s">
        <v>77</v>
      </c>
      <c r="K117" s="3" t="s">
        <v>78</v>
      </c>
      <c r="L117" s="3" t="s">
        <v>157</v>
      </c>
      <c r="M117" s="3" t="s">
        <v>158</v>
      </c>
      <c r="N117" s="3" t="s">
        <v>284</v>
      </c>
      <c r="O117" s="3" t="s">
        <v>81</v>
      </c>
      <c r="P117" s="3" t="str">
        <f t="shared" si="3"/>
        <v xml:space="preserve">STORES      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29.89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4.4000000000000004</v>
      </c>
      <c r="BJ117" s="3">
        <v>4.5</v>
      </c>
      <c r="BK117" s="3">
        <v>5</v>
      </c>
      <c r="BL117" s="3">
        <v>119.34</v>
      </c>
      <c r="BM117" s="3">
        <v>17.899999999999999</v>
      </c>
      <c r="BN117" s="3">
        <v>137.24</v>
      </c>
      <c r="BO117" s="3">
        <v>137.24</v>
      </c>
      <c r="BQ117" s="3" t="s">
        <v>118</v>
      </c>
      <c r="BR117" s="3" t="s">
        <v>361</v>
      </c>
      <c r="BS117" s="4">
        <v>44582</v>
      </c>
      <c r="BT117" s="5">
        <v>0.40625</v>
      </c>
      <c r="BU117" s="3" t="s">
        <v>362</v>
      </c>
      <c r="BV117" s="3" t="s">
        <v>95</v>
      </c>
      <c r="BY117" s="3">
        <v>22743.5</v>
      </c>
      <c r="BZ117" s="3" t="s">
        <v>85</v>
      </c>
      <c r="CA117" s="3" t="s">
        <v>240</v>
      </c>
      <c r="CC117" s="3" t="s">
        <v>158</v>
      </c>
      <c r="CD117" s="3">
        <v>4091</v>
      </c>
      <c r="CE117" s="3" t="s">
        <v>86</v>
      </c>
      <c r="CF117" s="4">
        <v>44585</v>
      </c>
      <c r="CI117" s="3">
        <v>1</v>
      </c>
      <c r="CJ117" s="3">
        <v>1</v>
      </c>
      <c r="CK117" s="3">
        <v>41</v>
      </c>
      <c r="CL117" s="3" t="s">
        <v>87</v>
      </c>
    </row>
    <row r="118" spans="1:90" x14ac:dyDescent="0.2">
      <c r="A118" s="3" t="s">
        <v>72</v>
      </c>
      <c r="B118" s="3" t="s">
        <v>73</v>
      </c>
      <c r="C118" s="3" t="s">
        <v>74</v>
      </c>
      <c r="E118" s="3" t="str">
        <f>"009941332809"</f>
        <v>009941332809</v>
      </c>
      <c r="F118" s="4">
        <v>44581</v>
      </c>
      <c r="G118" s="3">
        <v>202207</v>
      </c>
      <c r="H118" s="3" t="s">
        <v>79</v>
      </c>
      <c r="I118" s="3" t="s">
        <v>80</v>
      </c>
      <c r="J118" s="3" t="s">
        <v>77</v>
      </c>
      <c r="K118" s="3" t="s">
        <v>78</v>
      </c>
      <c r="L118" s="3" t="s">
        <v>97</v>
      </c>
      <c r="M118" s="3" t="s">
        <v>98</v>
      </c>
      <c r="N118" s="3" t="s">
        <v>77</v>
      </c>
      <c r="O118" s="3" t="s">
        <v>81</v>
      </c>
      <c r="P118" s="3" t="str">
        <f t="shared" si="3"/>
        <v xml:space="preserve">STORES      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89.02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2</v>
      </c>
      <c r="BI118" s="3">
        <v>44.2</v>
      </c>
      <c r="BJ118" s="3">
        <v>62.7</v>
      </c>
      <c r="BK118" s="3">
        <v>63</v>
      </c>
      <c r="BL118" s="3">
        <v>345.03</v>
      </c>
      <c r="BM118" s="3">
        <v>51.75</v>
      </c>
      <c r="BN118" s="3">
        <v>396.78</v>
      </c>
      <c r="BO118" s="3">
        <v>396.78</v>
      </c>
      <c r="BQ118" s="3" t="s">
        <v>100</v>
      </c>
      <c r="BR118" s="3" t="s">
        <v>118</v>
      </c>
      <c r="BS118" s="4">
        <v>44586</v>
      </c>
      <c r="BT118" s="5">
        <v>0.34861111111111115</v>
      </c>
      <c r="BU118" s="3" t="s">
        <v>100</v>
      </c>
      <c r="BV118" s="3" t="s">
        <v>87</v>
      </c>
      <c r="BW118" s="3" t="s">
        <v>363</v>
      </c>
      <c r="BX118" s="3" t="s">
        <v>364</v>
      </c>
      <c r="BY118" s="3">
        <v>313643.37</v>
      </c>
      <c r="BZ118" s="3" t="s">
        <v>85</v>
      </c>
      <c r="CA118" s="3" t="s">
        <v>223</v>
      </c>
      <c r="CC118" s="3" t="s">
        <v>98</v>
      </c>
      <c r="CD118" s="3">
        <v>8000</v>
      </c>
      <c r="CE118" s="3" t="s">
        <v>86</v>
      </c>
      <c r="CF118" s="4">
        <v>44587</v>
      </c>
      <c r="CI118" s="3">
        <v>2</v>
      </c>
      <c r="CJ118" s="3">
        <v>3</v>
      </c>
      <c r="CK118" s="3">
        <v>41</v>
      </c>
      <c r="CL118" s="3" t="s">
        <v>87</v>
      </c>
    </row>
    <row r="119" spans="1:90" x14ac:dyDescent="0.2">
      <c r="A119" s="3" t="s">
        <v>72</v>
      </c>
      <c r="B119" s="3" t="s">
        <v>73</v>
      </c>
      <c r="C119" s="3" t="s">
        <v>74</v>
      </c>
      <c r="E119" s="3" t="str">
        <f>"009941618999"</f>
        <v>009941618999</v>
      </c>
      <c r="F119" s="4">
        <v>44581</v>
      </c>
      <c r="G119" s="3">
        <v>202207</v>
      </c>
      <c r="H119" s="3" t="s">
        <v>79</v>
      </c>
      <c r="I119" s="3" t="s">
        <v>80</v>
      </c>
      <c r="J119" s="3" t="s">
        <v>77</v>
      </c>
      <c r="K119" s="3" t="s">
        <v>78</v>
      </c>
      <c r="L119" s="3" t="s">
        <v>157</v>
      </c>
      <c r="M119" s="3" t="s">
        <v>158</v>
      </c>
      <c r="N119" s="3" t="s">
        <v>365</v>
      </c>
      <c r="O119" s="3" t="s">
        <v>115</v>
      </c>
      <c r="P119" s="3" t="str">
        <f t="shared" si="3"/>
        <v xml:space="preserve">STORES      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23.18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0.8</v>
      </c>
      <c r="BJ119" s="3">
        <v>2.7</v>
      </c>
      <c r="BK119" s="3">
        <v>3</v>
      </c>
      <c r="BL119" s="3">
        <v>88.48</v>
      </c>
      <c r="BM119" s="3">
        <v>13.27</v>
      </c>
      <c r="BN119" s="3">
        <v>101.75</v>
      </c>
      <c r="BO119" s="3">
        <v>101.75</v>
      </c>
      <c r="BQ119" s="3" t="s">
        <v>118</v>
      </c>
      <c r="BR119" s="3" t="s">
        <v>118</v>
      </c>
      <c r="BS119" s="4">
        <v>44582</v>
      </c>
      <c r="BT119" s="5">
        <v>0.38958333333333334</v>
      </c>
      <c r="BU119" s="3" t="s">
        <v>160</v>
      </c>
      <c r="BV119" s="3" t="s">
        <v>95</v>
      </c>
      <c r="BY119" s="3">
        <v>13632.19</v>
      </c>
      <c r="BZ119" s="3" t="s">
        <v>117</v>
      </c>
      <c r="CA119" s="3" t="s">
        <v>161</v>
      </c>
      <c r="CC119" s="3" t="s">
        <v>158</v>
      </c>
      <c r="CD119" s="3">
        <v>4091</v>
      </c>
      <c r="CE119" s="3" t="s">
        <v>86</v>
      </c>
      <c r="CF119" s="4">
        <v>44585</v>
      </c>
      <c r="CI119" s="3">
        <v>1</v>
      </c>
      <c r="CJ119" s="3">
        <v>1</v>
      </c>
      <c r="CK119" s="3">
        <v>21</v>
      </c>
      <c r="CL119" s="3" t="s">
        <v>87</v>
      </c>
    </row>
    <row r="120" spans="1:90" x14ac:dyDescent="0.2">
      <c r="A120" s="3" t="s">
        <v>72</v>
      </c>
      <c r="B120" s="3" t="s">
        <v>73</v>
      </c>
      <c r="C120" s="3" t="s">
        <v>74</v>
      </c>
      <c r="E120" s="3" t="str">
        <f>"009941567765"</f>
        <v>009941567765</v>
      </c>
      <c r="F120" s="4">
        <v>44581</v>
      </c>
      <c r="G120" s="3">
        <v>202207</v>
      </c>
      <c r="H120" s="3" t="s">
        <v>79</v>
      </c>
      <c r="I120" s="3" t="s">
        <v>80</v>
      </c>
      <c r="J120" s="3" t="s">
        <v>77</v>
      </c>
      <c r="K120" s="3" t="s">
        <v>78</v>
      </c>
      <c r="L120" s="3" t="s">
        <v>251</v>
      </c>
      <c r="M120" s="3" t="s">
        <v>252</v>
      </c>
      <c r="N120" s="3" t="s">
        <v>77</v>
      </c>
      <c r="O120" s="3" t="s">
        <v>115</v>
      </c>
      <c r="P120" s="3" t="str">
        <f t="shared" si="3"/>
        <v xml:space="preserve">STORES           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29.95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1</v>
      </c>
      <c r="BJ120" s="3">
        <v>0.2</v>
      </c>
      <c r="BK120" s="3">
        <v>1</v>
      </c>
      <c r="BL120" s="3">
        <v>114.31</v>
      </c>
      <c r="BM120" s="3">
        <v>17.149999999999999</v>
      </c>
      <c r="BN120" s="3">
        <v>131.46</v>
      </c>
      <c r="BO120" s="3">
        <v>131.46</v>
      </c>
      <c r="BQ120" s="3" t="s">
        <v>366</v>
      </c>
      <c r="BR120" s="3" t="s">
        <v>118</v>
      </c>
      <c r="BS120" s="4">
        <v>44582</v>
      </c>
      <c r="BT120" s="5">
        <v>0.375</v>
      </c>
      <c r="BU120" s="3" t="s">
        <v>255</v>
      </c>
      <c r="BV120" s="3" t="s">
        <v>95</v>
      </c>
      <c r="BY120" s="3">
        <v>1200</v>
      </c>
      <c r="BZ120" s="3" t="s">
        <v>117</v>
      </c>
      <c r="CC120" s="3" t="s">
        <v>252</v>
      </c>
      <c r="CD120" s="3">
        <v>9459</v>
      </c>
      <c r="CE120" s="3" t="s">
        <v>86</v>
      </c>
      <c r="CF120" s="4">
        <v>44582</v>
      </c>
      <c r="CI120" s="3">
        <v>1</v>
      </c>
      <c r="CJ120" s="3">
        <v>1</v>
      </c>
      <c r="CK120" s="3">
        <v>23</v>
      </c>
      <c r="CL120" s="3" t="s">
        <v>87</v>
      </c>
    </row>
    <row r="121" spans="1:90" x14ac:dyDescent="0.2">
      <c r="A121" s="3" t="s">
        <v>72</v>
      </c>
      <c r="B121" s="3" t="s">
        <v>73</v>
      </c>
      <c r="C121" s="3" t="s">
        <v>74</v>
      </c>
      <c r="E121" s="3" t="str">
        <f>"009941332709"</f>
        <v>009941332709</v>
      </c>
      <c r="F121" s="4">
        <v>44581</v>
      </c>
      <c r="G121" s="3">
        <v>202207</v>
      </c>
      <c r="H121" s="3" t="s">
        <v>79</v>
      </c>
      <c r="I121" s="3" t="s">
        <v>80</v>
      </c>
      <c r="J121" s="3" t="s">
        <v>77</v>
      </c>
      <c r="K121" s="3" t="s">
        <v>78</v>
      </c>
      <c r="L121" s="3" t="s">
        <v>120</v>
      </c>
      <c r="M121" s="3" t="s">
        <v>121</v>
      </c>
      <c r="N121" s="3" t="s">
        <v>77</v>
      </c>
      <c r="O121" s="3" t="s">
        <v>81</v>
      </c>
      <c r="P121" s="3" t="str">
        <f t="shared" si="3"/>
        <v xml:space="preserve">STORES      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65.86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15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2</v>
      </c>
      <c r="BI121" s="3">
        <v>19</v>
      </c>
      <c r="BJ121" s="3">
        <v>25.3</v>
      </c>
      <c r="BK121" s="3">
        <v>26</v>
      </c>
      <c r="BL121" s="3">
        <v>271.63</v>
      </c>
      <c r="BM121" s="3">
        <v>40.74</v>
      </c>
      <c r="BN121" s="3">
        <v>312.37</v>
      </c>
      <c r="BO121" s="3">
        <v>312.37</v>
      </c>
      <c r="BQ121" s="3" t="s">
        <v>241</v>
      </c>
      <c r="BR121" s="3" t="s">
        <v>118</v>
      </c>
      <c r="BS121" s="4">
        <v>44581</v>
      </c>
      <c r="BT121" s="5">
        <v>0.3972222222222222</v>
      </c>
      <c r="BU121" s="3" t="s">
        <v>241</v>
      </c>
      <c r="BV121" s="3" t="s">
        <v>95</v>
      </c>
      <c r="BY121" s="3">
        <v>126457.34</v>
      </c>
      <c r="BZ121" s="3" t="s">
        <v>230</v>
      </c>
      <c r="CC121" s="3" t="s">
        <v>121</v>
      </c>
      <c r="CD121" s="3">
        <v>8460</v>
      </c>
      <c r="CE121" s="3" t="s">
        <v>86</v>
      </c>
      <c r="CF121" s="4">
        <v>44585</v>
      </c>
      <c r="CI121" s="3">
        <v>1</v>
      </c>
      <c r="CJ121" s="3">
        <v>0</v>
      </c>
      <c r="CK121" s="3">
        <v>43</v>
      </c>
      <c r="CL121" s="3" t="s">
        <v>87</v>
      </c>
    </row>
    <row r="122" spans="1:90" x14ac:dyDescent="0.2">
      <c r="A122" s="3" t="s">
        <v>72</v>
      </c>
      <c r="B122" s="3" t="s">
        <v>73</v>
      </c>
      <c r="C122" s="3" t="s">
        <v>74</v>
      </c>
      <c r="E122" s="3" t="str">
        <f>"009941332608"</f>
        <v>009941332608</v>
      </c>
      <c r="F122" s="4">
        <v>44581</v>
      </c>
      <c r="G122" s="3">
        <v>202207</v>
      </c>
      <c r="H122" s="3" t="s">
        <v>79</v>
      </c>
      <c r="I122" s="3" t="s">
        <v>80</v>
      </c>
      <c r="J122" s="3" t="s">
        <v>77</v>
      </c>
      <c r="K122" s="3" t="s">
        <v>78</v>
      </c>
      <c r="L122" s="3" t="s">
        <v>112</v>
      </c>
      <c r="M122" s="3" t="s">
        <v>113</v>
      </c>
      <c r="N122" s="3" t="s">
        <v>77</v>
      </c>
      <c r="O122" s="3" t="s">
        <v>81</v>
      </c>
      <c r="P122" s="3" t="str">
        <f t="shared" si="3"/>
        <v xml:space="preserve">STORES    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42.16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1</v>
      </c>
      <c r="BI122" s="3">
        <v>5.4</v>
      </c>
      <c r="BJ122" s="3">
        <v>1.5</v>
      </c>
      <c r="BK122" s="3">
        <v>6</v>
      </c>
      <c r="BL122" s="3">
        <v>166.16</v>
      </c>
      <c r="BM122" s="3">
        <v>24.92</v>
      </c>
      <c r="BN122" s="3">
        <v>191.08</v>
      </c>
      <c r="BO122" s="3">
        <v>191.08</v>
      </c>
      <c r="BQ122" s="3" t="s">
        <v>118</v>
      </c>
      <c r="BR122" s="3" t="s">
        <v>307</v>
      </c>
      <c r="BS122" s="4">
        <v>44582</v>
      </c>
      <c r="BT122" s="5">
        <v>0.41111111111111115</v>
      </c>
      <c r="BU122" s="3" t="s">
        <v>235</v>
      </c>
      <c r="BV122" s="3" t="s">
        <v>95</v>
      </c>
      <c r="BY122" s="3">
        <v>7437.96</v>
      </c>
      <c r="BZ122" s="3" t="s">
        <v>85</v>
      </c>
      <c r="CA122" s="3" t="s">
        <v>236</v>
      </c>
      <c r="CC122" s="3" t="s">
        <v>113</v>
      </c>
      <c r="CD122" s="3">
        <v>300</v>
      </c>
      <c r="CE122" s="3" t="s">
        <v>86</v>
      </c>
      <c r="CF122" s="4">
        <v>44582</v>
      </c>
      <c r="CI122" s="3">
        <v>1</v>
      </c>
      <c r="CJ122" s="3">
        <v>1</v>
      </c>
      <c r="CK122" s="3">
        <v>43</v>
      </c>
      <c r="CL122" s="3" t="s">
        <v>87</v>
      </c>
    </row>
    <row r="123" spans="1:90" x14ac:dyDescent="0.2">
      <c r="A123" s="3" t="s">
        <v>72</v>
      </c>
      <c r="B123" s="3" t="s">
        <v>73</v>
      </c>
      <c r="C123" s="3" t="s">
        <v>74</v>
      </c>
      <c r="E123" s="3" t="str">
        <f>"009941618897"</f>
        <v>009941618897</v>
      </c>
      <c r="F123" s="4">
        <v>44581</v>
      </c>
      <c r="G123" s="3">
        <v>202207</v>
      </c>
      <c r="H123" s="3" t="s">
        <v>79</v>
      </c>
      <c r="I123" s="3" t="s">
        <v>80</v>
      </c>
      <c r="J123" s="3" t="s">
        <v>77</v>
      </c>
      <c r="K123" s="3" t="s">
        <v>78</v>
      </c>
      <c r="L123" s="3" t="s">
        <v>123</v>
      </c>
      <c r="M123" s="3" t="s">
        <v>124</v>
      </c>
      <c r="N123" s="3" t="s">
        <v>286</v>
      </c>
      <c r="O123" s="3" t="s">
        <v>81</v>
      </c>
      <c r="P123" s="3" t="str">
        <f t="shared" si="3"/>
        <v xml:space="preserve">STORES      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42.16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1</v>
      </c>
      <c r="BI123" s="3">
        <v>4.4000000000000004</v>
      </c>
      <c r="BJ123" s="3">
        <v>8.6999999999999993</v>
      </c>
      <c r="BK123" s="3">
        <v>9</v>
      </c>
      <c r="BL123" s="3">
        <v>166.16</v>
      </c>
      <c r="BM123" s="3">
        <v>24.92</v>
      </c>
      <c r="BN123" s="3">
        <v>191.08</v>
      </c>
      <c r="BO123" s="3">
        <v>191.08</v>
      </c>
      <c r="BQ123" s="3" t="s">
        <v>118</v>
      </c>
      <c r="BR123" s="3" t="s">
        <v>307</v>
      </c>
      <c r="BS123" s="4">
        <v>44582</v>
      </c>
      <c r="BT123" s="5">
        <v>0.3444444444444445</v>
      </c>
      <c r="BU123" s="3" t="s">
        <v>316</v>
      </c>
      <c r="BV123" s="3" t="s">
        <v>95</v>
      </c>
      <c r="BY123" s="3">
        <v>43589.87</v>
      </c>
      <c r="BZ123" s="3" t="s">
        <v>85</v>
      </c>
      <c r="CA123" s="3" t="s">
        <v>203</v>
      </c>
      <c r="CC123" s="3" t="s">
        <v>124</v>
      </c>
      <c r="CD123" s="3">
        <v>1034</v>
      </c>
      <c r="CE123" s="3" t="s">
        <v>86</v>
      </c>
      <c r="CF123" s="4">
        <v>44582</v>
      </c>
      <c r="CI123" s="3">
        <v>1</v>
      </c>
      <c r="CJ123" s="3">
        <v>1</v>
      </c>
      <c r="CK123" s="3">
        <v>43</v>
      </c>
      <c r="CL123" s="3" t="s">
        <v>87</v>
      </c>
    </row>
    <row r="124" spans="1:90" x14ac:dyDescent="0.2">
      <c r="A124" s="3" t="s">
        <v>72</v>
      </c>
      <c r="B124" s="3" t="s">
        <v>73</v>
      </c>
      <c r="C124" s="3" t="s">
        <v>74</v>
      </c>
      <c r="E124" s="3" t="str">
        <f>"009941567767"</f>
        <v>009941567767</v>
      </c>
      <c r="F124" s="4">
        <v>44581</v>
      </c>
      <c r="G124" s="3">
        <v>202207</v>
      </c>
      <c r="H124" s="3" t="s">
        <v>79</v>
      </c>
      <c r="I124" s="3" t="s">
        <v>80</v>
      </c>
      <c r="J124" s="3" t="s">
        <v>77</v>
      </c>
      <c r="K124" s="3" t="s">
        <v>78</v>
      </c>
      <c r="L124" s="3" t="s">
        <v>149</v>
      </c>
      <c r="M124" s="3" t="s">
        <v>150</v>
      </c>
      <c r="N124" s="3" t="s">
        <v>367</v>
      </c>
      <c r="O124" s="3" t="s">
        <v>115</v>
      </c>
      <c r="P124" s="3" t="str">
        <f t="shared" si="3"/>
        <v xml:space="preserve">STORES      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15.46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0.8</v>
      </c>
      <c r="BJ124" s="3">
        <v>1.5</v>
      </c>
      <c r="BK124" s="3">
        <v>1.5</v>
      </c>
      <c r="BL124" s="3">
        <v>59</v>
      </c>
      <c r="BM124" s="3">
        <v>8.85</v>
      </c>
      <c r="BN124" s="3">
        <v>67.849999999999994</v>
      </c>
      <c r="BO124" s="3">
        <v>67.849999999999994</v>
      </c>
      <c r="BQ124" s="3" t="s">
        <v>152</v>
      </c>
      <c r="BR124" s="3" t="s">
        <v>111</v>
      </c>
      <c r="BS124" s="3" t="s">
        <v>84</v>
      </c>
      <c r="BY124" s="3">
        <v>7256.63</v>
      </c>
      <c r="BZ124" s="3" t="s">
        <v>117</v>
      </c>
      <c r="CC124" s="3" t="s">
        <v>150</v>
      </c>
      <c r="CD124" s="3">
        <v>3200</v>
      </c>
      <c r="CE124" s="3" t="s">
        <v>86</v>
      </c>
      <c r="CI124" s="3">
        <v>1</v>
      </c>
      <c r="CJ124" s="3" t="s">
        <v>84</v>
      </c>
      <c r="CK124" s="3">
        <v>21</v>
      </c>
      <c r="CL124" s="3" t="s">
        <v>87</v>
      </c>
    </row>
    <row r="125" spans="1:90" x14ac:dyDescent="0.2">
      <c r="A125" s="3" t="s">
        <v>72</v>
      </c>
      <c r="B125" s="3" t="s">
        <v>73</v>
      </c>
      <c r="C125" s="3" t="s">
        <v>74</v>
      </c>
      <c r="E125" s="3" t="str">
        <f>"009941567766"</f>
        <v>009941567766</v>
      </c>
      <c r="F125" s="4">
        <v>44581</v>
      </c>
      <c r="G125" s="3">
        <v>202207</v>
      </c>
      <c r="H125" s="3" t="s">
        <v>79</v>
      </c>
      <c r="I125" s="3" t="s">
        <v>80</v>
      </c>
      <c r="J125" s="3" t="s">
        <v>77</v>
      </c>
      <c r="K125" s="3" t="s">
        <v>78</v>
      </c>
      <c r="L125" s="3" t="s">
        <v>368</v>
      </c>
      <c r="M125" s="3" t="s">
        <v>369</v>
      </c>
      <c r="N125" s="3" t="s">
        <v>370</v>
      </c>
      <c r="O125" s="3" t="s">
        <v>81</v>
      </c>
      <c r="P125" s="3" t="str">
        <f t="shared" si="3"/>
        <v xml:space="preserve">STORES           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29.89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6.2</v>
      </c>
      <c r="BJ125" s="3">
        <v>7.2</v>
      </c>
      <c r="BK125" s="3">
        <v>8</v>
      </c>
      <c r="BL125" s="3">
        <v>119.34</v>
      </c>
      <c r="BM125" s="3">
        <v>17.899999999999999</v>
      </c>
      <c r="BN125" s="3">
        <v>137.24</v>
      </c>
      <c r="BO125" s="3">
        <v>137.24</v>
      </c>
      <c r="BQ125" s="3" t="s">
        <v>371</v>
      </c>
      <c r="BR125" s="3" t="s">
        <v>111</v>
      </c>
      <c r="BS125" s="4">
        <v>44582</v>
      </c>
      <c r="BT125" s="5">
        <v>0.37847222222222227</v>
      </c>
      <c r="BU125" s="3" t="s">
        <v>372</v>
      </c>
      <c r="BV125" s="3" t="s">
        <v>95</v>
      </c>
      <c r="BY125" s="3">
        <v>36018.92</v>
      </c>
      <c r="BZ125" s="3" t="s">
        <v>85</v>
      </c>
      <c r="CA125" s="3" t="s">
        <v>373</v>
      </c>
      <c r="CC125" s="3" t="s">
        <v>369</v>
      </c>
      <c r="CD125" s="3">
        <v>46</v>
      </c>
      <c r="CE125" s="3" t="s">
        <v>86</v>
      </c>
      <c r="CF125" s="4">
        <v>44587</v>
      </c>
      <c r="CI125" s="3">
        <v>1</v>
      </c>
      <c r="CJ125" s="3">
        <v>1</v>
      </c>
      <c r="CK125" s="3">
        <v>41</v>
      </c>
      <c r="CL125" s="3" t="s">
        <v>87</v>
      </c>
    </row>
    <row r="126" spans="1:90" x14ac:dyDescent="0.2">
      <c r="A126" s="3" t="s">
        <v>72</v>
      </c>
      <c r="B126" s="3" t="s">
        <v>73</v>
      </c>
      <c r="C126" s="3" t="s">
        <v>74</v>
      </c>
      <c r="E126" s="3" t="str">
        <f>"009941171582"</f>
        <v>009941171582</v>
      </c>
      <c r="F126" s="4">
        <v>44581</v>
      </c>
      <c r="G126" s="3">
        <v>202207</v>
      </c>
      <c r="H126" s="3" t="s">
        <v>79</v>
      </c>
      <c r="I126" s="3" t="s">
        <v>80</v>
      </c>
      <c r="J126" s="3" t="s">
        <v>77</v>
      </c>
      <c r="K126" s="3" t="s">
        <v>78</v>
      </c>
      <c r="L126" s="3" t="s">
        <v>374</v>
      </c>
      <c r="M126" s="3" t="s">
        <v>375</v>
      </c>
      <c r="N126" s="3" t="s">
        <v>286</v>
      </c>
      <c r="O126" s="3" t="s">
        <v>115</v>
      </c>
      <c r="P126" s="3" t="str">
        <f>"40005                         "</f>
        <v xml:space="preserve">40005     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42.49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1</v>
      </c>
      <c r="BI126" s="3">
        <v>5.2</v>
      </c>
      <c r="BJ126" s="3">
        <v>2.2999999999999998</v>
      </c>
      <c r="BK126" s="3">
        <v>5.5</v>
      </c>
      <c r="BL126" s="3">
        <v>162.19</v>
      </c>
      <c r="BM126" s="3">
        <v>24.33</v>
      </c>
      <c r="BN126" s="3">
        <v>186.52</v>
      </c>
      <c r="BO126" s="3">
        <v>186.52</v>
      </c>
      <c r="BQ126" s="3" t="s">
        <v>376</v>
      </c>
      <c r="BR126" s="3" t="s">
        <v>118</v>
      </c>
      <c r="BS126" s="4">
        <v>44587</v>
      </c>
      <c r="BT126" s="5">
        <v>0.32291666666666669</v>
      </c>
      <c r="BU126" s="3" t="s">
        <v>377</v>
      </c>
      <c r="BV126" s="3" t="s">
        <v>87</v>
      </c>
      <c r="BW126" s="3" t="s">
        <v>214</v>
      </c>
      <c r="BX126" s="3" t="s">
        <v>215</v>
      </c>
      <c r="BY126" s="3">
        <v>11625.15</v>
      </c>
      <c r="BZ126" s="3" t="s">
        <v>117</v>
      </c>
      <c r="CA126" s="3" t="s">
        <v>378</v>
      </c>
      <c r="CC126" s="3" t="s">
        <v>375</v>
      </c>
      <c r="CD126" s="3">
        <v>1200</v>
      </c>
      <c r="CE126" s="3" t="s">
        <v>86</v>
      </c>
      <c r="CF126" s="4">
        <v>44587</v>
      </c>
      <c r="CI126" s="3">
        <v>1</v>
      </c>
      <c r="CJ126" s="3">
        <v>4</v>
      </c>
      <c r="CK126" s="3">
        <v>21</v>
      </c>
      <c r="CL126" s="3" t="s">
        <v>87</v>
      </c>
    </row>
    <row r="127" spans="1:90" x14ac:dyDescent="0.2">
      <c r="A127" s="3" t="s">
        <v>72</v>
      </c>
      <c r="B127" s="3" t="s">
        <v>73</v>
      </c>
      <c r="C127" s="3" t="s">
        <v>74</v>
      </c>
      <c r="E127" s="3" t="str">
        <f>"009941332907"</f>
        <v>009941332907</v>
      </c>
      <c r="F127" s="4">
        <v>44582</v>
      </c>
      <c r="G127" s="3">
        <v>202207</v>
      </c>
      <c r="H127" s="3" t="s">
        <v>79</v>
      </c>
      <c r="I127" s="3" t="s">
        <v>80</v>
      </c>
      <c r="J127" s="3" t="s">
        <v>77</v>
      </c>
      <c r="K127" s="3" t="s">
        <v>78</v>
      </c>
      <c r="L127" s="3" t="s">
        <v>157</v>
      </c>
      <c r="M127" s="3" t="s">
        <v>158</v>
      </c>
      <c r="N127" s="3" t="s">
        <v>77</v>
      </c>
      <c r="O127" s="3" t="s">
        <v>115</v>
      </c>
      <c r="P127" s="3" t="str">
        <f>"STORES                        "</f>
        <v xml:space="preserve">STORES     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15.46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1</v>
      </c>
      <c r="BI127" s="3">
        <v>1</v>
      </c>
      <c r="BJ127" s="3">
        <v>0.2</v>
      </c>
      <c r="BK127" s="3">
        <v>1</v>
      </c>
      <c r="BL127" s="3">
        <v>59</v>
      </c>
      <c r="BM127" s="3">
        <v>8.85</v>
      </c>
      <c r="BN127" s="3">
        <v>67.849999999999994</v>
      </c>
      <c r="BO127" s="3">
        <v>67.849999999999994</v>
      </c>
      <c r="BQ127" s="3" t="s">
        <v>118</v>
      </c>
      <c r="BR127" s="3" t="s">
        <v>164</v>
      </c>
      <c r="BS127" s="4">
        <v>44585</v>
      </c>
      <c r="BT127" s="5">
        <v>0.4152777777777778</v>
      </c>
      <c r="BU127" s="3" t="s">
        <v>160</v>
      </c>
      <c r="BV127" s="3" t="s">
        <v>95</v>
      </c>
      <c r="BY127" s="3">
        <v>1200</v>
      </c>
      <c r="BZ127" s="3" t="s">
        <v>117</v>
      </c>
      <c r="CA127" s="3" t="s">
        <v>161</v>
      </c>
      <c r="CC127" s="3" t="s">
        <v>158</v>
      </c>
      <c r="CD127" s="3">
        <v>4091</v>
      </c>
      <c r="CE127" s="3" t="s">
        <v>86</v>
      </c>
      <c r="CF127" s="4">
        <v>44586</v>
      </c>
      <c r="CI127" s="3">
        <v>1</v>
      </c>
      <c r="CJ127" s="3">
        <v>1</v>
      </c>
      <c r="CK127" s="3">
        <v>21</v>
      </c>
      <c r="CL127" s="3" t="s">
        <v>87</v>
      </c>
    </row>
    <row r="128" spans="1:90" x14ac:dyDescent="0.2">
      <c r="A128" s="3" t="s">
        <v>72</v>
      </c>
      <c r="B128" s="3" t="s">
        <v>73</v>
      </c>
      <c r="C128" s="3" t="s">
        <v>74</v>
      </c>
      <c r="E128" s="3" t="str">
        <f>"009942537382"</f>
        <v>009942537382</v>
      </c>
      <c r="F128" s="4">
        <v>44582</v>
      </c>
      <c r="G128" s="3">
        <v>202207</v>
      </c>
      <c r="H128" s="3" t="s">
        <v>123</v>
      </c>
      <c r="I128" s="3" t="s">
        <v>124</v>
      </c>
      <c r="J128" s="3" t="s">
        <v>162</v>
      </c>
      <c r="K128" s="3" t="s">
        <v>78</v>
      </c>
      <c r="L128" s="3" t="s">
        <v>132</v>
      </c>
      <c r="M128" s="3" t="s">
        <v>133</v>
      </c>
      <c r="N128" s="3" t="s">
        <v>77</v>
      </c>
      <c r="O128" s="3" t="s">
        <v>81</v>
      </c>
      <c r="P128" s="3" t="str">
        <f>"083 601 5869                  "</f>
        <v xml:space="preserve">083 601 5869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42.16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15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1</v>
      </c>
      <c r="BJ128" s="3">
        <v>0.2</v>
      </c>
      <c r="BK128" s="3">
        <v>1</v>
      </c>
      <c r="BL128" s="3">
        <v>181.16</v>
      </c>
      <c r="BM128" s="3">
        <v>27.17</v>
      </c>
      <c r="BN128" s="3">
        <v>208.33</v>
      </c>
      <c r="BO128" s="3">
        <v>208.33</v>
      </c>
      <c r="BQ128" s="3" t="s">
        <v>379</v>
      </c>
      <c r="BR128" s="3" t="s">
        <v>283</v>
      </c>
      <c r="BS128" s="4">
        <v>44585</v>
      </c>
      <c r="BT128" s="5">
        <v>0.43333333333333335</v>
      </c>
      <c r="BU128" s="3" t="s">
        <v>380</v>
      </c>
      <c r="BV128" s="3" t="s">
        <v>95</v>
      </c>
      <c r="BY128" s="3">
        <v>1200</v>
      </c>
      <c r="BZ128" s="3" t="s">
        <v>230</v>
      </c>
      <c r="CA128" s="3" t="s">
        <v>210</v>
      </c>
      <c r="CC128" s="3" t="s">
        <v>133</v>
      </c>
      <c r="CD128" s="3">
        <v>2000</v>
      </c>
      <c r="CE128" s="3" t="s">
        <v>86</v>
      </c>
      <c r="CF128" s="4">
        <v>44585</v>
      </c>
      <c r="CI128" s="3">
        <v>1</v>
      </c>
      <c r="CJ128" s="3">
        <v>1</v>
      </c>
      <c r="CK128" s="3">
        <v>43</v>
      </c>
      <c r="CL128" s="3" t="s">
        <v>87</v>
      </c>
    </row>
    <row r="129" spans="1:90" x14ac:dyDescent="0.2">
      <c r="A129" s="3" t="s">
        <v>72</v>
      </c>
      <c r="B129" s="3" t="s">
        <v>73</v>
      </c>
      <c r="C129" s="3" t="s">
        <v>74</v>
      </c>
      <c r="E129" s="3" t="str">
        <f>"009939616680"</f>
        <v>009939616680</v>
      </c>
      <c r="F129" s="4">
        <v>44582</v>
      </c>
      <c r="G129" s="3">
        <v>202207</v>
      </c>
      <c r="H129" s="3" t="s">
        <v>79</v>
      </c>
      <c r="I129" s="3" t="s">
        <v>80</v>
      </c>
      <c r="J129" s="3" t="s">
        <v>77</v>
      </c>
      <c r="K129" s="3" t="s">
        <v>78</v>
      </c>
      <c r="L129" s="3" t="s">
        <v>144</v>
      </c>
      <c r="M129" s="3" t="s">
        <v>145</v>
      </c>
      <c r="N129" s="3" t="s">
        <v>77</v>
      </c>
      <c r="O129" s="3" t="s">
        <v>115</v>
      </c>
      <c r="P129" s="3" t="str">
        <f>"STORES                        "</f>
        <v xml:space="preserve">STORES   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36.71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1.7</v>
      </c>
      <c r="BJ129" s="3">
        <v>2.5</v>
      </c>
      <c r="BK129" s="3">
        <v>2.5</v>
      </c>
      <c r="BL129" s="3">
        <v>140.12</v>
      </c>
      <c r="BM129" s="3">
        <v>21.02</v>
      </c>
      <c r="BN129" s="3">
        <v>161.13999999999999</v>
      </c>
      <c r="BO129" s="3">
        <v>161.13999999999999</v>
      </c>
      <c r="BQ129" s="3" t="s">
        <v>381</v>
      </c>
      <c r="BR129" s="3" t="s">
        <v>118</v>
      </c>
      <c r="BS129" s="4">
        <v>44585</v>
      </c>
      <c r="BT129" s="5">
        <v>0.52430555555555558</v>
      </c>
      <c r="BU129" s="3" t="s">
        <v>249</v>
      </c>
      <c r="BV129" s="3" t="s">
        <v>95</v>
      </c>
      <c r="BY129" s="3">
        <v>12638.71</v>
      </c>
      <c r="BZ129" s="3" t="s">
        <v>117</v>
      </c>
      <c r="CA129" s="3" t="s">
        <v>250</v>
      </c>
      <c r="CC129" s="3" t="s">
        <v>145</v>
      </c>
      <c r="CD129" s="3">
        <v>850</v>
      </c>
      <c r="CE129" s="3" t="s">
        <v>86</v>
      </c>
      <c r="CF129" s="4">
        <v>44585</v>
      </c>
      <c r="CI129" s="3">
        <v>1</v>
      </c>
      <c r="CJ129" s="3">
        <v>1</v>
      </c>
      <c r="CK129" s="3">
        <v>23</v>
      </c>
      <c r="CL129" s="3" t="s">
        <v>87</v>
      </c>
    </row>
    <row r="130" spans="1:90" x14ac:dyDescent="0.2">
      <c r="A130" s="3" t="s">
        <v>72</v>
      </c>
      <c r="B130" s="3" t="s">
        <v>73</v>
      </c>
      <c r="C130" s="3" t="s">
        <v>74</v>
      </c>
      <c r="E130" s="3" t="str">
        <f>"009941332808"</f>
        <v>009941332808</v>
      </c>
      <c r="F130" s="4">
        <v>44582</v>
      </c>
      <c r="G130" s="3">
        <v>202207</v>
      </c>
      <c r="H130" s="3" t="s">
        <v>79</v>
      </c>
      <c r="I130" s="3" t="s">
        <v>80</v>
      </c>
      <c r="J130" s="3" t="s">
        <v>77</v>
      </c>
      <c r="K130" s="3" t="s">
        <v>78</v>
      </c>
      <c r="L130" s="3" t="s">
        <v>97</v>
      </c>
      <c r="M130" s="3" t="s">
        <v>98</v>
      </c>
      <c r="N130" s="3" t="s">
        <v>77</v>
      </c>
      <c r="O130" s="3" t="s">
        <v>81</v>
      </c>
      <c r="P130" s="3" t="str">
        <f>"STORES                        "</f>
        <v xml:space="preserve">STORES   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52.06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2</v>
      </c>
      <c r="BI130" s="3">
        <v>19.100000000000001</v>
      </c>
      <c r="BJ130" s="3">
        <v>32.6</v>
      </c>
      <c r="BK130" s="3">
        <v>33</v>
      </c>
      <c r="BL130" s="3">
        <v>203.97</v>
      </c>
      <c r="BM130" s="3">
        <v>30.6</v>
      </c>
      <c r="BN130" s="3">
        <v>234.57</v>
      </c>
      <c r="BO130" s="3">
        <v>234.57</v>
      </c>
      <c r="BQ130" s="3" t="s">
        <v>382</v>
      </c>
      <c r="BR130" s="3" t="s">
        <v>111</v>
      </c>
      <c r="BS130" s="4">
        <v>44585</v>
      </c>
      <c r="BT130" s="5">
        <v>0.37083333333333335</v>
      </c>
      <c r="BU130" s="3" t="s">
        <v>220</v>
      </c>
      <c r="BV130" s="3" t="s">
        <v>95</v>
      </c>
      <c r="BY130" s="3">
        <v>163031.54999999999</v>
      </c>
      <c r="BZ130" s="3" t="s">
        <v>85</v>
      </c>
      <c r="CA130" s="3" t="s">
        <v>223</v>
      </c>
      <c r="CC130" s="3" t="s">
        <v>98</v>
      </c>
      <c r="CD130" s="3">
        <v>8000</v>
      </c>
      <c r="CE130" s="3" t="s">
        <v>86</v>
      </c>
      <c r="CF130" s="4">
        <v>44586</v>
      </c>
      <c r="CI130" s="3">
        <v>2</v>
      </c>
      <c r="CJ130" s="3">
        <v>1</v>
      </c>
      <c r="CK130" s="3">
        <v>41</v>
      </c>
      <c r="CL130" s="3" t="s">
        <v>87</v>
      </c>
    </row>
    <row r="131" spans="1:90" x14ac:dyDescent="0.2">
      <c r="A131" s="3" t="s">
        <v>72</v>
      </c>
      <c r="B131" s="3" t="s">
        <v>73</v>
      </c>
      <c r="C131" s="3" t="s">
        <v>74</v>
      </c>
      <c r="E131" s="3" t="str">
        <f>"009941291358"</f>
        <v>009941291358</v>
      </c>
      <c r="F131" s="4">
        <v>44582</v>
      </c>
      <c r="G131" s="3">
        <v>202207</v>
      </c>
      <c r="H131" s="3" t="s">
        <v>79</v>
      </c>
      <c r="I131" s="3" t="s">
        <v>80</v>
      </c>
      <c r="J131" s="3" t="s">
        <v>77</v>
      </c>
      <c r="K131" s="3" t="s">
        <v>78</v>
      </c>
      <c r="L131" s="3" t="s">
        <v>108</v>
      </c>
      <c r="M131" s="3" t="s">
        <v>109</v>
      </c>
      <c r="N131" s="3" t="s">
        <v>383</v>
      </c>
      <c r="O131" s="3" t="s">
        <v>81</v>
      </c>
      <c r="P131" s="3" t="str">
        <f>"STORES                        "</f>
        <v xml:space="preserve">STORES   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29.89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3.6</v>
      </c>
      <c r="BJ131" s="3">
        <v>6</v>
      </c>
      <c r="BK131" s="3">
        <v>6</v>
      </c>
      <c r="BL131" s="3">
        <v>119.34</v>
      </c>
      <c r="BM131" s="3">
        <v>17.899999999999999</v>
      </c>
      <c r="BN131" s="3">
        <v>137.24</v>
      </c>
      <c r="BO131" s="3">
        <v>137.24</v>
      </c>
      <c r="BQ131" s="3" t="s">
        <v>271</v>
      </c>
      <c r="BR131" s="3" t="s">
        <v>111</v>
      </c>
      <c r="BS131" s="4">
        <v>44585</v>
      </c>
      <c r="BT131" s="5">
        <v>0.53055555555555556</v>
      </c>
      <c r="BU131" s="3" t="s">
        <v>303</v>
      </c>
      <c r="BV131" s="3" t="s">
        <v>95</v>
      </c>
      <c r="BY131" s="3">
        <v>30085.22</v>
      </c>
      <c r="BZ131" s="3" t="s">
        <v>85</v>
      </c>
      <c r="CA131" s="3" t="s">
        <v>206</v>
      </c>
      <c r="CC131" s="3" t="s">
        <v>109</v>
      </c>
      <c r="CD131" s="3">
        <v>9300</v>
      </c>
      <c r="CE131" s="3" t="s">
        <v>86</v>
      </c>
      <c r="CF131" s="4">
        <v>44586</v>
      </c>
      <c r="CI131" s="3">
        <v>1</v>
      </c>
      <c r="CJ131" s="3">
        <v>1</v>
      </c>
      <c r="CK131" s="3">
        <v>41</v>
      </c>
      <c r="CL131" s="3" t="s">
        <v>87</v>
      </c>
    </row>
    <row r="132" spans="1:90" x14ac:dyDescent="0.2">
      <c r="A132" s="3" t="s">
        <v>72</v>
      </c>
      <c r="B132" s="3" t="s">
        <v>73</v>
      </c>
      <c r="C132" s="3" t="s">
        <v>74</v>
      </c>
      <c r="E132" s="3" t="str">
        <f>"009936115815"</f>
        <v>009936115815</v>
      </c>
      <c r="F132" s="4">
        <v>44582</v>
      </c>
      <c r="G132" s="3">
        <v>202207</v>
      </c>
      <c r="H132" s="3" t="s">
        <v>79</v>
      </c>
      <c r="I132" s="3" t="s">
        <v>80</v>
      </c>
      <c r="J132" s="3" t="s">
        <v>77</v>
      </c>
      <c r="K132" s="3" t="s">
        <v>78</v>
      </c>
      <c r="L132" s="3" t="s">
        <v>103</v>
      </c>
      <c r="M132" s="3" t="s">
        <v>104</v>
      </c>
      <c r="N132" s="3" t="s">
        <v>286</v>
      </c>
      <c r="O132" s="3" t="s">
        <v>81</v>
      </c>
      <c r="P132" s="3" t="str">
        <f>"STORES                        "</f>
        <v xml:space="preserve">STORES      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29.89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2</v>
      </c>
      <c r="BI132" s="3">
        <v>7.8</v>
      </c>
      <c r="BJ132" s="3">
        <v>13.1</v>
      </c>
      <c r="BK132" s="3">
        <v>14</v>
      </c>
      <c r="BL132" s="3">
        <v>119.34</v>
      </c>
      <c r="BM132" s="3">
        <v>17.899999999999999</v>
      </c>
      <c r="BN132" s="3">
        <v>137.24</v>
      </c>
      <c r="BO132" s="3">
        <v>137.24</v>
      </c>
      <c r="BQ132" s="3" t="s">
        <v>118</v>
      </c>
      <c r="BR132" s="3" t="s">
        <v>111</v>
      </c>
      <c r="BS132" s="4">
        <v>44585</v>
      </c>
      <c r="BT132" s="5">
        <v>0.3743055555555555</v>
      </c>
      <c r="BU132" s="3" t="s">
        <v>384</v>
      </c>
      <c r="BV132" s="3" t="s">
        <v>95</v>
      </c>
      <c r="BY132" s="3">
        <v>65425.55</v>
      </c>
      <c r="BZ132" s="3" t="s">
        <v>85</v>
      </c>
      <c r="CA132" s="3" t="s">
        <v>345</v>
      </c>
      <c r="CC132" s="3" t="s">
        <v>104</v>
      </c>
      <c r="CD132" s="3">
        <v>6045</v>
      </c>
      <c r="CE132" s="3" t="s">
        <v>86</v>
      </c>
      <c r="CF132" s="4">
        <v>44585</v>
      </c>
      <c r="CI132" s="3">
        <v>2</v>
      </c>
      <c r="CJ132" s="3">
        <v>1</v>
      </c>
      <c r="CK132" s="3">
        <v>41</v>
      </c>
      <c r="CL132" s="3" t="s">
        <v>87</v>
      </c>
    </row>
    <row r="133" spans="1:90" x14ac:dyDescent="0.2">
      <c r="A133" s="3" t="s">
        <v>72</v>
      </c>
      <c r="B133" s="3" t="s">
        <v>73</v>
      </c>
      <c r="C133" s="3" t="s">
        <v>74</v>
      </c>
      <c r="E133" s="3" t="str">
        <f>"009935987916"</f>
        <v>009935987916</v>
      </c>
      <c r="F133" s="4">
        <v>44578</v>
      </c>
      <c r="G133" s="3">
        <v>202207</v>
      </c>
      <c r="H133" s="3" t="s">
        <v>79</v>
      </c>
      <c r="I133" s="3" t="s">
        <v>80</v>
      </c>
      <c r="J133" s="3" t="s">
        <v>77</v>
      </c>
      <c r="K133" s="3" t="s">
        <v>78</v>
      </c>
      <c r="L133" s="3" t="s">
        <v>177</v>
      </c>
      <c r="M133" s="3" t="s">
        <v>178</v>
      </c>
      <c r="N133" s="3" t="s">
        <v>286</v>
      </c>
      <c r="O133" s="3" t="s">
        <v>81</v>
      </c>
      <c r="P133" s="3" t="str">
        <f>"STORES                        "</f>
        <v xml:space="preserve">STORES  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16.600000000000001</v>
      </c>
      <c r="BJ133" s="3">
        <v>0</v>
      </c>
      <c r="BK133" s="3">
        <v>16.600000000000001</v>
      </c>
      <c r="BL133" s="3">
        <v>0</v>
      </c>
      <c r="BM133" s="3">
        <v>0</v>
      </c>
      <c r="BN133" s="3">
        <v>0</v>
      </c>
      <c r="BO133" s="3">
        <v>0</v>
      </c>
      <c r="BQ133" s="3" t="s">
        <v>182</v>
      </c>
      <c r="BR133" s="3" t="s">
        <v>385</v>
      </c>
      <c r="BS133" s="4">
        <v>44581</v>
      </c>
      <c r="BT133" s="5">
        <v>0.41666666666666669</v>
      </c>
      <c r="BU133" s="3" t="s">
        <v>386</v>
      </c>
      <c r="BV133" s="3" t="s">
        <v>95</v>
      </c>
      <c r="BY133" s="3">
        <v>179873.98</v>
      </c>
      <c r="BZ133" s="3" t="s">
        <v>85</v>
      </c>
      <c r="CC133" s="3" t="s">
        <v>178</v>
      </c>
      <c r="CD133" s="3">
        <v>5206</v>
      </c>
      <c r="CE133" s="3" t="s">
        <v>86</v>
      </c>
      <c r="CF133" s="4">
        <v>44581</v>
      </c>
      <c r="CI133" s="3">
        <v>3</v>
      </c>
      <c r="CJ133" s="3">
        <v>3</v>
      </c>
      <c r="CK133" s="3">
        <v>-1</v>
      </c>
      <c r="CL133" s="3" t="s">
        <v>87</v>
      </c>
    </row>
    <row r="134" spans="1:90" x14ac:dyDescent="0.2">
      <c r="A134" s="3" t="s">
        <v>72</v>
      </c>
      <c r="B134" s="3" t="s">
        <v>73</v>
      </c>
      <c r="C134" s="3" t="s">
        <v>74</v>
      </c>
      <c r="E134" s="3" t="str">
        <f>"009941792993"</f>
        <v>009941792993</v>
      </c>
      <c r="F134" s="4">
        <v>44585</v>
      </c>
      <c r="G134" s="3">
        <v>202207</v>
      </c>
      <c r="H134" s="3" t="s">
        <v>153</v>
      </c>
      <c r="I134" s="3" t="s">
        <v>154</v>
      </c>
      <c r="J134" s="3" t="s">
        <v>155</v>
      </c>
      <c r="K134" s="3" t="s">
        <v>78</v>
      </c>
      <c r="L134" s="3" t="s">
        <v>289</v>
      </c>
      <c r="M134" s="3" t="s">
        <v>290</v>
      </c>
      <c r="N134" s="3" t="s">
        <v>387</v>
      </c>
      <c r="O134" s="3" t="s">
        <v>81</v>
      </c>
      <c r="P134" s="3" t="str">
        <f>"                              "</f>
        <v xml:space="preserve">        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42.16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1</v>
      </c>
      <c r="BI134" s="3">
        <v>1</v>
      </c>
      <c r="BJ134" s="3">
        <v>0.2</v>
      </c>
      <c r="BK134" s="3">
        <v>1</v>
      </c>
      <c r="BL134" s="3">
        <v>166.16</v>
      </c>
      <c r="BM134" s="3">
        <v>24.92</v>
      </c>
      <c r="BN134" s="3">
        <v>191.08</v>
      </c>
      <c r="BO134" s="3">
        <v>191.08</v>
      </c>
      <c r="BQ134" s="3" t="s">
        <v>388</v>
      </c>
      <c r="BR134" s="3" t="s">
        <v>389</v>
      </c>
      <c r="BS134" s="4">
        <v>44586</v>
      </c>
      <c r="BT134" s="5">
        <v>0.3263888888888889</v>
      </c>
      <c r="BU134" s="3" t="s">
        <v>390</v>
      </c>
      <c r="BV134" s="3" t="s">
        <v>95</v>
      </c>
      <c r="BY134" s="3">
        <v>1200</v>
      </c>
      <c r="BZ134" s="3" t="s">
        <v>85</v>
      </c>
      <c r="CA134" s="3" t="s">
        <v>326</v>
      </c>
      <c r="CC134" s="3" t="s">
        <v>290</v>
      </c>
      <c r="CD134" s="3">
        <v>2169</v>
      </c>
      <c r="CE134" s="3" t="s">
        <v>86</v>
      </c>
      <c r="CF134" s="4">
        <v>44586</v>
      </c>
      <c r="CI134" s="3">
        <v>1</v>
      </c>
      <c r="CJ134" s="3">
        <v>1</v>
      </c>
      <c r="CK134" s="3">
        <v>43</v>
      </c>
      <c r="CL134" s="3" t="s">
        <v>87</v>
      </c>
    </row>
    <row r="135" spans="1:90" x14ac:dyDescent="0.2">
      <c r="A135" s="3" t="s">
        <v>72</v>
      </c>
      <c r="B135" s="3" t="s">
        <v>73</v>
      </c>
      <c r="C135" s="3" t="s">
        <v>74</v>
      </c>
      <c r="E135" s="3" t="str">
        <f>"009940901411"</f>
        <v>009940901411</v>
      </c>
      <c r="F135" s="4">
        <v>44585</v>
      </c>
      <c r="G135" s="3">
        <v>202207</v>
      </c>
      <c r="H135" s="3" t="s">
        <v>90</v>
      </c>
      <c r="I135" s="3" t="s">
        <v>91</v>
      </c>
      <c r="J135" s="3" t="s">
        <v>77</v>
      </c>
      <c r="K135" s="3" t="s">
        <v>78</v>
      </c>
      <c r="L135" s="3" t="s">
        <v>144</v>
      </c>
      <c r="M135" s="3" t="s">
        <v>145</v>
      </c>
      <c r="N135" s="3" t="s">
        <v>391</v>
      </c>
      <c r="O135" s="3" t="s">
        <v>81</v>
      </c>
      <c r="P135" s="3" t="str">
        <f>"                              "</f>
        <v xml:space="preserve">        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60.5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18</v>
      </c>
      <c r="BJ135" s="3">
        <v>46.8</v>
      </c>
      <c r="BK135" s="3">
        <v>47</v>
      </c>
      <c r="BL135" s="3">
        <v>236.18</v>
      </c>
      <c r="BM135" s="3">
        <v>35.43</v>
      </c>
      <c r="BN135" s="3">
        <v>271.61</v>
      </c>
      <c r="BO135" s="3">
        <v>271.61</v>
      </c>
      <c r="BQ135" s="3" t="s">
        <v>392</v>
      </c>
      <c r="BS135" s="4">
        <v>44586</v>
      </c>
      <c r="BT135" s="5">
        <v>0.61249999999999993</v>
      </c>
      <c r="BU135" s="3" t="s">
        <v>393</v>
      </c>
      <c r="BV135" s="3" t="s">
        <v>95</v>
      </c>
      <c r="BY135" s="3">
        <v>234000</v>
      </c>
      <c r="BZ135" s="3" t="s">
        <v>85</v>
      </c>
      <c r="CA135" s="3" t="s">
        <v>394</v>
      </c>
      <c r="CC135" s="3" t="s">
        <v>145</v>
      </c>
      <c r="CD135" s="3">
        <v>850</v>
      </c>
      <c r="CE135" s="3" t="s">
        <v>86</v>
      </c>
      <c r="CF135" s="4">
        <v>44586</v>
      </c>
      <c r="CI135" s="3">
        <v>1</v>
      </c>
      <c r="CJ135" s="3">
        <v>1</v>
      </c>
      <c r="CK135" s="3">
        <v>44</v>
      </c>
      <c r="CL135" s="3" t="s">
        <v>87</v>
      </c>
    </row>
    <row r="136" spans="1:90" x14ac:dyDescent="0.2">
      <c r="A136" s="3" t="s">
        <v>72</v>
      </c>
      <c r="B136" s="3" t="s">
        <v>73</v>
      </c>
      <c r="C136" s="3" t="s">
        <v>74</v>
      </c>
      <c r="E136" s="3" t="str">
        <f>"009940900520"</f>
        <v>009940900520</v>
      </c>
      <c r="F136" s="4">
        <v>44585</v>
      </c>
      <c r="G136" s="3">
        <v>202207</v>
      </c>
      <c r="H136" s="3" t="s">
        <v>90</v>
      </c>
      <c r="I136" s="3" t="s">
        <v>91</v>
      </c>
      <c r="J136" s="3" t="s">
        <v>77</v>
      </c>
      <c r="K136" s="3" t="s">
        <v>78</v>
      </c>
      <c r="L136" s="3" t="s">
        <v>88</v>
      </c>
      <c r="M136" s="3" t="s">
        <v>89</v>
      </c>
      <c r="N136" s="3" t="s">
        <v>395</v>
      </c>
      <c r="O136" s="3" t="s">
        <v>81</v>
      </c>
      <c r="P136" s="3" t="str">
        <f>"                              "</f>
        <v xml:space="preserve">        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81.12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3</v>
      </c>
      <c r="BI136" s="3">
        <v>39</v>
      </c>
      <c r="BJ136" s="3">
        <v>70.8</v>
      </c>
      <c r="BK136" s="3">
        <v>71</v>
      </c>
      <c r="BL136" s="3">
        <v>314.88</v>
      </c>
      <c r="BM136" s="3">
        <v>47.23</v>
      </c>
      <c r="BN136" s="3">
        <v>362.11</v>
      </c>
      <c r="BO136" s="3">
        <v>362.11</v>
      </c>
      <c r="BQ136" s="3" t="s">
        <v>396</v>
      </c>
      <c r="BS136" s="4">
        <v>44586</v>
      </c>
      <c r="BT136" s="5">
        <v>0.65208333333333335</v>
      </c>
      <c r="BU136" s="3" t="s">
        <v>397</v>
      </c>
      <c r="BV136" s="3" t="s">
        <v>95</v>
      </c>
      <c r="BY136" s="3">
        <v>354000</v>
      </c>
      <c r="BZ136" s="3" t="s">
        <v>85</v>
      </c>
      <c r="CA136" s="3" t="s">
        <v>398</v>
      </c>
      <c r="CC136" s="3" t="s">
        <v>89</v>
      </c>
      <c r="CD136" s="3">
        <v>1150</v>
      </c>
      <c r="CE136" s="3" t="s">
        <v>86</v>
      </c>
      <c r="CF136" s="4">
        <v>44587</v>
      </c>
      <c r="CI136" s="3">
        <v>2</v>
      </c>
      <c r="CJ136" s="3">
        <v>1</v>
      </c>
      <c r="CK136" s="3">
        <v>44</v>
      </c>
      <c r="CL136" s="3" t="s">
        <v>87</v>
      </c>
    </row>
    <row r="137" spans="1:90" x14ac:dyDescent="0.2">
      <c r="A137" s="3" t="s">
        <v>72</v>
      </c>
      <c r="B137" s="3" t="s">
        <v>73</v>
      </c>
      <c r="C137" s="3" t="s">
        <v>74</v>
      </c>
      <c r="E137" s="3" t="str">
        <f>"009941783533"</f>
        <v>009941783533</v>
      </c>
      <c r="F137" s="4">
        <v>44586</v>
      </c>
      <c r="G137" s="3">
        <v>202207</v>
      </c>
      <c r="H137" s="3" t="s">
        <v>144</v>
      </c>
      <c r="I137" s="3" t="s">
        <v>145</v>
      </c>
      <c r="J137" s="3" t="s">
        <v>77</v>
      </c>
      <c r="K137" s="3" t="s">
        <v>78</v>
      </c>
      <c r="L137" s="3" t="s">
        <v>79</v>
      </c>
      <c r="M137" s="3" t="s">
        <v>80</v>
      </c>
      <c r="N137" s="3" t="s">
        <v>77</v>
      </c>
      <c r="O137" s="3" t="s">
        <v>81</v>
      </c>
      <c r="P137" s="3" t="str">
        <f>"                              "</f>
        <v xml:space="preserve">                 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169.29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6</v>
      </c>
      <c r="BI137" s="3">
        <v>73.7</v>
      </c>
      <c r="BJ137" s="3">
        <v>56.7</v>
      </c>
      <c r="BK137" s="3">
        <v>74</v>
      </c>
      <c r="BL137" s="3">
        <v>651.41999999999996</v>
      </c>
      <c r="BM137" s="3">
        <v>97.71</v>
      </c>
      <c r="BN137" s="3">
        <v>749.13</v>
      </c>
      <c r="BO137" s="3">
        <v>749.13</v>
      </c>
      <c r="BQ137" s="3" t="s">
        <v>399</v>
      </c>
      <c r="BR137" s="3" t="s">
        <v>354</v>
      </c>
      <c r="BS137" s="4">
        <v>44587</v>
      </c>
      <c r="BT137" s="5">
        <v>0.36041666666666666</v>
      </c>
      <c r="BU137" s="3" t="s">
        <v>135</v>
      </c>
      <c r="BV137" s="3" t="s">
        <v>95</v>
      </c>
      <c r="BY137" s="3">
        <v>94500</v>
      </c>
      <c r="BZ137" s="3" t="s">
        <v>85</v>
      </c>
      <c r="CA137" s="3" t="s">
        <v>136</v>
      </c>
      <c r="CC137" s="3" t="s">
        <v>80</v>
      </c>
      <c r="CD137" s="3">
        <v>2146</v>
      </c>
      <c r="CE137" s="3" t="s">
        <v>86</v>
      </c>
      <c r="CF137" s="4">
        <v>44588</v>
      </c>
      <c r="CI137" s="3">
        <v>1</v>
      </c>
      <c r="CJ137" s="3">
        <v>1</v>
      </c>
      <c r="CK137" s="3">
        <v>43</v>
      </c>
      <c r="CL137" s="3" t="s">
        <v>87</v>
      </c>
    </row>
    <row r="138" spans="1:90" x14ac:dyDescent="0.2">
      <c r="A138" s="3" t="s">
        <v>72</v>
      </c>
      <c r="B138" s="3" t="s">
        <v>73</v>
      </c>
      <c r="C138" s="3" t="s">
        <v>74</v>
      </c>
      <c r="E138" s="3" t="str">
        <f>"009941851505"</f>
        <v>009941851505</v>
      </c>
      <c r="F138" s="4">
        <v>44586</v>
      </c>
      <c r="G138" s="3">
        <v>202207</v>
      </c>
      <c r="H138" s="3" t="s">
        <v>79</v>
      </c>
      <c r="I138" s="3" t="s">
        <v>80</v>
      </c>
      <c r="J138" s="3" t="s">
        <v>77</v>
      </c>
      <c r="K138" s="3" t="s">
        <v>78</v>
      </c>
      <c r="L138" s="3" t="s">
        <v>108</v>
      </c>
      <c r="M138" s="3" t="s">
        <v>109</v>
      </c>
      <c r="N138" s="3" t="s">
        <v>400</v>
      </c>
      <c r="O138" s="3" t="s">
        <v>115</v>
      </c>
      <c r="P138" s="3" t="str">
        <f t="shared" ref="P138:P143" si="4">"STORES                        "</f>
        <v xml:space="preserve">STORES      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15.46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1</v>
      </c>
      <c r="BJ138" s="3">
        <v>0.2</v>
      </c>
      <c r="BK138" s="3">
        <v>1</v>
      </c>
      <c r="BL138" s="3">
        <v>59</v>
      </c>
      <c r="BM138" s="3">
        <v>8.85</v>
      </c>
      <c r="BN138" s="3">
        <v>67.849999999999994</v>
      </c>
      <c r="BO138" s="3">
        <v>67.849999999999994</v>
      </c>
      <c r="BQ138" s="3" t="s">
        <v>118</v>
      </c>
      <c r="BR138" s="3" t="s">
        <v>111</v>
      </c>
      <c r="BS138" s="4">
        <v>44587</v>
      </c>
      <c r="BT138" s="5">
        <v>0.45208333333333334</v>
      </c>
      <c r="BU138" s="3" t="s">
        <v>303</v>
      </c>
      <c r="BV138" s="3" t="s">
        <v>95</v>
      </c>
      <c r="BY138" s="3">
        <v>1200</v>
      </c>
      <c r="BZ138" s="3" t="s">
        <v>117</v>
      </c>
      <c r="CA138" s="3" t="s">
        <v>206</v>
      </c>
      <c r="CC138" s="3" t="s">
        <v>109</v>
      </c>
      <c r="CD138" s="3">
        <v>9332</v>
      </c>
      <c r="CE138" s="3" t="s">
        <v>86</v>
      </c>
      <c r="CF138" s="4">
        <v>44589</v>
      </c>
      <c r="CI138" s="3">
        <v>1</v>
      </c>
      <c r="CJ138" s="3">
        <v>1</v>
      </c>
      <c r="CK138" s="3">
        <v>21</v>
      </c>
      <c r="CL138" s="3" t="s">
        <v>87</v>
      </c>
    </row>
    <row r="139" spans="1:90" x14ac:dyDescent="0.2">
      <c r="A139" s="3" t="s">
        <v>72</v>
      </c>
      <c r="B139" s="3" t="s">
        <v>73</v>
      </c>
      <c r="C139" s="3" t="s">
        <v>74</v>
      </c>
      <c r="E139" s="3" t="str">
        <f>"009941171586"</f>
        <v>009941171586</v>
      </c>
      <c r="F139" s="4">
        <v>44586</v>
      </c>
      <c r="G139" s="3">
        <v>202207</v>
      </c>
      <c r="H139" s="3" t="s">
        <v>79</v>
      </c>
      <c r="I139" s="3" t="s">
        <v>80</v>
      </c>
      <c r="J139" s="3" t="s">
        <v>77</v>
      </c>
      <c r="K139" s="3" t="s">
        <v>78</v>
      </c>
      <c r="L139" s="3" t="s">
        <v>401</v>
      </c>
      <c r="M139" s="3" t="s">
        <v>402</v>
      </c>
      <c r="N139" s="3" t="s">
        <v>286</v>
      </c>
      <c r="O139" s="3" t="s">
        <v>115</v>
      </c>
      <c r="P139" s="3" t="str">
        <f t="shared" si="4"/>
        <v xml:space="preserve">STORES      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29.95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15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1</v>
      </c>
      <c r="BJ139" s="3">
        <v>0.2</v>
      </c>
      <c r="BK139" s="3">
        <v>1</v>
      </c>
      <c r="BL139" s="3">
        <v>129.31</v>
      </c>
      <c r="BM139" s="3">
        <v>19.399999999999999</v>
      </c>
      <c r="BN139" s="3">
        <v>148.71</v>
      </c>
      <c r="BO139" s="3">
        <v>148.71</v>
      </c>
      <c r="BQ139" s="3" t="s">
        <v>403</v>
      </c>
      <c r="BR139" s="3" t="s">
        <v>111</v>
      </c>
      <c r="BS139" s="4">
        <v>44587</v>
      </c>
      <c r="BT139" s="5">
        <v>0.43055555555555558</v>
      </c>
      <c r="BU139" s="3" t="s">
        <v>404</v>
      </c>
      <c r="BV139" s="3" t="s">
        <v>95</v>
      </c>
      <c r="BY139" s="3">
        <v>1200</v>
      </c>
      <c r="BZ139" s="3" t="s">
        <v>122</v>
      </c>
      <c r="CC139" s="3" t="s">
        <v>402</v>
      </c>
      <c r="CD139" s="3">
        <v>2745</v>
      </c>
      <c r="CE139" s="3" t="s">
        <v>86</v>
      </c>
      <c r="CF139" s="4">
        <v>44588</v>
      </c>
      <c r="CI139" s="3">
        <v>1</v>
      </c>
      <c r="CJ139" s="3">
        <v>1</v>
      </c>
      <c r="CK139" s="3">
        <v>23</v>
      </c>
      <c r="CL139" s="3" t="s">
        <v>87</v>
      </c>
    </row>
    <row r="140" spans="1:90" x14ac:dyDescent="0.2">
      <c r="A140" s="3" t="s">
        <v>72</v>
      </c>
      <c r="B140" s="3" t="s">
        <v>73</v>
      </c>
      <c r="C140" s="3" t="s">
        <v>74</v>
      </c>
      <c r="E140" s="3" t="str">
        <f>"009941332009"</f>
        <v>009941332009</v>
      </c>
      <c r="F140" s="4">
        <v>44585</v>
      </c>
      <c r="G140" s="3">
        <v>202207</v>
      </c>
      <c r="H140" s="3" t="s">
        <v>79</v>
      </c>
      <c r="I140" s="3" t="s">
        <v>80</v>
      </c>
      <c r="J140" s="3" t="s">
        <v>77</v>
      </c>
      <c r="K140" s="3" t="s">
        <v>78</v>
      </c>
      <c r="L140" s="3" t="s">
        <v>126</v>
      </c>
      <c r="M140" s="3" t="s">
        <v>127</v>
      </c>
      <c r="N140" s="3" t="s">
        <v>405</v>
      </c>
      <c r="O140" s="3" t="s">
        <v>81</v>
      </c>
      <c r="P140" s="3" t="str">
        <f t="shared" si="4"/>
        <v xml:space="preserve">STORES   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101.34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3</v>
      </c>
      <c r="BI140" s="3">
        <v>72.400000000000006</v>
      </c>
      <c r="BJ140" s="3">
        <v>54.5</v>
      </c>
      <c r="BK140" s="3">
        <v>73</v>
      </c>
      <c r="BL140" s="3">
        <v>392.05</v>
      </c>
      <c r="BM140" s="3">
        <v>58.81</v>
      </c>
      <c r="BN140" s="3">
        <v>450.86</v>
      </c>
      <c r="BO140" s="3">
        <v>450.86</v>
      </c>
      <c r="BQ140" s="3" t="s">
        <v>406</v>
      </c>
      <c r="BR140" s="3" t="s">
        <v>361</v>
      </c>
      <c r="BS140" s="4">
        <v>44587</v>
      </c>
      <c r="BT140" s="5">
        <v>0.36458333333333331</v>
      </c>
      <c r="BU140" s="3" t="s">
        <v>407</v>
      </c>
      <c r="BV140" s="3" t="s">
        <v>95</v>
      </c>
      <c r="BY140" s="3">
        <v>272359.49</v>
      </c>
      <c r="BZ140" s="3" t="s">
        <v>85</v>
      </c>
      <c r="CC140" s="3" t="s">
        <v>127</v>
      </c>
      <c r="CD140" s="3">
        <v>6536</v>
      </c>
      <c r="CE140" s="3" t="s">
        <v>86</v>
      </c>
      <c r="CF140" s="4">
        <v>44588</v>
      </c>
      <c r="CI140" s="3">
        <v>2</v>
      </c>
      <c r="CJ140" s="3">
        <v>2</v>
      </c>
      <c r="CK140" s="3">
        <v>41</v>
      </c>
      <c r="CL140" s="3" t="s">
        <v>87</v>
      </c>
    </row>
    <row r="141" spans="1:90" x14ac:dyDescent="0.2">
      <c r="A141" s="3" t="s">
        <v>72</v>
      </c>
      <c r="B141" s="3" t="s">
        <v>73</v>
      </c>
      <c r="C141" s="3" t="s">
        <v>74</v>
      </c>
      <c r="E141" s="3" t="str">
        <f>"009941291357"</f>
        <v>009941291357</v>
      </c>
      <c r="F141" s="4">
        <v>44585</v>
      </c>
      <c r="G141" s="3">
        <v>202207</v>
      </c>
      <c r="H141" s="3" t="s">
        <v>79</v>
      </c>
      <c r="I141" s="3" t="s">
        <v>80</v>
      </c>
      <c r="J141" s="3" t="s">
        <v>77</v>
      </c>
      <c r="K141" s="3" t="s">
        <v>78</v>
      </c>
      <c r="L141" s="3" t="s">
        <v>108</v>
      </c>
      <c r="M141" s="3" t="s">
        <v>109</v>
      </c>
      <c r="N141" s="3" t="s">
        <v>77</v>
      </c>
      <c r="O141" s="3" t="s">
        <v>81</v>
      </c>
      <c r="P141" s="3" t="str">
        <f t="shared" si="4"/>
        <v xml:space="preserve">STORES   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89.02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2</v>
      </c>
      <c r="BI141" s="3">
        <v>53.1</v>
      </c>
      <c r="BJ141" s="3">
        <v>62.9</v>
      </c>
      <c r="BK141" s="3">
        <v>63</v>
      </c>
      <c r="BL141" s="3">
        <v>345.03</v>
      </c>
      <c r="BM141" s="3">
        <v>51.75</v>
      </c>
      <c r="BN141" s="3">
        <v>396.78</v>
      </c>
      <c r="BO141" s="3">
        <v>396.78</v>
      </c>
      <c r="BQ141" s="3" t="s">
        <v>118</v>
      </c>
      <c r="BR141" s="3" t="s">
        <v>118</v>
      </c>
      <c r="BS141" s="4">
        <v>44586</v>
      </c>
      <c r="BT141" s="5">
        <v>0.46180555555555558</v>
      </c>
      <c r="BU141" s="3" t="s">
        <v>303</v>
      </c>
      <c r="BV141" s="3" t="s">
        <v>95</v>
      </c>
      <c r="BY141" s="3">
        <v>314417.76</v>
      </c>
      <c r="BZ141" s="3" t="s">
        <v>85</v>
      </c>
      <c r="CA141" s="3" t="s">
        <v>206</v>
      </c>
      <c r="CC141" s="3" t="s">
        <v>109</v>
      </c>
      <c r="CD141" s="3">
        <v>9300</v>
      </c>
      <c r="CE141" s="3" t="s">
        <v>86</v>
      </c>
      <c r="CF141" s="4">
        <v>44587</v>
      </c>
      <c r="CI141" s="3">
        <v>1</v>
      </c>
      <c r="CJ141" s="3">
        <v>1</v>
      </c>
      <c r="CK141" s="3">
        <v>41</v>
      </c>
      <c r="CL141" s="3" t="s">
        <v>87</v>
      </c>
    </row>
    <row r="142" spans="1:90" x14ac:dyDescent="0.2">
      <c r="A142" s="3" t="s">
        <v>72</v>
      </c>
      <c r="B142" s="3" t="s">
        <v>73</v>
      </c>
      <c r="C142" s="3" t="s">
        <v>74</v>
      </c>
      <c r="E142" s="3" t="str">
        <f>"009941332708"</f>
        <v>009941332708</v>
      </c>
      <c r="F142" s="4">
        <v>44585</v>
      </c>
      <c r="G142" s="3">
        <v>202207</v>
      </c>
      <c r="H142" s="3" t="s">
        <v>79</v>
      </c>
      <c r="I142" s="3" t="s">
        <v>80</v>
      </c>
      <c r="J142" s="3" t="s">
        <v>77</v>
      </c>
      <c r="K142" s="3" t="s">
        <v>78</v>
      </c>
      <c r="L142" s="3" t="s">
        <v>120</v>
      </c>
      <c r="M142" s="3" t="s">
        <v>121</v>
      </c>
      <c r="N142" s="3" t="s">
        <v>77</v>
      </c>
      <c r="O142" s="3" t="s">
        <v>81</v>
      </c>
      <c r="P142" s="3" t="str">
        <f t="shared" si="4"/>
        <v xml:space="preserve">STORES     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42.16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15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2</v>
      </c>
      <c r="BI142" s="3">
        <v>10.4</v>
      </c>
      <c r="BJ142" s="3">
        <v>13.1</v>
      </c>
      <c r="BK142" s="3">
        <v>14</v>
      </c>
      <c r="BL142" s="3">
        <v>181.16</v>
      </c>
      <c r="BM142" s="3">
        <v>27.17</v>
      </c>
      <c r="BN142" s="3">
        <v>208.33</v>
      </c>
      <c r="BO142" s="3">
        <v>208.33</v>
      </c>
      <c r="BQ142" s="3" t="s">
        <v>118</v>
      </c>
      <c r="BR142" s="3" t="s">
        <v>361</v>
      </c>
      <c r="BS142" s="4">
        <v>44586</v>
      </c>
      <c r="BT142" s="5">
        <v>0.4375</v>
      </c>
      <c r="BU142" s="3" t="s">
        <v>241</v>
      </c>
      <c r="BV142" s="3" t="s">
        <v>95</v>
      </c>
      <c r="BY142" s="3">
        <v>65721.58</v>
      </c>
      <c r="BZ142" s="3" t="s">
        <v>230</v>
      </c>
      <c r="CC142" s="3" t="s">
        <v>121</v>
      </c>
      <c r="CD142" s="3">
        <v>8460</v>
      </c>
      <c r="CE142" s="3" t="s">
        <v>86</v>
      </c>
      <c r="CF142" s="4">
        <v>44587</v>
      </c>
      <c r="CI142" s="3">
        <v>1</v>
      </c>
      <c r="CJ142" s="3">
        <v>1</v>
      </c>
      <c r="CK142" s="3">
        <v>43</v>
      </c>
      <c r="CL142" s="3" t="s">
        <v>87</v>
      </c>
    </row>
    <row r="143" spans="1:90" x14ac:dyDescent="0.2">
      <c r="A143" s="3" t="s">
        <v>72</v>
      </c>
      <c r="B143" s="3" t="s">
        <v>73</v>
      </c>
      <c r="C143" s="3" t="s">
        <v>74</v>
      </c>
      <c r="E143" s="3" t="str">
        <f>"009941332607"</f>
        <v>009941332607</v>
      </c>
      <c r="F143" s="4">
        <v>44585</v>
      </c>
      <c r="G143" s="3">
        <v>202207</v>
      </c>
      <c r="H143" s="3" t="s">
        <v>79</v>
      </c>
      <c r="I143" s="3" t="s">
        <v>80</v>
      </c>
      <c r="J143" s="3" t="s">
        <v>77</v>
      </c>
      <c r="K143" s="3" t="s">
        <v>78</v>
      </c>
      <c r="L143" s="3" t="s">
        <v>112</v>
      </c>
      <c r="M143" s="3" t="s">
        <v>113</v>
      </c>
      <c r="N143" s="3" t="s">
        <v>77</v>
      </c>
      <c r="O143" s="3" t="s">
        <v>81</v>
      </c>
      <c r="P143" s="3" t="str">
        <f t="shared" si="4"/>
        <v xml:space="preserve">STORES    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78.790000000000006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1</v>
      </c>
      <c r="BI143" s="3">
        <v>31.4</v>
      </c>
      <c r="BJ143" s="3">
        <v>20.5</v>
      </c>
      <c r="BK143" s="3">
        <v>32</v>
      </c>
      <c r="BL143" s="3">
        <v>305.98</v>
      </c>
      <c r="BM143" s="3">
        <v>45.9</v>
      </c>
      <c r="BN143" s="3">
        <v>351.88</v>
      </c>
      <c r="BO143" s="3">
        <v>351.88</v>
      </c>
      <c r="BQ143" s="3" t="s">
        <v>116</v>
      </c>
      <c r="BR143" s="3" t="s">
        <v>111</v>
      </c>
      <c r="BS143" s="4">
        <v>44586</v>
      </c>
      <c r="BT143" s="5">
        <v>0.6020833333333333</v>
      </c>
      <c r="BU143" s="3" t="s">
        <v>408</v>
      </c>
      <c r="BV143" s="3" t="s">
        <v>95</v>
      </c>
      <c r="BY143" s="3">
        <v>102564.32</v>
      </c>
      <c r="BZ143" s="3" t="s">
        <v>85</v>
      </c>
      <c r="CA143" s="3" t="s">
        <v>409</v>
      </c>
      <c r="CC143" s="3" t="s">
        <v>113</v>
      </c>
      <c r="CD143" s="3">
        <v>300</v>
      </c>
      <c r="CE143" s="3" t="s">
        <v>86</v>
      </c>
      <c r="CF143" s="4">
        <v>44586</v>
      </c>
      <c r="CI143" s="3">
        <v>1</v>
      </c>
      <c r="CJ143" s="3">
        <v>1</v>
      </c>
      <c r="CK143" s="3">
        <v>43</v>
      </c>
      <c r="CL143" s="3" t="s">
        <v>87</v>
      </c>
    </row>
    <row r="144" spans="1:90" x14ac:dyDescent="0.2">
      <c r="A144" s="3" t="s">
        <v>72</v>
      </c>
      <c r="B144" s="3" t="s">
        <v>73</v>
      </c>
      <c r="C144" s="3" t="s">
        <v>74</v>
      </c>
      <c r="E144" s="3" t="str">
        <f>"009942086267"</f>
        <v>009942086267</v>
      </c>
      <c r="F144" s="4">
        <v>44585</v>
      </c>
      <c r="G144" s="3">
        <v>202207</v>
      </c>
      <c r="H144" s="3" t="s">
        <v>103</v>
      </c>
      <c r="I144" s="3" t="s">
        <v>104</v>
      </c>
      <c r="J144" s="3" t="s">
        <v>176</v>
      </c>
      <c r="K144" s="3" t="s">
        <v>78</v>
      </c>
      <c r="L144" s="3" t="s">
        <v>177</v>
      </c>
      <c r="M144" s="3" t="s">
        <v>178</v>
      </c>
      <c r="N144" s="3" t="s">
        <v>77</v>
      </c>
      <c r="O144" s="3" t="s">
        <v>81</v>
      </c>
      <c r="P144" s="3" t="str">
        <f>"                              "</f>
        <v xml:space="preserve">                 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59.46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30</v>
      </c>
      <c r="BJ144" s="3">
        <v>38.200000000000003</v>
      </c>
      <c r="BK144" s="3">
        <v>39</v>
      </c>
      <c r="BL144" s="3">
        <v>232.19</v>
      </c>
      <c r="BM144" s="3">
        <v>34.83</v>
      </c>
      <c r="BN144" s="3">
        <v>267.02</v>
      </c>
      <c r="BO144" s="3">
        <v>267.02</v>
      </c>
      <c r="BQ144" s="3" t="s">
        <v>180</v>
      </c>
      <c r="BR144" s="3" t="s">
        <v>181</v>
      </c>
      <c r="BS144" s="4">
        <v>44586</v>
      </c>
      <c r="BT144" s="5">
        <v>0.41666666666666669</v>
      </c>
      <c r="BU144" s="3" t="s">
        <v>179</v>
      </c>
      <c r="BV144" s="3" t="s">
        <v>95</v>
      </c>
      <c r="BY144" s="3">
        <v>190960</v>
      </c>
      <c r="BZ144" s="3" t="s">
        <v>85</v>
      </c>
      <c r="CC144" s="3" t="s">
        <v>178</v>
      </c>
      <c r="CD144" s="3">
        <v>5200</v>
      </c>
      <c r="CE144" s="3" t="s">
        <v>86</v>
      </c>
      <c r="CF144" s="4">
        <v>44586</v>
      </c>
      <c r="CI144" s="3">
        <v>1</v>
      </c>
      <c r="CJ144" s="3">
        <v>1</v>
      </c>
      <c r="CK144" s="3">
        <v>41</v>
      </c>
      <c r="CL144" s="3" t="s">
        <v>87</v>
      </c>
    </row>
    <row r="145" spans="1:90" x14ac:dyDescent="0.2">
      <c r="A145" s="3" t="s">
        <v>72</v>
      </c>
      <c r="B145" s="3" t="s">
        <v>73</v>
      </c>
      <c r="C145" s="3" t="s">
        <v>74</v>
      </c>
      <c r="E145" s="3" t="str">
        <f>"009942086268"</f>
        <v>009942086268</v>
      </c>
      <c r="F145" s="4">
        <v>44585</v>
      </c>
      <c r="G145" s="3">
        <v>202207</v>
      </c>
      <c r="H145" s="3" t="s">
        <v>103</v>
      </c>
      <c r="I145" s="3" t="s">
        <v>104</v>
      </c>
      <c r="J145" s="3" t="s">
        <v>176</v>
      </c>
      <c r="K145" s="3" t="s">
        <v>78</v>
      </c>
      <c r="L145" s="3" t="s">
        <v>225</v>
      </c>
      <c r="M145" s="3" t="s">
        <v>226</v>
      </c>
      <c r="N145" s="3" t="s">
        <v>77</v>
      </c>
      <c r="O145" s="3" t="s">
        <v>81</v>
      </c>
      <c r="P145" s="3" t="str">
        <f>"                              "</f>
        <v xml:space="preserve">          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93.87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23</v>
      </c>
      <c r="BJ145" s="3">
        <v>38.200000000000003</v>
      </c>
      <c r="BK145" s="3">
        <v>39</v>
      </c>
      <c r="BL145" s="3">
        <v>363.55</v>
      </c>
      <c r="BM145" s="3">
        <v>54.53</v>
      </c>
      <c r="BN145" s="3">
        <v>418.08</v>
      </c>
      <c r="BO145" s="3">
        <v>418.08</v>
      </c>
      <c r="BQ145" s="3" t="s">
        <v>410</v>
      </c>
      <c r="BR145" s="3" t="s">
        <v>181</v>
      </c>
      <c r="BS145" s="4">
        <v>44587</v>
      </c>
      <c r="BT145" s="5">
        <v>0.40763888888888888</v>
      </c>
      <c r="BU145" s="3" t="s">
        <v>411</v>
      </c>
      <c r="BV145" s="3" t="s">
        <v>95</v>
      </c>
      <c r="BY145" s="3">
        <v>190960</v>
      </c>
      <c r="BZ145" s="3" t="s">
        <v>85</v>
      </c>
      <c r="CC145" s="3" t="s">
        <v>226</v>
      </c>
      <c r="CD145" s="3">
        <v>5320</v>
      </c>
      <c r="CE145" s="3" t="s">
        <v>86</v>
      </c>
      <c r="CF145" s="4">
        <v>44589</v>
      </c>
      <c r="CI145" s="3">
        <v>5</v>
      </c>
      <c r="CJ145" s="3">
        <v>2</v>
      </c>
      <c r="CK145" s="3">
        <v>43</v>
      </c>
      <c r="CL145" s="3" t="s">
        <v>87</v>
      </c>
    </row>
    <row r="146" spans="1:90" x14ac:dyDescent="0.2">
      <c r="A146" s="3" t="s">
        <v>72</v>
      </c>
      <c r="B146" s="3" t="s">
        <v>73</v>
      </c>
      <c r="C146" s="3" t="s">
        <v>74</v>
      </c>
      <c r="E146" s="3" t="str">
        <f>"009941171585"</f>
        <v>009941171585</v>
      </c>
      <c r="F146" s="4">
        <v>44586</v>
      </c>
      <c r="G146" s="3">
        <v>202207</v>
      </c>
      <c r="H146" s="3" t="s">
        <v>79</v>
      </c>
      <c r="I146" s="3" t="s">
        <v>80</v>
      </c>
      <c r="J146" s="3" t="s">
        <v>77</v>
      </c>
      <c r="K146" s="3" t="s">
        <v>78</v>
      </c>
      <c r="L146" s="3" t="s">
        <v>317</v>
      </c>
      <c r="M146" s="3" t="s">
        <v>318</v>
      </c>
      <c r="N146" s="3" t="s">
        <v>77</v>
      </c>
      <c r="O146" s="3" t="s">
        <v>115</v>
      </c>
      <c r="P146" s="3" t="str">
        <f>"STORES                        "</f>
        <v xml:space="preserve">STORES           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29.95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1</v>
      </c>
      <c r="BJ146" s="3">
        <v>0.2</v>
      </c>
      <c r="BK146" s="3">
        <v>1</v>
      </c>
      <c r="BL146" s="3">
        <v>114.31</v>
      </c>
      <c r="BM146" s="3">
        <v>17.149999999999999</v>
      </c>
      <c r="BN146" s="3">
        <v>131.46</v>
      </c>
      <c r="BO146" s="3">
        <v>131.46</v>
      </c>
      <c r="BQ146" s="3" t="s">
        <v>412</v>
      </c>
      <c r="BR146" s="3" t="s">
        <v>111</v>
      </c>
      <c r="BS146" s="4">
        <v>44589</v>
      </c>
      <c r="BT146" s="5">
        <v>0.33333333333333331</v>
      </c>
      <c r="BU146" s="3" t="s">
        <v>255</v>
      </c>
      <c r="BV146" s="3" t="s">
        <v>87</v>
      </c>
      <c r="BW146" s="3" t="s">
        <v>183</v>
      </c>
      <c r="BX146" s="3" t="s">
        <v>413</v>
      </c>
      <c r="BY146" s="3">
        <v>1200</v>
      </c>
      <c r="BZ146" s="3" t="s">
        <v>117</v>
      </c>
      <c r="CC146" s="3" t="s">
        <v>318</v>
      </c>
      <c r="CD146" s="3">
        <v>9700</v>
      </c>
      <c r="CE146" s="3" t="s">
        <v>86</v>
      </c>
      <c r="CI146" s="3">
        <v>1</v>
      </c>
      <c r="CJ146" s="3">
        <v>3</v>
      </c>
      <c r="CK146" s="3">
        <v>23</v>
      </c>
      <c r="CL146" s="3" t="s">
        <v>87</v>
      </c>
    </row>
    <row r="147" spans="1:90" x14ac:dyDescent="0.2">
      <c r="A147" s="3" t="s">
        <v>72</v>
      </c>
      <c r="B147" s="3" t="s">
        <v>73</v>
      </c>
      <c r="C147" s="3" t="s">
        <v>74</v>
      </c>
      <c r="E147" s="3" t="str">
        <f>"009941332906"</f>
        <v>009941332906</v>
      </c>
      <c r="F147" s="4">
        <v>44586</v>
      </c>
      <c r="G147" s="3">
        <v>202207</v>
      </c>
      <c r="H147" s="3" t="s">
        <v>79</v>
      </c>
      <c r="I147" s="3" t="s">
        <v>80</v>
      </c>
      <c r="J147" s="3" t="s">
        <v>77</v>
      </c>
      <c r="K147" s="3" t="s">
        <v>78</v>
      </c>
      <c r="L147" s="3" t="s">
        <v>157</v>
      </c>
      <c r="M147" s="3" t="s">
        <v>158</v>
      </c>
      <c r="N147" s="3" t="s">
        <v>77</v>
      </c>
      <c r="O147" s="3" t="s">
        <v>81</v>
      </c>
      <c r="P147" s="3" t="str">
        <f>"STORES                        "</f>
        <v xml:space="preserve">STORES    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117.35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2</v>
      </c>
      <c r="BI147" s="3">
        <v>64</v>
      </c>
      <c r="BJ147" s="3">
        <v>85.8</v>
      </c>
      <c r="BK147" s="3">
        <v>86</v>
      </c>
      <c r="BL147" s="3">
        <v>453.17</v>
      </c>
      <c r="BM147" s="3">
        <v>67.98</v>
      </c>
      <c r="BN147" s="3">
        <v>521.15</v>
      </c>
      <c r="BO147" s="3">
        <v>521.15</v>
      </c>
      <c r="BQ147" s="3" t="s">
        <v>118</v>
      </c>
      <c r="BR147" s="3" t="s">
        <v>118</v>
      </c>
      <c r="BS147" s="4">
        <v>44587</v>
      </c>
      <c r="BT147" s="5">
        <v>0.5805555555555556</v>
      </c>
      <c r="BU147" s="3" t="s">
        <v>414</v>
      </c>
      <c r="BV147" s="3" t="s">
        <v>95</v>
      </c>
      <c r="BY147" s="3">
        <v>214400</v>
      </c>
      <c r="BZ147" s="3" t="s">
        <v>85</v>
      </c>
      <c r="CA147" s="3" t="s">
        <v>240</v>
      </c>
      <c r="CC147" s="3" t="s">
        <v>158</v>
      </c>
      <c r="CD147" s="3">
        <v>4091</v>
      </c>
      <c r="CE147" s="3" t="s">
        <v>86</v>
      </c>
      <c r="CF147" s="4">
        <v>44588</v>
      </c>
      <c r="CI147" s="3">
        <v>1</v>
      </c>
      <c r="CJ147" s="3">
        <v>1</v>
      </c>
      <c r="CK147" s="3">
        <v>41</v>
      </c>
      <c r="CL147" s="3" t="s">
        <v>87</v>
      </c>
    </row>
    <row r="148" spans="1:90" x14ac:dyDescent="0.2">
      <c r="A148" s="3" t="s">
        <v>72</v>
      </c>
      <c r="B148" s="3" t="s">
        <v>73</v>
      </c>
      <c r="C148" s="3" t="s">
        <v>74</v>
      </c>
      <c r="E148" s="3" t="str">
        <f>"009941171584"</f>
        <v>009941171584</v>
      </c>
      <c r="F148" s="4">
        <v>44586</v>
      </c>
      <c r="G148" s="3">
        <v>202207</v>
      </c>
      <c r="H148" s="3" t="s">
        <v>79</v>
      </c>
      <c r="I148" s="3" t="s">
        <v>80</v>
      </c>
      <c r="J148" s="3" t="s">
        <v>77</v>
      </c>
      <c r="K148" s="3" t="s">
        <v>78</v>
      </c>
      <c r="L148" s="3" t="s">
        <v>347</v>
      </c>
      <c r="M148" s="3" t="s">
        <v>348</v>
      </c>
      <c r="N148" s="3" t="s">
        <v>77</v>
      </c>
      <c r="O148" s="3" t="s">
        <v>115</v>
      </c>
      <c r="P148" s="3" t="str">
        <f>"STORES                        "</f>
        <v xml:space="preserve">STORES    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36.71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15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0.2</v>
      </c>
      <c r="BJ148" s="3">
        <v>2.1</v>
      </c>
      <c r="BK148" s="3">
        <v>2.5</v>
      </c>
      <c r="BL148" s="3">
        <v>155.12</v>
      </c>
      <c r="BM148" s="3">
        <v>23.27</v>
      </c>
      <c r="BN148" s="3">
        <v>178.39</v>
      </c>
      <c r="BO148" s="3">
        <v>178.39</v>
      </c>
      <c r="BQ148" s="3" t="s">
        <v>415</v>
      </c>
      <c r="BR148" s="3" t="s">
        <v>111</v>
      </c>
      <c r="BS148" s="4">
        <v>44587</v>
      </c>
      <c r="BT148" s="5">
        <v>0.4916666666666667</v>
      </c>
      <c r="BU148" s="3" t="s">
        <v>416</v>
      </c>
      <c r="BV148" s="3" t="s">
        <v>95</v>
      </c>
      <c r="BY148" s="3">
        <v>10333.41</v>
      </c>
      <c r="BZ148" s="3" t="s">
        <v>122</v>
      </c>
      <c r="CA148" s="3" t="s">
        <v>417</v>
      </c>
      <c r="CC148" s="3" t="s">
        <v>348</v>
      </c>
      <c r="CD148" s="3">
        <v>450</v>
      </c>
      <c r="CE148" s="3" t="s">
        <v>86</v>
      </c>
      <c r="CF148" s="4">
        <v>44587</v>
      </c>
      <c r="CI148" s="3">
        <v>1</v>
      </c>
      <c r="CJ148" s="3">
        <v>1</v>
      </c>
      <c r="CK148" s="3">
        <v>23</v>
      </c>
      <c r="CL148" s="3" t="s">
        <v>87</v>
      </c>
    </row>
    <row r="149" spans="1:90" x14ac:dyDescent="0.2">
      <c r="A149" s="3" t="s">
        <v>72</v>
      </c>
      <c r="B149" s="3" t="s">
        <v>73</v>
      </c>
      <c r="C149" s="3" t="s">
        <v>74</v>
      </c>
      <c r="E149" s="3" t="str">
        <f>"009941618896"</f>
        <v>009941618896</v>
      </c>
      <c r="F149" s="4">
        <v>44586</v>
      </c>
      <c r="G149" s="3">
        <v>202207</v>
      </c>
      <c r="H149" s="3" t="s">
        <v>79</v>
      </c>
      <c r="I149" s="3" t="s">
        <v>80</v>
      </c>
      <c r="J149" s="3" t="s">
        <v>77</v>
      </c>
      <c r="K149" s="3" t="s">
        <v>78</v>
      </c>
      <c r="L149" s="3" t="s">
        <v>123</v>
      </c>
      <c r="M149" s="3" t="s">
        <v>124</v>
      </c>
      <c r="N149" s="3" t="s">
        <v>77</v>
      </c>
      <c r="O149" s="3" t="s">
        <v>81</v>
      </c>
      <c r="P149" s="3" t="str">
        <f>"STORES                        "</f>
        <v xml:space="preserve">STORES      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42.16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14</v>
      </c>
      <c r="BJ149" s="3">
        <v>8.9</v>
      </c>
      <c r="BK149" s="3">
        <v>14</v>
      </c>
      <c r="BL149" s="3">
        <v>166.16</v>
      </c>
      <c r="BM149" s="3">
        <v>24.92</v>
      </c>
      <c r="BN149" s="3">
        <v>191.08</v>
      </c>
      <c r="BO149" s="3">
        <v>191.08</v>
      </c>
      <c r="BQ149" s="3" t="s">
        <v>163</v>
      </c>
      <c r="BR149" s="3" t="s">
        <v>418</v>
      </c>
      <c r="BS149" s="4">
        <v>44587</v>
      </c>
      <c r="BT149" s="5">
        <v>0.40347222222222223</v>
      </c>
      <c r="BU149" s="3" t="s">
        <v>316</v>
      </c>
      <c r="BV149" s="3" t="s">
        <v>95</v>
      </c>
      <c r="BY149" s="3">
        <v>44680.82</v>
      </c>
      <c r="BZ149" s="3" t="s">
        <v>85</v>
      </c>
      <c r="CA149" s="3" t="s">
        <v>419</v>
      </c>
      <c r="CC149" s="3" t="s">
        <v>124</v>
      </c>
      <c r="CD149" s="3">
        <v>1034</v>
      </c>
      <c r="CE149" s="3" t="s">
        <v>86</v>
      </c>
      <c r="CF149" s="4">
        <v>44587</v>
      </c>
      <c r="CI149" s="3">
        <v>1</v>
      </c>
      <c r="CJ149" s="3">
        <v>1</v>
      </c>
      <c r="CK149" s="3">
        <v>43</v>
      </c>
      <c r="CL149" s="3" t="s">
        <v>87</v>
      </c>
    </row>
    <row r="150" spans="1:90" x14ac:dyDescent="0.2">
      <c r="A150" s="3" t="s">
        <v>72</v>
      </c>
      <c r="B150" s="3" t="s">
        <v>73</v>
      </c>
      <c r="C150" s="3" t="s">
        <v>74</v>
      </c>
      <c r="E150" s="3" t="str">
        <f>"009941332012"</f>
        <v>009941332012</v>
      </c>
      <c r="F150" s="4">
        <v>44586</v>
      </c>
      <c r="G150" s="3">
        <v>202207</v>
      </c>
      <c r="H150" s="3" t="s">
        <v>79</v>
      </c>
      <c r="I150" s="3" t="s">
        <v>80</v>
      </c>
      <c r="J150" s="3" t="s">
        <v>77</v>
      </c>
      <c r="K150" s="3" t="s">
        <v>78</v>
      </c>
      <c r="L150" s="3" t="s">
        <v>90</v>
      </c>
      <c r="M150" s="3" t="s">
        <v>91</v>
      </c>
      <c r="N150" s="3" t="s">
        <v>77</v>
      </c>
      <c r="O150" s="3" t="s">
        <v>81</v>
      </c>
      <c r="P150" s="3" t="str">
        <f>"STORES                        "</f>
        <v xml:space="preserve">STORES      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29.89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1.4</v>
      </c>
      <c r="BJ150" s="3">
        <v>3.7</v>
      </c>
      <c r="BK150" s="3">
        <v>4</v>
      </c>
      <c r="BL150" s="3">
        <v>119.34</v>
      </c>
      <c r="BM150" s="3">
        <v>17.899999999999999</v>
      </c>
      <c r="BN150" s="3">
        <v>137.24</v>
      </c>
      <c r="BO150" s="3">
        <v>137.24</v>
      </c>
      <c r="BQ150" s="3" t="s">
        <v>118</v>
      </c>
      <c r="BR150" s="3" t="s">
        <v>111</v>
      </c>
      <c r="BS150" s="4">
        <v>44587</v>
      </c>
      <c r="BT150" s="5">
        <v>0.5180555555555556</v>
      </c>
      <c r="BU150" s="3" t="s">
        <v>94</v>
      </c>
      <c r="BV150" s="3" t="s">
        <v>95</v>
      </c>
      <c r="BY150" s="3">
        <v>18313.72</v>
      </c>
      <c r="BZ150" s="3" t="s">
        <v>85</v>
      </c>
      <c r="CA150" s="3" t="s">
        <v>96</v>
      </c>
      <c r="CC150" s="3" t="s">
        <v>91</v>
      </c>
      <c r="CD150" s="3">
        <v>699</v>
      </c>
      <c r="CE150" s="3" t="s">
        <v>86</v>
      </c>
      <c r="CF150" s="4">
        <v>44587</v>
      </c>
      <c r="CI150" s="3">
        <v>1</v>
      </c>
      <c r="CJ150" s="3">
        <v>1</v>
      </c>
      <c r="CK150" s="3">
        <v>41</v>
      </c>
      <c r="CL150" s="3" t="s">
        <v>87</v>
      </c>
    </row>
    <row r="151" spans="1:90" x14ac:dyDescent="0.2">
      <c r="A151" s="3" t="s">
        <v>72</v>
      </c>
      <c r="B151" s="3" t="s">
        <v>73</v>
      </c>
      <c r="C151" s="3" t="s">
        <v>74</v>
      </c>
      <c r="E151" s="3" t="str">
        <f>"009941247765"</f>
        <v>009941247765</v>
      </c>
      <c r="F151" s="4">
        <v>44586</v>
      </c>
      <c r="G151" s="3">
        <v>202207</v>
      </c>
      <c r="H151" s="3" t="s">
        <v>317</v>
      </c>
      <c r="I151" s="3" t="s">
        <v>318</v>
      </c>
      <c r="J151" s="3" t="s">
        <v>77</v>
      </c>
      <c r="K151" s="3" t="s">
        <v>78</v>
      </c>
      <c r="L151" s="3" t="s">
        <v>132</v>
      </c>
      <c r="M151" s="3" t="s">
        <v>133</v>
      </c>
      <c r="N151" s="3" t="s">
        <v>77</v>
      </c>
      <c r="O151" s="3" t="s">
        <v>81</v>
      </c>
      <c r="P151" s="3" t="str">
        <f>"                              "</f>
        <v xml:space="preserve">          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80.94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1</v>
      </c>
      <c r="BI151" s="3">
        <v>33</v>
      </c>
      <c r="BJ151" s="3">
        <v>1.8</v>
      </c>
      <c r="BK151" s="3">
        <v>33</v>
      </c>
      <c r="BL151" s="3">
        <v>314.2</v>
      </c>
      <c r="BM151" s="3">
        <v>47.13</v>
      </c>
      <c r="BN151" s="3">
        <v>361.33</v>
      </c>
      <c r="BO151" s="3">
        <v>361.33</v>
      </c>
      <c r="BS151" s="4">
        <v>44587</v>
      </c>
      <c r="BT151" s="5">
        <v>0.35972222222222222</v>
      </c>
      <c r="BU151" s="3" t="s">
        <v>135</v>
      </c>
      <c r="BV151" s="3" t="s">
        <v>95</v>
      </c>
      <c r="BY151" s="3">
        <v>9028</v>
      </c>
      <c r="BZ151" s="3" t="s">
        <v>85</v>
      </c>
      <c r="CA151" s="3" t="s">
        <v>136</v>
      </c>
      <c r="CC151" s="3" t="s">
        <v>133</v>
      </c>
      <c r="CD151" s="3">
        <v>2196</v>
      </c>
      <c r="CE151" s="3" t="s">
        <v>86</v>
      </c>
      <c r="CF151" s="4">
        <v>44588</v>
      </c>
      <c r="CI151" s="3">
        <v>1</v>
      </c>
      <c r="CJ151" s="3">
        <v>1</v>
      </c>
      <c r="CK151" s="3">
        <v>43</v>
      </c>
      <c r="CL151" s="3" t="s">
        <v>87</v>
      </c>
    </row>
    <row r="152" spans="1:90" x14ac:dyDescent="0.2">
      <c r="A152" s="3" t="s">
        <v>72</v>
      </c>
      <c r="B152" s="3" t="s">
        <v>73</v>
      </c>
      <c r="C152" s="3" t="s">
        <v>74</v>
      </c>
      <c r="E152" s="3" t="str">
        <f>"009941300811"</f>
        <v>009941300811</v>
      </c>
      <c r="F152" s="4">
        <v>44586</v>
      </c>
      <c r="G152" s="3">
        <v>202207</v>
      </c>
      <c r="H152" s="3" t="s">
        <v>75</v>
      </c>
      <c r="I152" s="3" t="s">
        <v>76</v>
      </c>
      <c r="J152" s="3" t="s">
        <v>77</v>
      </c>
      <c r="K152" s="3" t="s">
        <v>78</v>
      </c>
      <c r="L152" s="3" t="s">
        <v>188</v>
      </c>
      <c r="M152" s="3" t="s">
        <v>189</v>
      </c>
      <c r="N152" s="3" t="s">
        <v>78</v>
      </c>
      <c r="O152" s="3" t="s">
        <v>81</v>
      </c>
      <c r="P152" s="3" t="str">
        <f>"                              "</f>
        <v xml:space="preserve">            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42.16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3.2</v>
      </c>
      <c r="BJ152" s="3">
        <v>3.3</v>
      </c>
      <c r="BK152" s="3">
        <v>4</v>
      </c>
      <c r="BL152" s="3">
        <v>166.16</v>
      </c>
      <c r="BM152" s="3">
        <v>24.92</v>
      </c>
      <c r="BN152" s="3">
        <v>191.08</v>
      </c>
      <c r="BO152" s="3">
        <v>191.08</v>
      </c>
      <c r="BR152" s="3" t="s">
        <v>341</v>
      </c>
      <c r="BS152" s="4">
        <v>44587</v>
      </c>
      <c r="BT152" s="5">
        <v>0.49513888888888885</v>
      </c>
      <c r="BU152" s="3" t="s">
        <v>420</v>
      </c>
      <c r="BV152" s="3" t="s">
        <v>95</v>
      </c>
      <c r="BY152" s="3">
        <v>16562</v>
      </c>
      <c r="BZ152" s="3" t="s">
        <v>85</v>
      </c>
      <c r="CA152" s="3" t="s">
        <v>421</v>
      </c>
      <c r="CC152" s="3" t="s">
        <v>189</v>
      </c>
      <c r="CD152" s="3">
        <v>4240</v>
      </c>
      <c r="CE152" s="3" t="s">
        <v>86</v>
      </c>
      <c r="CF152" s="4">
        <v>44588</v>
      </c>
      <c r="CI152" s="3">
        <v>2</v>
      </c>
      <c r="CJ152" s="3">
        <v>1</v>
      </c>
      <c r="CK152" s="3">
        <v>43</v>
      </c>
      <c r="CL152" s="3" t="s">
        <v>87</v>
      </c>
    </row>
    <row r="153" spans="1:90" x14ac:dyDescent="0.2">
      <c r="A153" s="3" t="s">
        <v>72</v>
      </c>
      <c r="B153" s="3" t="s">
        <v>73</v>
      </c>
      <c r="C153" s="3" t="s">
        <v>74</v>
      </c>
      <c r="E153" s="3" t="str">
        <f>"009941994664"</f>
        <v>009941994664</v>
      </c>
      <c r="F153" s="4">
        <v>44586</v>
      </c>
      <c r="G153" s="3">
        <v>202207</v>
      </c>
      <c r="H153" s="3" t="s">
        <v>108</v>
      </c>
      <c r="I153" s="3" t="s">
        <v>109</v>
      </c>
      <c r="J153" s="3" t="s">
        <v>77</v>
      </c>
      <c r="K153" s="3" t="s">
        <v>78</v>
      </c>
      <c r="L153" s="3" t="s">
        <v>79</v>
      </c>
      <c r="M153" s="3" t="s">
        <v>80</v>
      </c>
      <c r="N153" s="3" t="s">
        <v>77</v>
      </c>
      <c r="O153" s="3" t="s">
        <v>81</v>
      </c>
      <c r="P153" s="3" t="str">
        <f>"                              "</f>
        <v xml:space="preserve">            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129.66999999999999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18</v>
      </c>
      <c r="BJ153" s="3">
        <v>96</v>
      </c>
      <c r="BK153" s="3">
        <v>96</v>
      </c>
      <c r="BL153" s="3">
        <v>500.19</v>
      </c>
      <c r="BM153" s="3">
        <v>75.03</v>
      </c>
      <c r="BN153" s="3">
        <v>575.22</v>
      </c>
      <c r="BO153" s="3">
        <v>575.22</v>
      </c>
      <c r="BQ153" s="3" t="s">
        <v>422</v>
      </c>
      <c r="BR153" s="3" t="s">
        <v>229</v>
      </c>
      <c r="BS153" s="4">
        <v>44587</v>
      </c>
      <c r="BT153" s="5">
        <v>0.36041666666666666</v>
      </c>
      <c r="BU153" s="3" t="s">
        <v>135</v>
      </c>
      <c r="BV153" s="3" t="s">
        <v>95</v>
      </c>
      <c r="BY153" s="3">
        <v>480000</v>
      </c>
      <c r="BZ153" s="3" t="s">
        <v>85</v>
      </c>
      <c r="CA153" s="3" t="s">
        <v>136</v>
      </c>
      <c r="CC153" s="3" t="s">
        <v>80</v>
      </c>
      <c r="CD153" s="3">
        <v>2146</v>
      </c>
      <c r="CE153" s="3" t="s">
        <v>86</v>
      </c>
      <c r="CF153" s="4">
        <v>44588</v>
      </c>
      <c r="CI153" s="3">
        <v>1</v>
      </c>
      <c r="CJ153" s="3">
        <v>1</v>
      </c>
      <c r="CK153" s="3">
        <v>41</v>
      </c>
      <c r="CL153" s="3" t="s">
        <v>87</v>
      </c>
    </row>
    <row r="154" spans="1:90" x14ac:dyDescent="0.2">
      <c r="A154" s="3" t="s">
        <v>72</v>
      </c>
      <c r="B154" s="3" t="s">
        <v>73</v>
      </c>
      <c r="C154" s="3" t="s">
        <v>74</v>
      </c>
      <c r="E154" s="3" t="str">
        <f>"009941567768"</f>
        <v>009941567768</v>
      </c>
      <c r="F154" s="4">
        <v>44587</v>
      </c>
      <c r="G154" s="3">
        <v>202207</v>
      </c>
      <c r="H154" s="3" t="s">
        <v>79</v>
      </c>
      <c r="I154" s="3" t="s">
        <v>80</v>
      </c>
      <c r="J154" s="3" t="s">
        <v>77</v>
      </c>
      <c r="K154" s="3" t="s">
        <v>78</v>
      </c>
      <c r="L154" s="3" t="s">
        <v>317</v>
      </c>
      <c r="M154" s="3" t="s">
        <v>318</v>
      </c>
      <c r="N154" s="3" t="s">
        <v>77</v>
      </c>
      <c r="O154" s="3" t="s">
        <v>81</v>
      </c>
      <c r="P154" s="3" t="str">
        <f>"STORES                        "</f>
        <v xml:space="preserve">STORES      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216.7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2</v>
      </c>
      <c r="BI154" s="3">
        <v>62.6</v>
      </c>
      <c r="BJ154" s="3">
        <v>95.7</v>
      </c>
      <c r="BK154" s="3">
        <v>96</v>
      </c>
      <c r="BL154" s="3">
        <v>832.37</v>
      </c>
      <c r="BM154" s="3">
        <v>124.86</v>
      </c>
      <c r="BN154" s="3">
        <v>957.23</v>
      </c>
      <c r="BO154" s="3">
        <v>957.23</v>
      </c>
      <c r="BQ154" s="3" t="s">
        <v>118</v>
      </c>
      <c r="BR154" s="3" t="s">
        <v>111</v>
      </c>
      <c r="BS154" s="4">
        <v>44589</v>
      </c>
      <c r="BT154" s="5">
        <v>0.33333333333333331</v>
      </c>
      <c r="BU154" s="3" t="s">
        <v>255</v>
      </c>
      <c r="BV154" s="3" t="s">
        <v>87</v>
      </c>
      <c r="BW154" s="3" t="s">
        <v>183</v>
      </c>
      <c r="BX154" s="3" t="s">
        <v>413</v>
      </c>
      <c r="BY154" s="3">
        <v>478427.41</v>
      </c>
      <c r="BZ154" s="3" t="s">
        <v>85</v>
      </c>
      <c r="CC154" s="3" t="s">
        <v>318</v>
      </c>
      <c r="CD154" s="3">
        <v>9700</v>
      </c>
      <c r="CE154" s="3" t="s">
        <v>86</v>
      </c>
      <c r="CI154" s="3">
        <v>1</v>
      </c>
      <c r="CJ154" s="3">
        <v>2</v>
      </c>
      <c r="CK154" s="3">
        <v>43</v>
      </c>
      <c r="CL154" s="3" t="s">
        <v>87</v>
      </c>
    </row>
    <row r="155" spans="1:90" x14ac:dyDescent="0.2">
      <c r="A155" s="3" t="s">
        <v>72</v>
      </c>
      <c r="B155" s="3" t="s">
        <v>73</v>
      </c>
      <c r="C155" s="3" t="s">
        <v>74</v>
      </c>
      <c r="E155" s="3" t="str">
        <f>"009941850998"</f>
        <v>009941850998</v>
      </c>
      <c r="F155" s="4">
        <v>44587</v>
      </c>
      <c r="G155" s="3">
        <v>202207</v>
      </c>
      <c r="H155" s="3" t="s">
        <v>79</v>
      </c>
      <c r="I155" s="3" t="s">
        <v>80</v>
      </c>
      <c r="J155" s="3" t="s">
        <v>77</v>
      </c>
      <c r="K155" s="3" t="s">
        <v>78</v>
      </c>
      <c r="L155" s="3" t="s">
        <v>108</v>
      </c>
      <c r="M155" s="3" t="s">
        <v>109</v>
      </c>
      <c r="N155" s="3" t="s">
        <v>77</v>
      </c>
      <c r="O155" s="3" t="s">
        <v>81</v>
      </c>
      <c r="P155" s="3" t="str">
        <f>"STORES                        "</f>
        <v xml:space="preserve">STORES          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171.55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2</v>
      </c>
      <c r="BI155" s="3">
        <v>102</v>
      </c>
      <c r="BJ155" s="3">
        <v>129.9</v>
      </c>
      <c r="BK155" s="3">
        <v>130</v>
      </c>
      <c r="BL155" s="3">
        <v>660.05</v>
      </c>
      <c r="BM155" s="3">
        <v>99.01</v>
      </c>
      <c r="BN155" s="3">
        <v>759.06</v>
      </c>
      <c r="BO155" s="3">
        <v>759.06</v>
      </c>
      <c r="BQ155" s="3" t="s">
        <v>118</v>
      </c>
      <c r="BR155" s="3" t="s">
        <v>423</v>
      </c>
      <c r="BS155" s="4">
        <v>44588</v>
      </c>
      <c r="BT155" s="5">
        <v>0.41944444444444445</v>
      </c>
      <c r="BU155" s="3" t="s">
        <v>303</v>
      </c>
      <c r="BV155" s="3" t="s">
        <v>95</v>
      </c>
      <c r="BY155" s="3">
        <v>324672</v>
      </c>
      <c r="BZ155" s="3" t="s">
        <v>85</v>
      </c>
      <c r="CA155" s="3" t="s">
        <v>206</v>
      </c>
      <c r="CC155" s="3" t="s">
        <v>109</v>
      </c>
      <c r="CD155" s="3">
        <v>9300</v>
      </c>
      <c r="CE155" s="3" t="s">
        <v>86</v>
      </c>
      <c r="CF155" s="4">
        <v>44589</v>
      </c>
      <c r="CI155" s="3">
        <v>1</v>
      </c>
      <c r="CJ155" s="3">
        <v>1</v>
      </c>
      <c r="CK155" s="3">
        <v>41</v>
      </c>
      <c r="CL155" s="3" t="s">
        <v>87</v>
      </c>
    </row>
    <row r="156" spans="1:90" x14ac:dyDescent="0.2">
      <c r="A156" s="3" t="s">
        <v>72</v>
      </c>
      <c r="B156" s="3" t="s">
        <v>73</v>
      </c>
      <c r="C156" s="3" t="s">
        <v>74</v>
      </c>
      <c r="E156" s="3" t="str">
        <f>"009940746422"</f>
        <v>009940746422</v>
      </c>
      <c r="F156" s="4">
        <v>44586</v>
      </c>
      <c r="G156" s="3">
        <v>202207</v>
      </c>
      <c r="H156" s="3" t="s">
        <v>97</v>
      </c>
      <c r="I156" s="3" t="s">
        <v>98</v>
      </c>
      <c r="J156" s="3" t="s">
        <v>77</v>
      </c>
      <c r="K156" s="3" t="s">
        <v>78</v>
      </c>
      <c r="L156" s="3" t="s">
        <v>79</v>
      </c>
      <c r="M156" s="3" t="s">
        <v>80</v>
      </c>
      <c r="N156" s="3" t="s">
        <v>114</v>
      </c>
      <c r="O156" s="3" t="s">
        <v>115</v>
      </c>
      <c r="P156" s="3" t="str">
        <f>"                              "</f>
        <v xml:space="preserve">                              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42.49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1</v>
      </c>
      <c r="BI156" s="3">
        <v>5.4</v>
      </c>
      <c r="BJ156" s="3">
        <v>3.5</v>
      </c>
      <c r="BK156" s="3">
        <v>5.5</v>
      </c>
      <c r="BL156" s="3">
        <v>162.19</v>
      </c>
      <c r="BM156" s="3">
        <v>24.33</v>
      </c>
      <c r="BN156" s="3">
        <v>186.52</v>
      </c>
      <c r="BO156" s="3">
        <v>186.52</v>
      </c>
      <c r="BQ156" s="3" t="s">
        <v>99</v>
      </c>
      <c r="BR156" s="3" t="s">
        <v>100</v>
      </c>
      <c r="BS156" s="4">
        <v>44587</v>
      </c>
      <c r="BT156" s="5">
        <v>0.36736111111111108</v>
      </c>
      <c r="BU156" s="3" t="s">
        <v>135</v>
      </c>
      <c r="BV156" s="3" t="s">
        <v>95</v>
      </c>
      <c r="BY156" s="3">
        <v>17365.599999999999</v>
      </c>
      <c r="BZ156" s="3" t="s">
        <v>117</v>
      </c>
      <c r="CA156" s="3" t="s">
        <v>136</v>
      </c>
      <c r="CC156" s="3" t="s">
        <v>80</v>
      </c>
      <c r="CD156" s="3">
        <v>2146</v>
      </c>
      <c r="CE156" s="3" t="s">
        <v>86</v>
      </c>
      <c r="CF156" s="4">
        <v>44588</v>
      </c>
      <c r="CI156" s="3">
        <v>1</v>
      </c>
      <c r="CJ156" s="3">
        <v>1</v>
      </c>
      <c r="CK156" s="3">
        <v>21</v>
      </c>
      <c r="CL156" s="3" t="s">
        <v>87</v>
      </c>
    </row>
    <row r="157" spans="1:90" x14ac:dyDescent="0.2">
      <c r="A157" s="3" t="s">
        <v>72</v>
      </c>
      <c r="B157" s="3" t="s">
        <v>73</v>
      </c>
      <c r="C157" s="3" t="s">
        <v>74</v>
      </c>
      <c r="E157" s="3" t="str">
        <f>"009941783532"</f>
        <v>009941783532</v>
      </c>
      <c r="F157" s="4">
        <v>44580</v>
      </c>
      <c r="G157" s="3">
        <v>202207</v>
      </c>
      <c r="H157" s="3" t="s">
        <v>144</v>
      </c>
      <c r="I157" s="3" t="s">
        <v>145</v>
      </c>
      <c r="J157" s="3" t="s">
        <v>77</v>
      </c>
      <c r="K157" s="3" t="s">
        <v>78</v>
      </c>
      <c r="L157" s="3" t="s">
        <v>90</v>
      </c>
      <c r="M157" s="3" t="s">
        <v>91</v>
      </c>
      <c r="N157" s="3" t="s">
        <v>92</v>
      </c>
      <c r="O157" s="3" t="s">
        <v>81</v>
      </c>
      <c r="P157" s="3" t="str">
        <f>"                              "</f>
        <v xml:space="preserve">            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33.01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1</v>
      </c>
      <c r="BI157" s="3">
        <v>10</v>
      </c>
      <c r="BJ157" s="3">
        <v>6</v>
      </c>
      <c r="BK157" s="3">
        <v>10</v>
      </c>
      <c r="BL157" s="3">
        <v>131.25</v>
      </c>
      <c r="BM157" s="3">
        <v>19.690000000000001</v>
      </c>
      <c r="BN157" s="3">
        <v>150.94</v>
      </c>
      <c r="BO157" s="3">
        <v>150.94</v>
      </c>
      <c r="BQ157" s="3" t="s">
        <v>146</v>
      </c>
      <c r="BR157" s="3" t="s">
        <v>354</v>
      </c>
      <c r="BS157" s="4">
        <v>44580</v>
      </c>
      <c r="BT157" s="5">
        <v>0.49374999999999997</v>
      </c>
      <c r="BU157" s="3" t="s">
        <v>94</v>
      </c>
      <c r="BV157" s="3" t="s">
        <v>95</v>
      </c>
      <c r="BY157" s="3">
        <v>29925</v>
      </c>
      <c r="BZ157" s="3" t="s">
        <v>85</v>
      </c>
      <c r="CA157" s="3" t="s">
        <v>96</v>
      </c>
      <c r="CC157" s="3" t="s">
        <v>91</v>
      </c>
      <c r="CD157" s="3">
        <v>700</v>
      </c>
      <c r="CE157" s="3" t="s">
        <v>86</v>
      </c>
      <c r="CF157" s="4">
        <v>44580</v>
      </c>
      <c r="CI157" s="3">
        <v>1</v>
      </c>
      <c r="CJ157" s="3">
        <v>0</v>
      </c>
      <c r="CK157" s="3">
        <v>44</v>
      </c>
      <c r="CL157" s="3" t="s">
        <v>87</v>
      </c>
    </row>
    <row r="158" spans="1:90" x14ac:dyDescent="0.2">
      <c r="A158" s="3" t="s">
        <v>72</v>
      </c>
      <c r="B158" s="3" t="s">
        <v>73</v>
      </c>
      <c r="C158" s="3" t="s">
        <v>74</v>
      </c>
      <c r="E158" s="3" t="str">
        <f>"009941330907"</f>
        <v>009941330907</v>
      </c>
      <c r="F158" s="4">
        <v>44587</v>
      </c>
      <c r="G158" s="3">
        <v>202207</v>
      </c>
      <c r="H158" s="3" t="s">
        <v>79</v>
      </c>
      <c r="I158" s="3" t="s">
        <v>80</v>
      </c>
      <c r="J158" s="3" t="s">
        <v>77</v>
      </c>
      <c r="K158" s="3" t="s">
        <v>78</v>
      </c>
      <c r="L158" s="3" t="s">
        <v>144</v>
      </c>
      <c r="M158" s="3" t="s">
        <v>145</v>
      </c>
      <c r="N158" s="3" t="s">
        <v>77</v>
      </c>
      <c r="O158" s="3" t="s">
        <v>81</v>
      </c>
      <c r="P158" s="3" t="str">
        <f t="shared" ref="P158:P168" si="5">"STORES                        "</f>
        <v xml:space="preserve">STORES      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55.09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1</v>
      </c>
      <c r="BI158" s="3">
        <v>20.399999999999999</v>
      </c>
      <c r="BJ158" s="3">
        <v>18.2</v>
      </c>
      <c r="BK158" s="3">
        <v>21</v>
      </c>
      <c r="BL158" s="3">
        <v>215.51</v>
      </c>
      <c r="BM158" s="3">
        <v>32.33</v>
      </c>
      <c r="BN158" s="3">
        <v>247.84</v>
      </c>
      <c r="BO158" s="3">
        <v>247.84</v>
      </c>
      <c r="BQ158" s="3" t="s">
        <v>118</v>
      </c>
      <c r="BR158" s="3" t="s">
        <v>418</v>
      </c>
      <c r="BS158" s="4">
        <v>44588</v>
      </c>
      <c r="BT158" s="5">
        <v>0.58819444444444446</v>
      </c>
      <c r="BU158" s="3" t="s">
        <v>424</v>
      </c>
      <c r="BV158" s="3" t="s">
        <v>95</v>
      </c>
      <c r="BY158" s="3">
        <v>91142.98</v>
      </c>
      <c r="BZ158" s="3" t="s">
        <v>85</v>
      </c>
      <c r="CA158" s="3" t="s">
        <v>250</v>
      </c>
      <c r="CC158" s="3" t="s">
        <v>145</v>
      </c>
      <c r="CD158" s="3">
        <v>850</v>
      </c>
      <c r="CE158" s="3" t="s">
        <v>86</v>
      </c>
      <c r="CF158" s="4">
        <v>44588</v>
      </c>
      <c r="CI158" s="3">
        <v>1</v>
      </c>
      <c r="CJ158" s="3">
        <v>1</v>
      </c>
      <c r="CK158" s="3">
        <v>43</v>
      </c>
      <c r="CL158" s="3" t="s">
        <v>87</v>
      </c>
    </row>
    <row r="159" spans="1:90" x14ac:dyDescent="0.2">
      <c r="A159" s="3" t="s">
        <v>72</v>
      </c>
      <c r="B159" s="3" t="s">
        <v>73</v>
      </c>
      <c r="C159" s="3" t="s">
        <v>74</v>
      </c>
      <c r="E159" s="3" t="str">
        <f>"009941567769"</f>
        <v>009941567769</v>
      </c>
      <c r="F159" s="4">
        <v>44587</v>
      </c>
      <c r="G159" s="3">
        <v>202207</v>
      </c>
      <c r="H159" s="3" t="s">
        <v>79</v>
      </c>
      <c r="I159" s="3" t="s">
        <v>80</v>
      </c>
      <c r="J159" s="3" t="s">
        <v>77</v>
      </c>
      <c r="K159" s="3" t="s">
        <v>78</v>
      </c>
      <c r="L159" s="3" t="s">
        <v>149</v>
      </c>
      <c r="M159" s="3" t="s">
        <v>150</v>
      </c>
      <c r="N159" s="3" t="s">
        <v>77</v>
      </c>
      <c r="O159" s="3" t="s">
        <v>115</v>
      </c>
      <c r="P159" s="3" t="str">
        <f t="shared" si="5"/>
        <v xml:space="preserve">STORES      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81.12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1</v>
      </c>
      <c r="BI159" s="3">
        <v>9.4</v>
      </c>
      <c r="BJ159" s="3">
        <v>10.1</v>
      </c>
      <c r="BK159" s="3">
        <v>10.5</v>
      </c>
      <c r="BL159" s="3">
        <v>309.62</v>
      </c>
      <c r="BM159" s="3">
        <v>46.44</v>
      </c>
      <c r="BN159" s="3">
        <v>356.06</v>
      </c>
      <c r="BO159" s="3">
        <v>356.06</v>
      </c>
      <c r="BQ159" s="3" t="s">
        <v>118</v>
      </c>
      <c r="BR159" s="3" t="s">
        <v>111</v>
      </c>
      <c r="BS159" s="3" t="s">
        <v>84</v>
      </c>
      <c r="BY159" s="3">
        <v>50732.06</v>
      </c>
      <c r="BZ159" s="3" t="s">
        <v>117</v>
      </c>
      <c r="CC159" s="3" t="s">
        <v>150</v>
      </c>
      <c r="CD159" s="3">
        <v>3200</v>
      </c>
      <c r="CE159" s="3" t="s">
        <v>86</v>
      </c>
      <c r="CI159" s="3">
        <v>1</v>
      </c>
      <c r="CJ159" s="3" t="s">
        <v>84</v>
      </c>
      <c r="CK159" s="3">
        <v>21</v>
      </c>
      <c r="CL159" s="3" t="s">
        <v>87</v>
      </c>
    </row>
    <row r="160" spans="1:90" x14ac:dyDescent="0.2">
      <c r="A160" s="3" t="s">
        <v>72</v>
      </c>
      <c r="B160" s="3" t="s">
        <v>73</v>
      </c>
      <c r="C160" s="3" t="s">
        <v>74</v>
      </c>
      <c r="E160" s="3" t="str">
        <f>"009941171596"</f>
        <v>009941171596</v>
      </c>
      <c r="F160" s="4">
        <v>44587</v>
      </c>
      <c r="G160" s="3">
        <v>202207</v>
      </c>
      <c r="H160" s="3" t="s">
        <v>79</v>
      </c>
      <c r="I160" s="3" t="s">
        <v>80</v>
      </c>
      <c r="J160" s="3" t="s">
        <v>77</v>
      </c>
      <c r="K160" s="3" t="s">
        <v>78</v>
      </c>
      <c r="L160" s="3" t="s">
        <v>144</v>
      </c>
      <c r="M160" s="3" t="s">
        <v>145</v>
      </c>
      <c r="N160" s="3" t="s">
        <v>77</v>
      </c>
      <c r="O160" s="3" t="s">
        <v>115</v>
      </c>
      <c r="P160" s="3" t="str">
        <f t="shared" si="5"/>
        <v xml:space="preserve">STORES    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29.95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1</v>
      </c>
      <c r="BI160" s="3">
        <v>1</v>
      </c>
      <c r="BJ160" s="3">
        <v>0.2</v>
      </c>
      <c r="BK160" s="3">
        <v>1</v>
      </c>
      <c r="BL160" s="3">
        <v>114.31</v>
      </c>
      <c r="BM160" s="3">
        <v>17.149999999999999</v>
      </c>
      <c r="BN160" s="3">
        <v>131.46</v>
      </c>
      <c r="BO160" s="3">
        <v>131.46</v>
      </c>
      <c r="BQ160" s="3" t="s">
        <v>425</v>
      </c>
      <c r="BR160" s="3" t="s">
        <v>111</v>
      </c>
      <c r="BS160" s="4">
        <v>44588</v>
      </c>
      <c r="BT160" s="5">
        <v>0.58819444444444446</v>
      </c>
      <c r="BU160" s="3" t="s">
        <v>424</v>
      </c>
      <c r="BV160" s="3" t="s">
        <v>87</v>
      </c>
      <c r="BY160" s="3">
        <v>1200</v>
      </c>
      <c r="BZ160" s="3" t="s">
        <v>117</v>
      </c>
      <c r="CA160" s="3" t="s">
        <v>250</v>
      </c>
      <c r="CC160" s="3" t="s">
        <v>145</v>
      </c>
      <c r="CD160" s="3">
        <v>850</v>
      </c>
      <c r="CE160" s="3" t="s">
        <v>86</v>
      </c>
      <c r="CF160" s="4">
        <v>44588</v>
      </c>
      <c r="CI160" s="3">
        <v>1</v>
      </c>
      <c r="CJ160" s="3">
        <v>1</v>
      </c>
      <c r="CK160" s="3">
        <v>23</v>
      </c>
      <c r="CL160" s="3" t="s">
        <v>87</v>
      </c>
    </row>
    <row r="161" spans="1:90" x14ac:dyDescent="0.2">
      <c r="A161" s="3" t="s">
        <v>72</v>
      </c>
      <c r="B161" s="3" t="s">
        <v>73</v>
      </c>
      <c r="C161" s="3" t="s">
        <v>74</v>
      </c>
      <c r="E161" s="3" t="str">
        <f>"009941618582"</f>
        <v>009941618582</v>
      </c>
      <c r="F161" s="4">
        <v>44587</v>
      </c>
      <c r="G161" s="3">
        <v>202207</v>
      </c>
      <c r="H161" s="3" t="s">
        <v>79</v>
      </c>
      <c r="I161" s="3" t="s">
        <v>80</v>
      </c>
      <c r="J161" s="3" t="s">
        <v>77</v>
      </c>
      <c r="K161" s="3" t="s">
        <v>78</v>
      </c>
      <c r="L161" s="3" t="s">
        <v>112</v>
      </c>
      <c r="M161" s="3" t="s">
        <v>113</v>
      </c>
      <c r="N161" s="3" t="s">
        <v>77</v>
      </c>
      <c r="O161" s="3" t="s">
        <v>115</v>
      </c>
      <c r="P161" s="3" t="str">
        <f t="shared" si="5"/>
        <v xml:space="preserve">STORES                        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29.95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1</v>
      </c>
      <c r="BJ161" s="3">
        <v>0.2</v>
      </c>
      <c r="BK161" s="3">
        <v>1</v>
      </c>
      <c r="BL161" s="3">
        <v>114.31</v>
      </c>
      <c r="BM161" s="3">
        <v>17.149999999999999</v>
      </c>
      <c r="BN161" s="3">
        <v>131.46</v>
      </c>
      <c r="BO161" s="3">
        <v>131.46</v>
      </c>
      <c r="BQ161" s="3" t="s">
        <v>118</v>
      </c>
      <c r="BR161" s="3" t="s">
        <v>111</v>
      </c>
      <c r="BS161" s="4">
        <v>44588</v>
      </c>
      <c r="BT161" s="5">
        <v>0.36249999999999999</v>
      </c>
      <c r="BU161" s="3" t="s">
        <v>235</v>
      </c>
      <c r="BV161" s="3" t="s">
        <v>95</v>
      </c>
      <c r="BY161" s="3">
        <v>1200</v>
      </c>
      <c r="BZ161" s="3" t="s">
        <v>117</v>
      </c>
      <c r="CA161" s="3" t="s">
        <v>236</v>
      </c>
      <c r="CC161" s="3" t="s">
        <v>113</v>
      </c>
      <c r="CD161" s="3">
        <v>300</v>
      </c>
      <c r="CE161" s="3" t="s">
        <v>86</v>
      </c>
      <c r="CF161" s="4">
        <v>44588</v>
      </c>
      <c r="CI161" s="3">
        <v>1</v>
      </c>
      <c r="CJ161" s="3">
        <v>1</v>
      </c>
      <c r="CK161" s="3">
        <v>23</v>
      </c>
      <c r="CL161" s="3" t="s">
        <v>87</v>
      </c>
    </row>
    <row r="162" spans="1:90" x14ac:dyDescent="0.2">
      <c r="A162" s="3" t="s">
        <v>72</v>
      </c>
      <c r="B162" s="3" t="s">
        <v>73</v>
      </c>
      <c r="C162" s="3" t="s">
        <v>74</v>
      </c>
      <c r="E162" s="3" t="str">
        <f>"009941332014"</f>
        <v>009941332014</v>
      </c>
      <c r="F162" s="4">
        <v>44587</v>
      </c>
      <c r="G162" s="3">
        <v>202207</v>
      </c>
      <c r="H162" s="3" t="s">
        <v>79</v>
      </c>
      <c r="I162" s="3" t="s">
        <v>80</v>
      </c>
      <c r="J162" s="3" t="s">
        <v>77</v>
      </c>
      <c r="K162" s="3" t="s">
        <v>78</v>
      </c>
      <c r="L162" s="3" t="s">
        <v>90</v>
      </c>
      <c r="M162" s="3" t="s">
        <v>91</v>
      </c>
      <c r="N162" s="3" t="s">
        <v>77</v>
      </c>
      <c r="O162" s="3" t="s">
        <v>115</v>
      </c>
      <c r="P162" s="3" t="str">
        <f t="shared" si="5"/>
        <v xml:space="preserve">STORES   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15.46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1</v>
      </c>
      <c r="BI162" s="3">
        <v>1</v>
      </c>
      <c r="BJ162" s="3">
        <v>0.2</v>
      </c>
      <c r="BK162" s="3">
        <v>1</v>
      </c>
      <c r="BL162" s="3">
        <v>59</v>
      </c>
      <c r="BM162" s="3">
        <v>8.85</v>
      </c>
      <c r="BN162" s="3">
        <v>67.849999999999994</v>
      </c>
      <c r="BO162" s="3">
        <v>67.849999999999994</v>
      </c>
      <c r="BQ162" s="3" t="s">
        <v>426</v>
      </c>
      <c r="BR162" s="3" t="s">
        <v>118</v>
      </c>
      <c r="BS162" s="4">
        <v>44588</v>
      </c>
      <c r="BT162" s="5">
        <v>0.39374999999999999</v>
      </c>
      <c r="BU162" s="3" t="s">
        <v>94</v>
      </c>
      <c r="BV162" s="3" t="s">
        <v>95</v>
      </c>
      <c r="BY162" s="3">
        <v>1200</v>
      </c>
      <c r="BZ162" s="3" t="s">
        <v>117</v>
      </c>
      <c r="CA162" s="3" t="s">
        <v>96</v>
      </c>
      <c r="CC162" s="3" t="s">
        <v>91</v>
      </c>
      <c r="CD162" s="3">
        <v>699</v>
      </c>
      <c r="CE162" s="3" t="s">
        <v>86</v>
      </c>
      <c r="CF162" s="4">
        <v>44588</v>
      </c>
      <c r="CI162" s="3">
        <v>1</v>
      </c>
      <c r="CJ162" s="3">
        <v>1</v>
      </c>
      <c r="CK162" s="3">
        <v>21</v>
      </c>
      <c r="CL162" s="3" t="s">
        <v>87</v>
      </c>
    </row>
    <row r="163" spans="1:90" x14ac:dyDescent="0.2">
      <c r="A163" s="3" t="s">
        <v>72</v>
      </c>
      <c r="B163" s="3" t="s">
        <v>73</v>
      </c>
      <c r="C163" s="3" t="s">
        <v>74</v>
      </c>
      <c r="E163" s="3" t="str">
        <f>"009941618998"</f>
        <v>009941618998</v>
      </c>
      <c r="F163" s="4">
        <v>44587</v>
      </c>
      <c r="G163" s="3">
        <v>202207</v>
      </c>
      <c r="H163" s="3" t="s">
        <v>79</v>
      </c>
      <c r="I163" s="3" t="s">
        <v>80</v>
      </c>
      <c r="J163" s="3" t="s">
        <v>92</v>
      </c>
      <c r="K163" s="3" t="s">
        <v>78</v>
      </c>
      <c r="L163" s="3" t="s">
        <v>157</v>
      </c>
      <c r="M163" s="3" t="s">
        <v>158</v>
      </c>
      <c r="N163" s="3" t="s">
        <v>77</v>
      </c>
      <c r="O163" s="3" t="s">
        <v>115</v>
      </c>
      <c r="P163" s="3" t="str">
        <f t="shared" si="5"/>
        <v xml:space="preserve">STORES      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15.46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1</v>
      </c>
      <c r="BJ163" s="3">
        <v>0.2</v>
      </c>
      <c r="BK163" s="3">
        <v>1</v>
      </c>
      <c r="BL163" s="3">
        <v>59</v>
      </c>
      <c r="BM163" s="3">
        <v>8.85</v>
      </c>
      <c r="BN163" s="3">
        <v>67.849999999999994</v>
      </c>
      <c r="BO163" s="3">
        <v>67.849999999999994</v>
      </c>
      <c r="BQ163" s="3" t="s">
        <v>118</v>
      </c>
      <c r="BR163" s="3" t="s">
        <v>118</v>
      </c>
      <c r="BS163" s="4">
        <v>44588</v>
      </c>
      <c r="BT163" s="5">
        <v>0.35833333333333334</v>
      </c>
      <c r="BU163" s="3" t="s">
        <v>427</v>
      </c>
      <c r="BV163" s="3" t="s">
        <v>95</v>
      </c>
      <c r="BY163" s="3">
        <v>1200</v>
      </c>
      <c r="BZ163" s="3" t="s">
        <v>117</v>
      </c>
      <c r="CA163" s="3" t="s">
        <v>428</v>
      </c>
      <c r="CC163" s="3" t="s">
        <v>158</v>
      </c>
      <c r="CD163" s="3">
        <v>4091</v>
      </c>
      <c r="CE163" s="3" t="s">
        <v>86</v>
      </c>
      <c r="CF163" s="4">
        <v>44589</v>
      </c>
      <c r="CI163" s="3">
        <v>1</v>
      </c>
      <c r="CJ163" s="3">
        <v>1</v>
      </c>
      <c r="CK163" s="3">
        <v>21</v>
      </c>
      <c r="CL163" s="3" t="s">
        <v>87</v>
      </c>
    </row>
    <row r="164" spans="1:90" x14ac:dyDescent="0.2">
      <c r="A164" s="3" t="s">
        <v>72</v>
      </c>
      <c r="B164" s="3" t="s">
        <v>73</v>
      </c>
      <c r="C164" s="3" t="s">
        <v>74</v>
      </c>
      <c r="E164" s="3" t="str">
        <f>"009941618895"</f>
        <v>009941618895</v>
      </c>
      <c r="F164" s="4">
        <v>44587</v>
      </c>
      <c r="G164" s="3">
        <v>202207</v>
      </c>
      <c r="H164" s="3" t="s">
        <v>79</v>
      </c>
      <c r="I164" s="3" t="s">
        <v>80</v>
      </c>
      <c r="J164" s="3" t="s">
        <v>77</v>
      </c>
      <c r="K164" s="3" t="s">
        <v>78</v>
      </c>
      <c r="L164" s="3" t="s">
        <v>123</v>
      </c>
      <c r="M164" s="3" t="s">
        <v>124</v>
      </c>
      <c r="N164" s="3" t="s">
        <v>77</v>
      </c>
      <c r="O164" s="3" t="s">
        <v>81</v>
      </c>
      <c r="P164" s="3" t="str">
        <f t="shared" si="5"/>
        <v xml:space="preserve">STORES      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46.47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1</v>
      </c>
      <c r="BI164" s="3">
        <v>7.6</v>
      </c>
      <c r="BJ164" s="3">
        <v>16.399999999999999</v>
      </c>
      <c r="BK164" s="3">
        <v>17</v>
      </c>
      <c r="BL164" s="3">
        <v>182.61</v>
      </c>
      <c r="BM164" s="3">
        <v>27.39</v>
      </c>
      <c r="BN164" s="3">
        <v>210</v>
      </c>
      <c r="BO164" s="3">
        <v>210</v>
      </c>
      <c r="BQ164" s="3" t="s">
        <v>118</v>
      </c>
      <c r="BR164" s="3" t="s">
        <v>418</v>
      </c>
      <c r="BS164" s="4">
        <v>44588</v>
      </c>
      <c r="BT164" s="5">
        <v>0.37847222222222227</v>
      </c>
      <c r="BU164" s="3" t="s">
        <v>202</v>
      </c>
      <c r="BV164" s="3" t="s">
        <v>95</v>
      </c>
      <c r="BY164" s="3">
        <v>82086.399999999994</v>
      </c>
      <c r="BZ164" s="3" t="s">
        <v>85</v>
      </c>
      <c r="CA164" s="3" t="s">
        <v>203</v>
      </c>
      <c r="CC164" s="3" t="s">
        <v>124</v>
      </c>
      <c r="CD164" s="3">
        <v>1034</v>
      </c>
      <c r="CE164" s="3" t="s">
        <v>86</v>
      </c>
      <c r="CF164" s="4">
        <v>44588</v>
      </c>
      <c r="CI164" s="3">
        <v>1</v>
      </c>
      <c r="CJ164" s="3">
        <v>1</v>
      </c>
      <c r="CK164" s="3">
        <v>43</v>
      </c>
      <c r="CL164" s="3" t="s">
        <v>87</v>
      </c>
    </row>
    <row r="165" spans="1:90" x14ac:dyDescent="0.2">
      <c r="A165" s="3" t="s">
        <v>72</v>
      </c>
      <c r="B165" s="3" t="s">
        <v>73</v>
      </c>
      <c r="C165" s="3" t="s">
        <v>74</v>
      </c>
      <c r="E165" s="3" t="str">
        <f>"009941332013"</f>
        <v>009941332013</v>
      </c>
      <c r="F165" s="4">
        <v>44587</v>
      </c>
      <c r="G165" s="3">
        <v>202207</v>
      </c>
      <c r="H165" s="3" t="s">
        <v>79</v>
      </c>
      <c r="I165" s="3" t="s">
        <v>80</v>
      </c>
      <c r="J165" s="3" t="s">
        <v>77</v>
      </c>
      <c r="K165" s="3" t="s">
        <v>78</v>
      </c>
      <c r="L165" s="3" t="s">
        <v>90</v>
      </c>
      <c r="M165" s="3" t="s">
        <v>91</v>
      </c>
      <c r="N165" s="3" t="s">
        <v>77</v>
      </c>
      <c r="O165" s="3" t="s">
        <v>81</v>
      </c>
      <c r="P165" s="3" t="str">
        <f t="shared" si="5"/>
        <v xml:space="preserve">STORES      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42.21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1</v>
      </c>
      <c r="BI165" s="3">
        <v>24.2</v>
      </c>
      <c r="BJ165" s="3">
        <v>19</v>
      </c>
      <c r="BK165" s="3">
        <v>25</v>
      </c>
      <c r="BL165" s="3">
        <v>166.36</v>
      </c>
      <c r="BM165" s="3">
        <v>24.95</v>
      </c>
      <c r="BN165" s="3">
        <v>191.31</v>
      </c>
      <c r="BO165" s="3">
        <v>191.31</v>
      </c>
      <c r="BQ165" s="3" t="s">
        <v>118</v>
      </c>
      <c r="BR165" s="3" t="s">
        <v>118</v>
      </c>
      <c r="BS165" s="4">
        <v>44588</v>
      </c>
      <c r="BT165" s="5">
        <v>0.39444444444444443</v>
      </c>
      <c r="BU165" s="3" t="s">
        <v>94</v>
      </c>
      <c r="BV165" s="3" t="s">
        <v>95</v>
      </c>
      <c r="BY165" s="3">
        <v>95079.48</v>
      </c>
      <c r="BZ165" s="3" t="s">
        <v>85</v>
      </c>
      <c r="CA165" s="3" t="s">
        <v>96</v>
      </c>
      <c r="CC165" s="3" t="s">
        <v>91</v>
      </c>
      <c r="CD165" s="3">
        <v>699</v>
      </c>
      <c r="CE165" s="3" t="s">
        <v>86</v>
      </c>
      <c r="CF165" s="4">
        <v>44588</v>
      </c>
      <c r="CI165" s="3">
        <v>1</v>
      </c>
      <c r="CJ165" s="3">
        <v>1</v>
      </c>
      <c r="CK165" s="3">
        <v>41</v>
      </c>
      <c r="CL165" s="3" t="s">
        <v>87</v>
      </c>
    </row>
    <row r="166" spans="1:90" x14ac:dyDescent="0.2">
      <c r="A166" s="3" t="s">
        <v>72</v>
      </c>
      <c r="B166" s="3" t="s">
        <v>73</v>
      </c>
      <c r="C166" s="3" t="s">
        <v>74</v>
      </c>
      <c r="E166" s="3" t="str">
        <f>"009941332606"</f>
        <v>009941332606</v>
      </c>
      <c r="F166" s="4">
        <v>44587</v>
      </c>
      <c r="G166" s="3">
        <v>202207</v>
      </c>
      <c r="H166" s="3" t="s">
        <v>79</v>
      </c>
      <c r="I166" s="3" t="s">
        <v>80</v>
      </c>
      <c r="J166" s="3" t="s">
        <v>77</v>
      </c>
      <c r="K166" s="3" t="s">
        <v>78</v>
      </c>
      <c r="L166" s="3" t="s">
        <v>112</v>
      </c>
      <c r="M166" s="3" t="s">
        <v>113</v>
      </c>
      <c r="N166" s="3" t="s">
        <v>77</v>
      </c>
      <c r="O166" s="3" t="s">
        <v>115</v>
      </c>
      <c r="P166" s="3" t="str">
        <f t="shared" si="5"/>
        <v xml:space="preserve">STORES    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29.95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1</v>
      </c>
      <c r="BJ166" s="3">
        <v>0.2</v>
      </c>
      <c r="BK166" s="3">
        <v>1</v>
      </c>
      <c r="BL166" s="3">
        <v>114.31</v>
      </c>
      <c r="BM166" s="3">
        <v>17.149999999999999</v>
      </c>
      <c r="BN166" s="3">
        <v>131.46</v>
      </c>
      <c r="BO166" s="3">
        <v>131.46</v>
      </c>
      <c r="BQ166" s="3" t="s">
        <v>118</v>
      </c>
      <c r="BR166" s="3" t="s">
        <v>118</v>
      </c>
      <c r="BS166" s="4">
        <v>44588</v>
      </c>
      <c r="BT166" s="5">
        <v>0.36249999999999999</v>
      </c>
      <c r="BU166" s="3" t="s">
        <v>235</v>
      </c>
      <c r="BV166" s="3" t="s">
        <v>95</v>
      </c>
      <c r="BY166" s="3">
        <v>1200</v>
      </c>
      <c r="BZ166" s="3" t="s">
        <v>117</v>
      </c>
      <c r="CA166" s="3" t="s">
        <v>236</v>
      </c>
      <c r="CC166" s="3" t="s">
        <v>113</v>
      </c>
      <c r="CD166" s="3">
        <v>300</v>
      </c>
      <c r="CE166" s="3" t="s">
        <v>86</v>
      </c>
      <c r="CF166" s="4">
        <v>44588</v>
      </c>
      <c r="CI166" s="3">
        <v>1</v>
      </c>
      <c r="CJ166" s="3">
        <v>1</v>
      </c>
      <c r="CK166" s="3">
        <v>23</v>
      </c>
      <c r="CL166" s="3" t="s">
        <v>87</v>
      </c>
    </row>
    <row r="167" spans="1:90" x14ac:dyDescent="0.2">
      <c r="A167" s="3" t="s">
        <v>72</v>
      </c>
      <c r="B167" s="3" t="s">
        <v>73</v>
      </c>
      <c r="C167" s="3" t="s">
        <v>74</v>
      </c>
      <c r="E167" s="3" t="str">
        <f>"009941618893"</f>
        <v>009941618893</v>
      </c>
      <c r="F167" s="4">
        <v>44587</v>
      </c>
      <c r="G167" s="3">
        <v>202207</v>
      </c>
      <c r="H167" s="3" t="s">
        <v>79</v>
      </c>
      <c r="I167" s="3" t="s">
        <v>80</v>
      </c>
      <c r="J167" s="3" t="s">
        <v>92</v>
      </c>
      <c r="K167" s="3" t="s">
        <v>78</v>
      </c>
      <c r="L167" s="3" t="s">
        <v>123</v>
      </c>
      <c r="M167" s="3" t="s">
        <v>124</v>
      </c>
      <c r="N167" s="3" t="s">
        <v>77</v>
      </c>
      <c r="O167" s="3" t="s">
        <v>81</v>
      </c>
      <c r="P167" s="3" t="str">
        <f t="shared" si="5"/>
        <v xml:space="preserve">STORES         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42.16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1</v>
      </c>
      <c r="BI167" s="3">
        <v>4.0999999999999996</v>
      </c>
      <c r="BJ167" s="3">
        <v>5.0999999999999996</v>
      </c>
      <c r="BK167" s="3">
        <v>6</v>
      </c>
      <c r="BL167" s="3">
        <v>166.16</v>
      </c>
      <c r="BM167" s="3">
        <v>24.92</v>
      </c>
      <c r="BN167" s="3">
        <v>191.08</v>
      </c>
      <c r="BO167" s="3">
        <v>191.08</v>
      </c>
      <c r="BQ167" s="3" t="s">
        <v>118</v>
      </c>
      <c r="BR167" s="3" t="s">
        <v>232</v>
      </c>
      <c r="BS167" s="4">
        <v>44588</v>
      </c>
      <c r="BT167" s="5">
        <v>0.37847222222222227</v>
      </c>
      <c r="BU167" s="3" t="s">
        <v>202</v>
      </c>
      <c r="BV167" s="3" t="s">
        <v>95</v>
      </c>
      <c r="BY167" s="3">
        <v>25398.45</v>
      </c>
      <c r="BZ167" s="3" t="s">
        <v>85</v>
      </c>
      <c r="CA167" s="3" t="s">
        <v>203</v>
      </c>
      <c r="CC167" s="3" t="s">
        <v>124</v>
      </c>
      <c r="CD167" s="3">
        <v>1034</v>
      </c>
      <c r="CE167" s="3" t="s">
        <v>86</v>
      </c>
      <c r="CF167" s="4">
        <v>44588</v>
      </c>
      <c r="CI167" s="3">
        <v>1</v>
      </c>
      <c r="CJ167" s="3">
        <v>1</v>
      </c>
      <c r="CK167" s="3">
        <v>43</v>
      </c>
      <c r="CL167" s="3" t="s">
        <v>87</v>
      </c>
    </row>
    <row r="168" spans="1:90" x14ac:dyDescent="0.2">
      <c r="A168" s="3" t="s">
        <v>72</v>
      </c>
      <c r="B168" s="3" t="s">
        <v>73</v>
      </c>
      <c r="C168" s="3" t="s">
        <v>74</v>
      </c>
      <c r="E168" s="3" t="str">
        <f>"009941567770"</f>
        <v>009941567770</v>
      </c>
      <c r="F168" s="4">
        <v>44587</v>
      </c>
      <c r="G168" s="3">
        <v>202207</v>
      </c>
      <c r="H168" s="3" t="s">
        <v>79</v>
      </c>
      <c r="I168" s="3" t="s">
        <v>80</v>
      </c>
      <c r="J168" s="3" t="s">
        <v>77</v>
      </c>
      <c r="K168" s="3" t="s">
        <v>78</v>
      </c>
      <c r="L168" s="3" t="s">
        <v>149</v>
      </c>
      <c r="M168" s="3" t="s">
        <v>150</v>
      </c>
      <c r="N168" s="3" t="s">
        <v>286</v>
      </c>
      <c r="O168" s="3" t="s">
        <v>115</v>
      </c>
      <c r="P168" s="3" t="str">
        <f t="shared" si="5"/>
        <v xml:space="preserve">STORES      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15.46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1</v>
      </c>
      <c r="BI168" s="3">
        <v>1</v>
      </c>
      <c r="BJ168" s="3">
        <v>1.9</v>
      </c>
      <c r="BK168" s="3">
        <v>2</v>
      </c>
      <c r="BL168" s="3">
        <v>59</v>
      </c>
      <c r="BM168" s="3">
        <v>8.85</v>
      </c>
      <c r="BN168" s="3">
        <v>67.849999999999994</v>
      </c>
      <c r="BO168" s="3">
        <v>67.849999999999994</v>
      </c>
      <c r="BQ168" s="3" t="s">
        <v>118</v>
      </c>
      <c r="BR168" s="3" t="s">
        <v>111</v>
      </c>
      <c r="BS168" s="3" t="s">
        <v>84</v>
      </c>
      <c r="BY168" s="3">
        <v>9674.11</v>
      </c>
      <c r="BZ168" s="3" t="s">
        <v>117</v>
      </c>
      <c r="CC168" s="3" t="s">
        <v>150</v>
      </c>
      <c r="CD168" s="3">
        <v>3200</v>
      </c>
      <c r="CE168" s="3" t="s">
        <v>86</v>
      </c>
      <c r="CI168" s="3">
        <v>1</v>
      </c>
      <c r="CJ168" s="3" t="s">
        <v>84</v>
      </c>
      <c r="CK168" s="3">
        <v>21</v>
      </c>
      <c r="CL168" s="3" t="s">
        <v>87</v>
      </c>
    </row>
    <row r="169" spans="1:90" x14ac:dyDescent="0.2">
      <c r="A169" s="3" t="s">
        <v>72</v>
      </c>
      <c r="B169" s="3" t="s">
        <v>73</v>
      </c>
      <c r="C169" s="3" t="s">
        <v>74</v>
      </c>
      <c r="E169" s="3" t="str">
        <f>"009940864649"</f>
        <v>009940864649</v>
      </c>
      <c r="F169" s="4">
        <v>44585</v>
      </c>
      <c r="G169" s="3">
        <v>202207</v>
      </c>
      <c r="H169" s="3" t="s">
        <v>144</v>
      </c>
      <c r="I169" s="3" t="s">
        <v>145</v>
      </c>
      <c r="J169" s="3" t="s">
        <v>77</v>
      </c>
      <c r="K169" s="3" t="s">
        <v>78</v>
      </c>
      <c r="L169" s="3" t="s">
        <v>90</v>
      </c>
      <c r="M169" s="3" t="s">
        <v>91</v>
      </c>
      <c r="N169" s="3" t="s">
        <v>77</v>
      </c>
      <c r="O169" s="3" t="s">
        <v>81</v>
      </c>
      <c r="P169" s="3" t="str">
        <f>"                              "</f>
        <v xml:space="preserve">            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95.73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3</v>
      </c>
      <c r="BI169" s="3">
        <v>88</v>
      </c>
      <c r="BJ169" s="3">
        <v>46.8</v>
      </c>
      <c r="BK169" s="3">
        <v>88</v>
      </c>
      <c r="BL169" s="3">
        <v>370.63</v>
      </c>
      <c r="BM169" s="3">
        <v>55.59</v>
      </c>
      <c r="BN169" s="3">
        <v>426.22</v>
      </c>
      <c r="BO169" s="3">
        <v>426.22</v>
      </c>
      <c r="BQ169" s="3" t="s">
        <v>146</v>
      </c>
      <c r="BR169" s="3" t="s">
        <v>429</v>
      </c>
      <c r="BS169" s="4">
        <v>44585</v>
      </c>
      <c r="BT169" s="5">
        <v>0.47500000000000003</v>
      </c>
      <c r="BU169" s="3" t="s">
        <v>257</v>
      </c>
      <c r="BV169" s="3" t="s">
        <v>95</v>
      </c>
      <c r="BY169" s="3">
        <v>156624</v>
      </c>
      <c r="BZ169" s="3" t="s">
        <v>85</v>
      </c>
      <c r="CA169" s="3" t="s">
        <v>96</v>
      </c>
      <c r="CC169" s="3" t="s">
        <v>91</v>
      </c>
      <c r="CD169" s="3">
        <v>700</v>
      </c>
      <c r="CE169" s="3" t="s">
        <v>86</v>
      </c>
      <c r="CF169" s="4">
        <v>44585</v>
      </c>
      <c r="CI169" s="3">
        <v>1</v>
      </c>
      <c r="CJ169" s="3">
        <v>0</v>
      </c>
      <c r="CK169" s="3">
        <v>44</v>
      </c>
      <c r="CL169" s="3" t="s">
        <v>87</v>
      </c>
    </row>
    <row r="170" spans="1:90" x14ac:dyDescent="0.2">
      <c r="A170" s="3" t="s">
        <v>72</v>
      </c>
      <c r="B170" s="3" t="s">
        <v>73</v>
      </c>
      <c r="C170" s="3" t="s">
        <v>74</v>
      </c>
      <c r="E170" s="3" t="str">
        <f>"009941108085"</f>
        <v>009941108085</v>
      </c>
      <c r="F170" s="4">
        <v>44587</v>
      </c>
      <c r="G170" s="3">
        <v>202207</v>
      </c>
      <c r="H170" s="3" t="s">
        <v>112</v>
      </c>
      <c r="I170" s="3" t="s">
        <v>113</v>
      </c>
      <c r="J170" s="3" t="s">
        <v>77</v>
      </c>
      <c r="K170" s="3" t="s">
        <v>78</v>
      </c>
      <c r="L170" s="3" t="s">
        <v>401</v>
      </c>
      <c r="M170" s="3" t="s">
        <v>402</v>
      </c>
      <c r="N170" s="3" t="s">
        <v>430</v>
      </c>
      <c r="O170" s="3" t="s">
        <v>81</v>
      </c>
      <c r="P170" s="3" t="str">
        <f>"                              "</f>
        <v xml:space="preserve">            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42.16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15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1</v>
      </c>
      <c r="BI170" s="3">
        <v>10</v>
      </c>
      <c r="BJ170" s="3">
        <v>2.2000000000000002</v>
      </c>
      <c r="BK170" s="3">
        <v>10</v>
      </c>
      <c r="BL170" s="3">
        <v>181.16</v>
      </c>
      <c r="BM170" s="3">
        <v>27.17</v>
      </c>
      <c r="BN170" s="3">
        <v>208.33</v>
      </c>
      <c r="BO170" s="3">
        <v>208.33</v>
      </c>
      <c r="BQ170" s="3" t="s">
        <v>431</v>
      </c>
      <c r="BR170" s="3" t="s">
        <v>432</v>
      </c>
      <c r="BS170" s="3" t="s">
        <v>84</v>
      </c>
      <c r="BY170" s="3">
        <v>11115</v>
      </c>
      <c r="BZ170" s="3" t="s">
        <v>230</v>
      </c>
      <c r="CC170" s="3" t="s">
        <v>402</v>
      </c>
      <c r="CD170" s="3">
        <v>2745</v>
      </c>
      <c r="CE170" s="3" t="s">
        <v>107</v>
      </c>
      <c r="CI170" s="3">
        <v>1</v>
      </c>
      <c r="CJ170" s="3" t="s">
        <v>84</v>
      </c>
      <c r="CK170" s="3">
        <v>43</v>
      </c>
      <c r="CL170" s="3" t="s">
        <v>87</v>
      </c>
    </row>
    <row r="171" spans="1:90" x14ac:dyDescent="0.2">
      <c r="A171" s="3" t="s">
        <v>72</v>
      </c>
      <c r="B171" s="3" t="s">
        <v>73</v>
      </c>
      <c r="C171" s="3" t="s">
        <v>74</v>
      </c>
      <c r="E171" s="3" t="str">
        <f>"009941567668"</f>
        <v>009941567668</v>
      </c>
      <c r="F171" s="4">
        <v>44588</v>
      </c>
      <c r="G171" s="3">
        <v>202207</v>
      </c>
      <c r="H171" s="3" t="s">
        <v>79</v>
      </c>
      <c r="I171" s="3" t="s">
        <v>80</v>
      </c>
      <c r="J171" s="3" t="s">
        <v>77</v>
      </c>
      <c r="K171" s="3" t="s">
        <v>78</v>
      </c>
      <c r="L171" s="3" t="s">
        <v>188</v>
      </c>
      <c r="M171" s="3" t="s">
        <v>189</v>
      </c>
      <c r="N171" s="3" t="s">
        <v>77</v>
      </c>
      <c r="O171" s="3" t="s">
        <v>115</v>
      </c>
      <c r="P171" s="3" t="str">
        <f t="shared" ref="P171:P177" si="6">"STORES                        "</f>
        <v xml:space="preserve">STORES          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29.95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15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1</v>
      </c>
      <c r="BI171" s="3">
        <v>0.2</v>
      </c>
      <c r="BJ171" s="3">
        <v>1.1000000000000001</v>
      </c>
      <c r="BK171" s="3">
        <v>1.5</v>
      </c>
      <c r="BL171" s="3">
        <v>129.31</v>
      </c>
      <c r="BM171" s="3">
        <v>19.399999999999999</v>
      </c>
      <c r="BN171" s="3">
        <v>148.71</v>
      </c>
      <c r="BO171" s="3">
        <v>148.71</v>
      </c>
      <c r="BQ171" s="3" t="s">
        <v>433</v>
      </c>
      <c r="BR171" s="3" t="s">
        <v>434</v>
      </c>
      <c r="BS171" s="4">
        <v>44589</v>
      </c>
      <c r="BT171" s="5">
        <v>0.5229166666666667</v>
      </c>
      <c r="BU171" s="3" t="s">
        <v>420</v>
      </c>
      <c r="BV171" s="3" t="s">
        <v>95</v>
      </c>
      <c r="BY171" s="3">
        <v>5436.46</v>
      </c>
      <c r="BZ171" s="3" t="s">
        <v>122</v>
      </c>
      <c r="CA171" s="3" t="s">
        <v>421</v>
      </c>
      <c r="CC171" s="3" t="s">
        <v>189</v>
      </c>
      <c r="CD171" s="3">
        <v>4240</v>
      </c>
      <c r="CE171" s="3" t="s">
        <v>86</v>
      </c>
      <c r="CI171" s="3">
        <v>1</v>
      </c>
      <c r="CJ171" s="3">
        <v>1</v>
      </c>
      <c r="CK171" s="3">
        <v>23</v>
      </c>
      <c r="CL171" s="3" t="s">
        <v>87</v>
      </c>
    </row>
    <row r="172" spans="1:90" x14ac:dyDescent="0.2">
      <c r="A172" s="3" t="s">
        <v>72</v>
      </c>
      <c r="B172" s="3" t="s">
        <v>73</v>
      </c>
      <c r="C172" s="3" t="s">
        <v>74</v>
      </c>
      <c r="E172" s="3" t="str">
        <f>"009941332707"</f>
        <v>009941332707</v>
      </c>
      <c r="F172" s="4">
        <v>44588</v>
      </c>
      <c r="G172" s="3">
        <v>202207</v>
      </c>
      <c r="H172" s="3" t="s">
        <v>79</v>
      </c>
      <c r="I172" s="3" t="s">
        <v>80</v>
      </c>
      <c r="J172" s="3" t="s">
        <v>77</v>
      </c>
      <c r="K172" s="3" t="s">
        <v>78</v>
      </c>
      <c r="L172" s="3" t="s">
        <v>120</v>
      </c>
      <c r="M172" s="3" t="s">
        <v>121</v>
      </c>
      <c r="N172" s="3" t="s">
        <v>77</v>
      </c>
      <c r="O172" s="3" t="s">
        <v>81</v>
      </c>
      <c r="P172" s="3" t="str">
        <f t="shared" si="6"/>
        <v xml:space="preserve">STORES                 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42.16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15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1</v>
      </c>
      <c r="BI172" s="3">
        <v>3.5</v>
      </c>
      <c r="BJ172" s="3">
        <v>7.7</v>
      </c>
      <c r="BK172" s="3">
        <v>8</v>
      </c>
      <c r="BL172" s="3">
        <v>181.16</v>
      </c>
      <c r="BM172" s="3">
        <v>27.17</v>
      </c>
      <c r="BN172" s="3">
        <v>208.33</v>
      </c>
      <c r="BO172" s="3">
        <v>208.33</v>
      </c>
      <c r="BQ172" s="3" t="s">
        <v>435</v>
      </c>
      <c r="BR172" s="3" t="s">
        <v>118</v>
      </c>
      <c r="BS172" s="3" t="s">
        <v>84</v>
      </c>
      <c r="BY172" s="3">
        <v>38390.94</v>
      </c>
      <c r="BZ172" s="3" t="s">
        <v>230</v>
      </c>
      <c r="CC172" s="3" t="s">
        <v>121</v>
      </c>
      <c r="CD172" s="3">
        <v>8460</v>
      </c>
      <c r="CE172" s="3" t="s">
        <v>86</v>
      </c>
      <c r="CI172" s="3">
        <v>1</v>
      </c>
      <c r="CJ172" s="3" t="s">
        <v>84</v>
      </c>
      <c r="CK172" s="3">
        <v>43</v>
      </c>
      <c r="CL172" s="3" t="s">
        <v>87</v>
      </c>
    </row>
    <row r="173" spans="1:90" x14ac:dyDescent="0.2">
      <c r="A173" s="3" t="s">
        <v>72</v>
      </c>
      <c r="B173" s="3" t="s">
        <v>73</v>
      </c>
      <c r="C173" s="3" t="s">
        <v>74</v>
      </c>
      <c r="E173" s="3" t="str">
        <f>"009941332605"</f>
        <v>009941332605</v>
      </c>
      <c r="F173" s="4">
        <v>44588</v>
      </c>
      <c r="G173" s="3">
        <v>202207</v>
      </c>
      <c r="H173" s="3" t="s">
        <v>79</v>
      </c>
      <c r="I173" s="3" t="s">
        <v>80</v>
      </c>
      <c r="J173" s="3" t="s">
        <v>77</v>
      </c>
      <c r="K173" s="3" t="s">
        <v>78</v>
      </c>
      <c r="L173" s="3" t="s">
        <v>112</v>
      </c>
      <c r="M173" s="3" t="s">
        <v>113</v>
      </c>
      <c r="N173" s="3" t="s">
        <v>77</v>
      </c>
      <c r="O173" s="3" t="s">
        <v>81</v>
      </c>
      <c r="P173" s="3" t="str">
        <f t="shared" si="6"/>
        <v xml:space="preserve">STORES      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240.4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3</v>
      </c>
      <c r="BI173" s="3">
        <v>62.3</v>
      </c>
      <c r="BJ173" s="3">
        <v>106.1</v>
      </c>
      <c r="BK173" s="3">
        <v>107</v>
      </c>
      <c r="BL173" s="3">
        <v>922.84</v>
      </c>
      <c r="BM173" s="3">
        <v>138.43</v>
      </c>
      <c r="BN173" s="3">
        <v>1061.27</v>
      </c>
      <c r="BO173" s="3">
        <v>1061.27</v>
      </c>
      <c r="BQ173" s="3" t="s">
        <v>118</v>
      </c>
      <c r="BR173" s="3" t="s">
        <v>436</v>
      </c>
      <c r="BS173" s="4">
        <v>44589</v>
      </c>
      <c r="BT173" s="5">
        <v>0.38611111111111113</v>
      </c>
      <c r="BU173" s="3" t="s">
        <v>235</v>
      </c>
      <c r="BV173" s="3" t="s">
        <v>95</v>
      </c>
      <c r="BY173" s="3">
        <v>530607.43999999994</v>
      </c>
      <c r="BZ173" s="3" t="s">
        <v>85</v>
      </c>
      <c r="CA173" s="3" t="s">
        <v>236</v>
      </c>
      <c r="CC173" s="3" t="s">
        <v>113</v>
      </c>
      <c r="CD173" s="3">
        <v>300</v>
      </c>
      <c r="CE173" s="3" t="s">
        <v>86</v>
      </c>
      <c r="CF173" s="4">
        <v>44589</v>
      </c>
      <c r="CI173" s="3">
        <v>1</v>
      </c>
      <c r="CJ173" s="3">
        <v>1</v>
      </c>
      <c r="CK173" s="3">
        <v>43</v>
      </c>
      <c r="CL173" s="3" t="s">
        <v>87</v>
      </c>
    </row>
    <row r="174" spans="1:90" x14ac:dyDescent="0.2">
      <c r="A174" s="3" t="s">
        <v>72</v>
      </c>
      <c r="B174" s="3" t="s">
        <v>73</v>
      </c>
      <c r="C174" s="3" t="s">
        <v>74</v>
      </c>
      <c r="E174" s="3" t="str">
        <f>"009941332015"</f>
        <v>009941332015</v>
      </c>
      <c r="F174" s="4">
        <v>44588</v>
      </c>
      <c r="G174" s="3">
        <v>202207</v>
      </c>
      <c r="H174" s="3" t="s">
        <v>79</v>
      </c>
      <c r="I174" s="3" t="s">
        <v>80</v>
      </c>
      <c r="J174" s="3" t="s">
        <v>77</v>
      </c>
      <c r="K174" s="3" t="s">
        <v>78</v>
      </c>
      <c r="L174" s="3" t="s">
        <v>90</v>
      </c>
      <c r="M174" s="3" t="s">
        <v>91</v>
      </c>
      <c r="N174" s="3" t="s">
        <v>77</v>
      </c>
      <c r="O174" s="3" t="s">
        <v>115</v>
      </c>
      <c r="P174" s="3" t="str">
        <f t="shared" si="6"/>
        <v xml:space="preserve">STORES    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15.46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1</v>
      </c>
      <c r="BI174" s="3">
        <v>1</v>
      </c>
      <c r="BJ174" s="3">
        <v>0.2</v>
      </c>
      <c r="BK174" s="3">
        <v>1</v>
      </c>
      <c r="BL174" s="3">
        <v>59</v>
      </c>
      <c r="BM174" s="3">
        <v>8.85</v>
      </c>
      <c r="BN174" s="3">
        <v>67.849999999999994</v>
      </c>
      <c r="BO174" s="3">
        <v>67.849999999999994</v>
      </c>
      <c r="BQ174" s="3" t="s">
        <v>118</v>
      </c>
      <c r="BR174" s="3" t="s">
        <v>111</v>
      </c>
      <c r="BS174" s="4">
        <v>44589</v>
      </c>
      <c r="BT174" s="5">
        <v>0.43402777777777773</v>
      </c>
      <c r="BU174" s="3" t="s">
        <v>94</v>
      </c>
      <c r="BV174" s="3" t="s">
        <v>95</v>
      </c>
      <c r="BY174" s="3">
        <v>1200</v>
      </c>
      <c r="BZ174" s="3" t="s">
        <v>117</v>
      </c>
      <c r="CA174" s="3" t="s">
        <v>96</v>
      </c>
      <c r="CC174" s="3" t="s">
        <v>91</v>
      </c>
      <c r="CD174" s="3">
        <v>699</v>
      </c>
      <c r="CE174" s="3" t="s">
        <v>86</v>
      </c>
      <c r="CF174" s="4">
        <v>44589</v>
      </c>
      <c r="CI174" s="3">
        <v>1</v>
      </c>
      <c r="CJ174" s="3">
        <v>1</v>
      </c>
      <c r="CK174" s="3">
        <v>21</v>
      </c>
      <c r="CL174" s="3" t="s">
        <v>87</v>
      </c>
    </row>
    <row r="175" spans="1:90" x14ac:dyDescent="0.2">
      <c r="A175" s="3" t="s">
        <v>72</v>
      </c>
      <c r="B175" s="3" t="s">
        <v>73</v>
      </c>
      <c r="C175" s="3" t="s">
        <v>74</v>
      </c>
      <c r="E175" s="3" t="str">
        <f>"009939616547"</f>
        <v>009939616547</v>
      </c>
      <c r="F175" s="4">
        <v>44588</v>
      </c>
      <c r="G175" s="3">
        <v>202207</v>
      </c>
      <c r="H175" s="3" t="s">
        <v>79</v>
      </c>
      <c r="I175" s="3" t="s">
        <v>80</v>
      </c>
      <c r="J175" s="3" t="s">
        <v>77</v>
      </c>
      <c r="K175" s="3" t="s">
        <v>78</v>
      </c>
      <c r="L175" s="3" t="s">
        <v>225</v>
      </c>
      <c r="M175" s="3" t="s">
        <v>226</v>
      </c>
      <c r="N175" s="3" t="s">
        <v>77</v>
      </c>
      <c r="O175" s="3" t="s">
        <v>81</v>
      </c>
      <c r="P175" s="3" t="str">
        <f t="shared" si="6"/>
        <v xml:space="preserve">STORES    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52.93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1</v>
      </c>
      <c r="BI175" s="3">
        <v>7.2</v>
      </c>
      <c r="BJ175" s="3">
        <v>19.899999999999999</v>
      </c>
      <c r="BK175" s="3">
        <v>20</v>
      </c>
      <c r="BL175" s="3">
        <v>207.28</v>
      </c>
      <c r="BM175" s="3">
        <v>31.09</v>
      </c>
      <c r="BN175" s="3">
        <v>238.37</v>
      </c>
      <c r="BO175" s="3">
        <v>238.37</v>
      </c>
      <c r="BQ175" s="3" t="s">
        <v>118</v>
      </c>
      <c r="BR175" s="3" t="s">
        <v>111</v>
      </c>
      <c r="BS175" s="3" t="s">
        <v>84</v>
      </c>
      <c r="BY175" s="3">
        <v>99511.2</v>
      </c>
      <c r="BZ175" s="3" t="s">
        <v>85</v>
      </c>
      <c r="CC175" s="3" t="s">
        <v>226</v>
      </c>
      <c r="CD175" s="3">
        <v>5320</v>
      </c>
      <c r="CE175" s="3" t="s">
        <v>86</v>
      </c>
      <c r="CI175" s="3">
        <v>6</v>
      </c>
      <c r="CJ175" s="3" t="s">
        <v>84</v>
      </c>
      <c r="CK175" s="3">
        <v>43</v>
      </c>
      <c r="CL175" s="3" t="s">
        <v>87</v>
      </c>
    </row>
    <row r="176" spans="1:90" x14ac:dyDescent="0.2">
      <c r="A176" s="3" t="s">
        <v>72</v>
      </c>
      <c r="B176" s="3" t="s">
        <v>73</v>
      </c>
      <c r="C176" s="3" t="s">
        <v>74</v>
      </c>
      <c r="E176" s="3" t="str">
        <f>"009941171595"</f>
        <v>009941171595</v>
      </c>
      <c r="F176" s="4">
        <v>44588</v>
      </c>
      <c r="G176" s="3">
        <v>202207</v>
      </c>
      <c r="H176" s="3" t="s">
        <v>79</v>
      </c>
      <c r="I176" s="3" t="s">
        <v>80</v>
      </c>
      <c r="J176" s="3" t="s">
        <v>77</v>
      </c>
      <c r="K176" s="3" t="s">
        <v>78</v>
      </c>
      <c r="L176" s="3" t="s">
        <v>144</v>
      </c>
      <c r="M176" s="3" t="s">
        <v>145</v>
      </c>
      <c r="N176" s="3" t="s">
        <v>77</v>
      </c>
      <c r="O176" s="3" t="s">
        <v>115</v>
      </c>
      <c r="P176" s="3" t="str">
        <f t="shared" si="6"/>
        <v xml:space="preserve">STORES       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29.95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1</v>
      </c>
      <c r="BJ176" s="3">
        <v>0.2</v>
      </c>
      <c r="BK176" s="3">
        <v>1</v>
      </c>
      <c r="BL176" s="3">
        <v>114.31</v>
      </c>
      <c r="BM176" s="3">
        <v>17.149999999999999</v>
      </c>
      <c r="BN176" s="3">
        <v>131.46</v>
      </c>
      <c r="BO176" s="3">
        <v>131.46</v>
      </c>
      <c r="BQ176" s="3" t="s">
        <v>118</v>
      </c>
      <c r="BR176" s="3" t="s">
        <v>437</v>
      </c>
      <c r="BS176" s="4">
        <v>44589</v>
      </c>
      <c r="BT176" s="5">
        <v>0.67013888888888884</v>
      </c>
      <c r="BU176" s="3" t="s">
        <v>249</v>
      </c>
      <c r="BV176" s="3" t="s">
        <v>87</v>
      </c>
      <c r="BY176" s="3">
        <v>1200</v>
      </c>
      <c r="BZ176" s="3" t="s">
        <v>117</v>
      </c>
      <c r="CA176" s="3" t="s">
        <v>250</v>
      </c>
      <c r="CC176" s="3" t="s">
        <v>145</v>
      </c>
      <c r="CD176" s="3">
        <v>850</v>
      </c>
      <c r="CE176" s="3" t="s">
        <v>86</v>
      </c>
      <c r="CF176" s="4">
        <v>44589</v>
      </c>
      <c r="CI176" s="3">
        <v>1</v>
      </c>
      <c r="CJ176" s="3">
        <v>1</v>
      </c>
      <c r="CK176" s="3">
        <v>23</v>
      </c>
      <c r="CL176" s="3" t="s">
        <v>87</v>
      </c>
    </row>
    <row r="177" spans="1:90" x14ac:dyDescent="0.2">
      <c r="A177" s="3" t="s">
        <v>72</v>
      </c>
      <c r="B177" s="3" t="s">
        <v>73</v>
      </c>
      <c r="C177" s="3" t="s">
        <v>74</v>
      </c>
      <c r="E177" s="3" t="str">
        <f>"009941618892"</f>
        <v>009941618892</v>
      </c>
      <c r="F177" s="4">
        <v>44588</v>
      </c>
      <c r="G177" s="3">
        <v>202207</v>
      </c>
      <c r="H177" s="3" t="s">
        <v>79</v>
      </c>
      <c r="I177" s="3" t="s">
        <v>80</v>
      </c>
      <c r="J177" s="3" t="s">
        <v>77</v>
      </c>
      <c r="K177" s="3" t="s">
        <v>78</v>
      </c>
      <c r="L177" s="3" t="s">
        <v>123</v>
      </c>
      <c r="M177" s="3" t="s">
        <v>124</v>
      </c>
      <c r="N177" s="3" t="s">
        <v>77</v>
      </c>
      <c r="O177" s="3" t="s">
        <v>81</v>
      </c>
      <c r="P177" s="3" t="str">
        <f t="shared" si="6"/>
        <v xml:space="preserve">STORES       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83.1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1</v>
      </c>
      <c r="BI177" s="3">
        <v>27</v>
      </c>
      <c r="BJ177" s="3">
        <v>33.200000000000003</v>
      </c>
      <c r="BK177" s="3">
        <v>34</v>
      </c>
      <c r="BL177" s="3">
        <v>322.43</v>
      </c>
      <c r="BM177" s="3">
        <v>48.36</v>
      </c>
      <c r="BN177" s="3">
        <v>370.79</v>
      </c>
      <c r="BO177" s="3">
        <v>370.79</v>
      </c>
      <c r="BQ177" s="3" t="s">
        <v>118</v>
      </c>
      <c r="BR177" s="3" t="s">
        <v>118</v>
      </c>
      <c r="BS177" s="4">
        <v>44589</v>
      </c>
      <c r="BT177" s="5">
        <v>0.34513888888888888</v>
      </c>
      <c r="BU177" s="3" t="s">
        <v>316</v>
      </c>
      <c r="BV177" s="3" t="s">
        <v>95</v>
      </c>
      <c r="BY177" s="3">
        <v>165760</v>
      </c>
      <c r="BZ177" s="3" t="s">
        <v>85</v>
      </c>
      <c r="CA177" s="3" t="s">
        <v>203</v>
      </c>
      <c r="CC177" s="3" t="s">
        <v>124</v>
      </c>
      <c r="CD177" s="3">
        <v>1034</v>
      </c>
      <c r="CE177" s="3" t="s">
        <v>86</v>
      </c>
      <c r="CF177" s="4">
        <v>44589</v>
      </c>
      <c r="CI177" s="3">
        <v>1</v>
      </c>
      <c r="CJ177" s="3">
        <v>1</v>
      </c>
      <c r="CK177" s="3">
        <v>43</v>
      </c>
      <c r="CL177" s="3" t="s">
        <v>87</v>
      </c>
    </row>
    <row r="178" spans="1:90" x14ac:dyDescent="0.2">
      <c r="A178" s="3" t="s">
        <v>72</v>
      </c>
      <c r="B178" s="3" t="s">
        <v>73</v>
      </c>
      <c r="C178" s="3" t="s">
        <v>74</v>
      </c>
      <c r="E178" s="3" t="str">
        <f>"009941108087"</f>
        <v>009941108087</v>
      </c>
      <c r="F178" s="4">
        <v>44588</v>
      </c>
      <c r="G178" s="3">
        <v>202207</v>
      </c>
      <c r="H178" s="3" t="s">
        <v>112</v>
      </c>
      <c r="I178" s="3" t="s">
        <v>113</v>
      </c>
      <c r="J178" s="3" t="s">
        <v>77</v>
      </c>
      <c r="K178" s="3" t="s">
        <v>78</v>
      </c>
      <c r="L178" s="3" t="s">
        <v>79</v>
      </c>
      <c r="M178" s="3" t="s">
        <v>80</v>
      </c>
      <c r="N178" s="3" t="s">
        <v>77</v>
      </c>
      <c r="O178" s="3" t="s">
        <v>81</v>
      </c>
      <c r="P178" s="3" t="str">
        <f>"                              "</f>
        <v xml:space="preserve">                 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149.9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3</v>
      </c>
      <c r="BI178" s="3">
        <v>64.2</v>
      </c>
      <c r="BJ178" s="3">
        <v>44.4</v>
      </c>
      <c r="BK178" s="3">
        <v>65</v>
      </c>
      <c r="BL178" s="3">
        <v>577.4</v>
      </c>
      <c r="BM178" s="3">
        <v>86.61</v>
      </c>
      <c r="BN178" s="3">
        <v>664.01</v>
      </c>
      <c r="BO178" s="3">
        <v>664.01</v>
      </c>
      <c r="BQ178" s="3" t="s">
        <v>82</v>
      </c>
      <c r="BR178" s="3" t="s">
        <v>265</v>
      </c>
      <c r="BS178" s="4">
        <v>44589</v>
      </c>
      <c r="BT178" s="5">
        <v>0.3430555555555555</v>
      </c>
      <c r="BU178" s="3" t="s">
        <v>135</v>
      </c>
      <c r="BV178" s="3" t="s">
        <v>95</v>
      </c>
      <c r="BY178" s="3">
        <v>222236</v>
      </c>
      <c r="BZ178" s="3" t="s">
        <v>85</v>
      </c>
      <c r="CA178" s="3" t="s">
        <v>136</v>
      </c>
      <c r="CC178" s="3" t="s">
        <v>80</v>
      </c>
      <c r="CD178" s="3">
        <v>2146</v>
      </c>
      <c r="CE178" s="3" t="s">
        <v>107</v>
      </c>
      <c r="CF178" s="4">
        <v>44589</v>
      </c>
      <c r="CI178" s="3">
        <v>1</v>
      </c>
      <c r="CJ178" s="3">
        <v>1</v>
      </c>
      <c r="CK178" s="3">
        <v>43</v>
      </c>
      <c r="CL178" s="3" t="s">
        <v>87</v>
      </c>
    </row>
    <row r="179" spans="1:90" x14ac:dyDescent="0.2">
      <c r="A179" s="3" t="s">
        <v>72</v>
      </c>
      <c r="B179" s="3" t="s">
        <v>73</v>
      </c>
      <c r="C179" s="3" t="s">
        <v>74</v>
      </c>
      <c r="E179" s="3" t="str">
        <f>"080010378820"</f>
        <v>080010378820</v>
      </c>
      <c r="F179" s="4">
        <v>44588</v>
      </c>
      <c r="G179" s="3">
        <v>202207</v>
      </c>
      <c r="H179" s="3" t="s">
        <v>289</v>
      </c>
      <c r="I179" s="3" t="s">
        <v>290</v>
      </c>
      <c r="J179" s="3" t="s">
        <v>291</v>
      </c>
      <c r="K179" s="3" t="s">
        <v>78</v>
      </c>
      <c r="L179" s="3" t="s">
        <v>112</v>
      </c>
      <c r="M179" s="3" t="s">
        <v>113</v>
      </c>
      <c r="N179" s="3" t="s">
        <v>438</v>
      </c>
      <c r="O179" s="3" t="s">
        <v>115</v>
      </c>
      <c r="P179" s="3" t="str">
        <f>"-                             "</f>
        <v xml:space="preserve">-            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29.95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1</v>
      </c>
      <c r="BJ179" s="3">
        <v>0.2</v>
      </c>
      <c r="BK179" s="3">
        <v>1</v>
      </c>
      <c r="BL179" s="3">
        <v>114.31</v>
      </c>
      <c r="BM179" s="3">
        <v>17.149999999999999</v>
      </c>
      <c r="BN179" s="3">
        <v>131.46</v>
      </c>
      <c r="BO179" s="3">
        <v>131.46</v>
      </c>
      <c r="BP179" s="3" t="s">
        <v>84</v>
      </c>
      <c r="BQ179" s="3" t="s">
        <v>439</v>
      </c>
      <c r="BR179" s="3" t="s">
        <v>292</v>
      </c>
      <c r="BS179" s="4">
        <v>44589</v>
      </c>
      <c r="BT179" s="5">
        <v>0.38541666666666669</v>
      </c>
      <c r="BU179" s="3" t="s">
        <v>235</v>
      </c>
      <c r="BV179" s="3" t="s">
        <v>95</v>
      </c>
      <c r="BY179" s="3">
        <v>1200</v>
      </c>
      <c r="BZ179" s="3" t="s">
        <v>117</v>
      </c>
      <c r="CA179" s="3" t="s">
        <v>236</v>
      </c>
      <c r="CC179" s="3" t="s">
        <v>113</v>
      </c>
      <c r="CD179" s="3">
        <v>299</v>
      </c>
      <c r="CE179" s="3" t="s">
        <v>282</v>
      </c>
      <c r="CF179" s="4">
        <v>44589</v>
      </c>
      <c r="CI179" s="3">
        <v>1</v>
      </c>
      <c r="CJ179" s="3">
        <v>1</v>
      </c>
      <c r="CK179" s="3">
        <v>23</v>
      </c>
      <c r="CL179" s="3" t="s">
        <v>87</v>
      </c>
    </row>
    <row r="180" spans="1:90" x14ac:dyDescent="0.2">
      <c r="A180" s="3" t="s">
        <v>72</v>
      </c>
      <c r="B180" s="3" t="s">
        <v>73</v>
      </c>
      <c r="C180" s="3" t="s">
        <v>74</v>
      </c>
      <c r="E180" s="3" t="str">
        <f>"009942032013"</f>
        <v>009942032013</v>
      </c>
      <c r="F180" s="4">
        <v>44588</v>
      </c>
      <c r="G180" s="3">
        <v>202207</v>
      </c>
      <c r="H180" s="3" t="s">
        <v>196</v>
      </c>
      <c r="I180" s="3" t="s">
        <v>197</v>
      </c>
      <c r="J180" s="3" t="s">
        <v>77</v>
      </c>
      <c r="K180" s="3" t="s">
        <v>78</v>
      </c>
      <c r="L180" s="3" t="s">
        <v>79</v>
      </c>
      <c r="M180" s="3" t="s">
        <v>80</v>
      </c>
      <c r="N180" s="3" t="s">
        <v>440</v>
      </c>
      <c r="O180" s="3" t="s">
        <v>81</v>
      </c>
      <c r="P180" s="3" t="str">
        <f>"                              "</f>
        <v xml:space="preserve">                 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42.16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4</v>
      </c>
      <c r="BI180" s="3">
        <v>4</v>
      </c>
      <c r="BJ180" s="3">
        <v>1</v>
      </c>
      <c r="BK180" s="3">
        <v>4</v>
      </c>
      <c r="BL180" s="3">
        <v>166.16</v>
      </c>
      <c r="BM180" s="3">
        <v>24.92</v>
      </c>
      <c r="BN180" s="3">
        <v>191.08</v>
      </c>
      <c r="BO180" s="3">
        <v>191.08</v>
      </c>
      <c r="BR180" s="3" t="s">
        <v>199</v>
      </c>
      <c r="BS180" s="4">
        <v>44589</v>
      </c>
      <c r="BT180" s="5">
        <v>0.34236111111111112</v>
      </c>
      <c r="BU180" s="3" t="s">
        <v>135</v>
      </c>
      <c r="BV180" s="3" t="s">
        <v>95</v>
      </c>
      <c r="BY180" s="3">
        <v>1200</v>
      </c>
      <c r="BZ180" s="3" t="s">
        <v>85</v>
      </c>
      <c r="CA180" s="3" t="s">
        <v>136</v>
      </c>
      <c r="CC180" s="3" t="s">
        <v>80</v>
      </c>
      <c r="CD180" s="3">
        <v>2146</v>
      </c>
      <c r="CE180" s="3" t="s">
        <v>107</v>
      </c>
      <c r="CF180" s="4">
        <v>44589</v>
      </c>
      <c r="CI180" s="3">
        <v>1</v>
      </c>
      <c r="CJ180" s="3">
        <v>1</v>
      </c>
      <c r="CK180" s="3">
        <v>43</v>
      </c>
      <c r="CL180" s="3" t="s">
        <v>87</v>
      </c>
    </row>
    <row r="181" spans="1:90" x14ac:dyDescent="0.2">
      <c r="A181" s="3" t="s">
        <v>72</v>
      </c>
      <c r="B181" s="3" t="s">
        <v>73</v>
      </c>
      <c r="C181" s="3" t="s">
        <v>74</v>
      </c>
      <c r="E181" s="3" t="str">
        <f>"009942167059"</f>
        <v>009942167059</v>
      </c>
      <c r="F181" s="4">
        <v>44587</v>
      </c>
      <c r="G181" s="3">
        <v>202207</v>
      </c>
      <c r="H181" s="3" t="s">
        <v>97</v>
      </c>
      <c r="I181" s="3" t="s">
        <v>98</v>
      </c>
      <c r="J181" s="3" t="s">
        <v>77</v>
      </c>
      <c r="K181" s="3" t="s">
        <v>78</v>
      </c>
      <c r="L181" s="3" t="s">
        <v>79</v>
      </c>
      <c r="M181" s="3" t="s">
        <v>80</v>
      </c>
      <c r="N181" s="3" t="s">
        <v>207</v>
      </c>
      <c r="O181" s="3" t="s">
        <v>115</v>
      </c>
      <c r="P181" s="3" t="str">
        <f>"                              "</f>
        <v xml:space="preserve">          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115.88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1</v>
      </c>
      <c r="BI181" s="3">
        <v>7</v>
      </c>
      <c r="BJ181" s="3">
        <v>14.7</v>
      </c>
      <c r="BK181" s="3">
        <v>15</v>
      </c>
      <c r="BL181" s="3">
        <v>442.3</v>
      </c>
      <c r="BM181" s="3">
        <v>66.349999999999994</v>
      </c>
      <c r="BN181" s="3">
        <v>508.65</v>
      </c>
      <c r="BO181" s="3">
        <v>508.65</v>
      </c>
      <c r="BQ181" s="3" t="s">
        <v>441</v>
      </c>
      <c r="BR181" s="3" t="s">
        <v>100</v>
      </c>
      <c r="BS181" s="4">
        <v>44588</v>
      </c>
      <c r="BT181" s="5">
        <v>0.40208333333333335</v>
      </c>
      <c r="BU181" s="3" t="s">
        <v>442</v>
      </c>
      <c r="BV181" s="3" t="s">
        <v>95</v>
      </c>
      <c r="BY181" s="3">
        <v>73410.75</v>
      </c>
      <c r="BZ181" s="3" t="s">
        <v>117</v>
      </c>
      <c r="CA181" s="3" t="s">
        <v>210</v>
      </c>
      <c r="CC181" s="3" t="s">
        <v>80</v>
      </c>
      <c r="CD181" s="3">
        <v>2146</v>
      </c>
      <c r="CE181" s="3" t="s">
        <v>86</v>
      </c>
      <c r="CF181" s="4">
        <v>44588</v>
      </c>
      <c r="CI181" s="3">
        <v>1</v>
      </c>
      <c r="CJ181" s="3">
        <v>1</v>
      </c>
      <c r="CK181" s="3">
        <v>21</v>
      </c>
      <c r="CL181" s="3" t="s">
        <v>87</v>
      </c>
    </row>
    <row r="182" spans="1:90" x14ac:dyDescent="0.2">
      <c r="A182" s="3" t="s">
        <v>72</v>
      </c>
      <c r="B182" s="3" t="s">
        <v>73</v>
      </c>
      <c r="C182" s="3" t="s">
        <v>74</v>
      </c>
      <c r="E182" s="3" t="str">
        <f>"009941994663"</f>
        <v>009941994663</v>
      </c>
      <c r="F182" s="4">
        <v>44587</v>
      </c>
      <c r="G182" s="3">
        <v>202207</v>
      </c>
      <c r="H182" s="3" t="s">
        <v>108</v>
      </c>
      <c r="I182" s="3" t="s">
        <v>109</v>
      </c>
      <c r="J182" s="3" t="s">
        <v>77</v>
      </c>
      <c r="K182" s="3" t="s">
        <v>78</v>
      </c>
      <c r="L182" s="3" t="s">
        <v>132</v>
      </c>
      <c r="M182" s="3" t="s">
        <v>133</v>
      </c>
      <c r="N182" s="3" t="s">
        <v>77</v>
      </c>
      <c r="O182" s="3" t="s">
        <v>115</v>
      </c>
      <c r="P182" s="3" t="str">
        <f>"                              "</f>
        <v xml:space="preserve">            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61.81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15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8</v>
      </c>
      <c r="BJ182" s="3">
        <v>6.3</v>
      </c>
      <c r="BK182" s="3">
        <v>8</v>
      </c>
      <c r="BL182" s="3">
        <v>250.91</v>
      </c>
      <c r="BM182" s="3">
        <v>37.64</v>
      </c>
      <c r="BN182" s="3">
        <v>288.55</v>
      </c>
      <c r="BO182" s="3">
        <v>288.55</v>
      </c>
      <c r="BQ182" s="3" t="s">
        <v>443</v>
      </c>
      <c r="BR182" s="3" t="s">
        <v>229</v>
      </c>
      <c r="BS182" s="4">
        <v>44588</v>
      </c>
      <c r="BT182" s="5">
        <v>0.37708333333333338</v>
      </c>
      <c r="BU182" s="3" t="s">
        <v>209</v>
      </c>
      <c r="BV182" s="3" t="s">
        <v>95</v>
      </c>
      <c r="BY182" s="3">
        <v>31360</v>
      </c>
      <c r="BZ182" s="3" t="s">
        <v>122</v>
      </c>
      <c r="CA182" s="3" t="s">
        <v>136</v>
      </c>
      <c r="CC182" s="3" t="s">
        <v>133</v>
      </c>
      <c r="CD182" s="3">
        <v>2000</v>
      </c>
      <c r="CE182" s="3" t="s">
        <v>86</v>
      </c>
      <c r="CF182" s="4">
        <v>44588</v>
      </c>
      <c r="CI182" s="3">
        <v>1</v>
      </c>
      <c r="CJ182" s="3">
        <v>1</v>
      </c>
      <c r="CK182" s="3">
        <v>21</v>
      </c>
      <c r="CL182" s="3" t="s">
        <v>87</v>
      </c>
    </row>
    <row r="183" spans="1:90" x14ac:dyDescent="0.2">
      <c r="A183" s="3" t="s">
        <v>72</v>
      </c>
      <c r="B183" s="3" t="s">
        <v>73</v>
      </c>
      <c r="C183" s="3" t="s">
        <v>74</v>
      </c>
      <c r="E183" s="3" t="str">
        <f>"009941994668"</f>
        <v>009941994668</v>
      </c>
      <c r="F183" s="4">
        <v>44565</v>
      </c>
      <c r="G183" s="3">
        <v>202207</v>
      </c>
      <c r="H183" s="3" t="s">
        <v>108</v>
      </c>
      <c r="I183" s="3" t="s">
        <v>109</v>
      </c>
      <c r="J183" s="3" t="s">
        <v>77</v>
      </c>
      <c r="K183" s="3" t="s">
        <v>78</v>
      </c>
      <c r="L183" s="3" t="s">
        <v>132</v>
      </c>
      <c r="M183" s="3" t="s">
        <v>133</v>
      </c>
      <c r="N183" s="3" t="s">
        <v>444</v>
      </c>
      <c r="O183" s="3" t="s">
        <v>81</v>
      </c>
      <c r="P183" s="3" t="str">
        <f>"                              "</f>
        <v xml:space="preserve">         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128.91999999999999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2</v>
      </c>
      <c r="BI183" s="3">
        <v>50</v>
      </c>
      <c r="BJ183" s="3">
        <v>85.4</v>
      </c>
      <c r="BK183" s="3">
        <v>86</v>
      </c>
      <c r="BL183" s="3">
        <v>464.74</v>
      </c>
      <c r="BM183" s="3">
        <v>69.709999999999994</v>
      </c>
      <c r="BN183" s="3">
        <v>534.45000000000005</v>
      </c>
      <c r="BO183" s="3">
        <v>534.45000000000005</v>
      </c>
      <c r="BQ183" s="3" t="s">
        <v>422</v>
      </c>
      <c r="BR183" s="3" t="s">
        <v>229</v>
      </c>
      <c r="BS183" s="4">
        <v>44566</v>
      </c>
      <c r="BT183" s="5">
        <v>0.34583333333333338</v>
      </c>
      <c r="BU183" s="3" t="s">
        <v>135</v>
      </c>
      <c r="BV183" s="3" t="s">
        <v>95</v>
      </c>
      <c r="BY183" s="3">
        <v>213528</v>
      </c>
      <c r="BZ183" s="3" t="s">
        <v>85</v>
      </c>
      <c r="CA183" s="3" t="s">
        <v>136</v>
      </c>
      <c r="CC183" s="3" t="s">
        <v>133</v>
      </c>
      <c r="CD183" s="3">
        <v>2196</v>
      </c>
      <c r="CE183" s="3" t="s">
        <v>86</v>
      </c>
      <c r="CF183" s="4">
        <v>44566</v>
      </c>
      <c r="CI183" s="3">
        <v>1</v>
      </c>
      <c r="CJ183" s="3">
        <v>1</v>
      </c>
      <c r="CK183" s="3">
        <v>41</v>
      </c>
      <c r="CL183" s="3" t="s">
        <v>87</v>
      </c>
    </row>
    <row r="184" spans="1:90" x14ac:dyDescent="0.2">
      <c r="A184" s="3" t="s">
        <v>72</v>
      </c>
      <c r="B184" s="3" t="s">
        <v>73</v>
      </c>
      <c r="C184" s="3" t="s">
        <v>74</v>
      </c>
      <c r="E184" s="3" t="str">
        <f>"009941618556"</f>
        <v>009941618556</v>
      </c>
      <c r="F184" s="4">
        <v>44566</v>
      </c>
      <c r="G184" s="3">
        <v>202207</v>
      </c>
      <c r="H184" s="3" t="s">
        <v>79</v>
      </c>
      <c r="I184" s="3" t="s">
        <v>80</v>
      </c>
      <c r="J184" s="3" t="s">
        <v>77</v>
      </c>
      <c r="K184" s="3" t="s">
        <v>78</v>
      </c>
      <c r="L184" s="3" t="s">
        <v>112</v>
      </c>
      <c r="M184" s="3" t="s">
        <v>113</v>
      </c>
      <c r="N184" s="3" t="s">
        <v>234</v>
      </c>
      <c r="O184" s="3" t="s">
        <v>115</v>
      </c>
      <c r="P184" s="3" t="str">
        <f>"LOCKS                         "</f>
        <v xml:space="preserve">LOCKS              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36.71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1</v>
      </c>
      <c r="BI184" s="3">
        <v>1.4</v>
      </c>
      <c r="BJ184" s="3">
        <v>2.2000000000000002</v>
      </c>
      <c r="BK184" s="3">
        <v>2.5</v>
      </c>
      <c r="BL184" s="3">
        <v>140.12</v>
      </c>
      <c r="BM184" s="3">
        <v>21.02</v>
      </c>
      <c r="BN184" s="3">
        <v>161.13999999999999</v>
      </c>
      <c r="BO184" s="3">
        <v>161.13999999999999</v>
      </c>
      <c r="BQ184" s="3" t="s">
        <v>116</v>
      </c>
      <c r="BR184" s="3" t="s">
        <v>118</v>
      </c>
      <c r="BS184" s="4">
        <v>44567</v>
      </c>
      <c r="BT184" s="5">
        <v>0.36249999999999999</v>
      </c>
      <c r="BU184" s="3" t="s">
        <v>235</v>
      </c>
      <c r="BV184" s="3" t="s">
        <v>95</v>
      </c>
      <c r="BY184" s="3">
        <v>11243.58</v>
      </c>
      <c r="BZ184" s="3" t="s">
        <v>117</v>
      </c>
      <c r="CA184" s="3" t="s">
        <v>236</v>
      </c>
      <c r="CC184" s="3" t="s">
        <v>113</v>
      </c>
      <c r="CD184" s="3">
        <v>300</v>
      </c>
      <c r="CE184" s="3" t="s">
        <v>86</v>
      </c>
      <c r="CF184" s="4">
        <v>44567</v>
      </c>
      <c r="CI184" s="3">
        <v>1</v>
      </c>
      <c r="CJ184" s="3">
        <v>1</v>
      </c>
      <c r="CK184" s="3">
        <v>23</v>
      </c>
      <c r="CL184" s="3" t="s">
        <v>87</v>
      </c>
    </row>
    <row r="185" spans="1:90" x14ac:dyDescent="0.2">
      <c r="A185" s="3" t="s">
        <v>72</v>
      </c>
      <c r="B185" s="3" t="s">
        <v>73</v>
      </c>
      <c r="C185" s="3" t="s">
        <v>74</v>
      </c>
      <c r="E185" s="3" t="str">
        <f>"009940956592"</f>
        <v>009940956592</v>
      </c>
      <c r="F185" s="4">
        <v>44564</v>
      </c>
      <c r="G185" s="3">
        <v>202207</v>
      </c>
      <c r="H185" s="3" t="s">
        <v>132</v>
      </c>
      <c r="I185" s="3" t="s">
        <v>133</v>
      </c>
      <c r="J185" s="3" t="s">
        <v>77</v>
      </c>
      <c r="K185" s="3" t="s">
        <v>78</v>
      </c>
      <c r="L185" s="3" t="s">
        <v>112</v>
      </c>
      <c r="M185" s="3" t="s">
        <v>113</v>
      </c>
      <c r="N185" s="3" t="s">
        <v>445</v>
      </c>
      <c r="O185" s="3" t="s">
        <v>115</v>
      </c>
      <c r="P185" s="3" t="str">
        <f>"LOCKS                         "</f>
        <v xml:space="preserve">LOCKS              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47.76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2.8</v>
      </c>
      <c r="BJ185" s="3">
        <v>2.9</v>
      </c>
      <c r="BK185" s="3">
        <v>3</v>
      </c>
      <c r="BL185" s="3">
        <v>170.22</v>
      </c>
      <c r="BM185" s="3">
        <v>25.53</v>
      </c>
      <c r="BN185" s="3">
        <v>195.75</v>
      </c>
      <c r="BO185" s="3">
        <v>195.75</v>
      </c>
      <c r="BQ185" s="3" t="s">
        <v>116</v>
      </c>
      <c r="BR185" s="3" t="s">
        <v>111</v>
      </c>
      <c r="BS185" s="4">
        <v>44565</v>
      </c>
      <c r="BT185" s="5">
        <v>0.4291666666666667</v>
      </c>
      <c r="BU185" s="3" t="s">
        <v>408</v>
      </c>
      <c r="BV185" s="3" t="s">
        <v>95</v>
      </c>
      <c r="BY185" s="3">
        <v>14381.33</v>
      </c>
      <c r="BZ185" s="3" t="s">
        <v>117</v>
      </c>
      <c r="CA185" s="3" t="s">
        <v>409</v>
      </c>
      <c r="CC185" s="3" t="s">
        <v>113</v>
      </c>
      <c r="CD185" s="3">
        <v>299</v>
      </c>
      <c r="CE185" s="3" t="s">
        <v>86</v>
      </c>
      <c r="CF185" s="4">
        <v>44565</v>
      </c>
      <c r="CI185" s="3">
        <v>1</v>
      </c>
      <c r="CJ185" s="3">
        <v>1</v>
      </c>
      <c r="CK185" s="3">
        <v>23</v>
      </c>
      <c r="CL185" s="3" t="s">
        <v>87</v>
      </c>
    </row>
    <row r="186" spans="1:90" x14ac:dyDescent="0.2">
      <c r="A186" s="3" t="s">
        <v>72</v>
      </c>
      <c r="B186" s="3" t="s">
        <v>73</v>
      </c>
      <c r="C186" s="3" t="s">
        <v>74</v>
      </c>
      <c r="E186" s="3" t="str">
        <f>"009941567746"</f>
        <v>009941567746</v>
      </c>
      <c r="F186" s="4">
        <v>44565</v>
      </c>
      <c r="G186" s="3">
        <v>202207</v>
      </c>
      <c r="H186" s="3" t="s">
        <v>79</v>
      </c>
      <c r="I186" s="3" t="s">
        <v>80</v>
      </c>
      <c r="J186" s="3" t="s">
        <v>92</v>
      </c>
      <c r="K186" s="3" t="s">
        <v>78</v>
      </c>
      <c r="L186" s="3" t="s">
        <v>144</v>
      </c>
      <c r="M186" s="3" t="s">
        <v>145</v>
      </c>
      <c r="N186" s="3" t="s">
        <v>77</v>
      </c>
      <c r="O186" s="3" t="s">
        <v>115</v>
      </c>
      <c r="P186" s="3" t="str">
        <f>"STORES                        "</f>
        <v xml:space="preserve">STORES    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144.34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2</v>
      </c>
      <c r="BI186" s="3">
        <v>3.4</v>
      </c>
      <c r="BJ186" s="3">
        <v>9.3000000000000007</v>
      </c>
      <c r="BK186" s="3">
        <v>9.5</v>
      </c>
      <c r="BL186" s="3">
        <v>514.45000000000005</v>
      </c>
      <c r="BM186" s="3">
        <v>77.17</v>
      </c>
      <c r="BN186" s="3">
        <v>591.62</v>
      </c>
      <c r="BO186" s="3">
        <v>591.62</v>
      </c>
      <c r="BQ186" s="3" t="s">
        <v>446</v>
      </c>
      <c r="BR186" s="3" t="s">
        <v>118</v>
      </c>
      <c r="BS186" s="4">
        <v>44566</v>
      </c>
      <c r="BT186" s="5">
        <v>0.49236111111111108</v>
      </c>
      <c r="BU186" s="3" t="s">
        <v>313</v>
      </c>
      <c r="BV186" s="3" t="s">
        <v>95</v>
      </c>
      <c r="BY186" s="3">
        <v>46603.54</v>
      </c>
      <c r="BZ186" s="3" t="s">
        <v>117</v>
      </c>
      <c r="CA186" s="3" t="s">
        <v>250</v>
      </c>
      <c r="CC186" s="3" t="s">
        <v>145</v>
      </c>
      <c r="CD186" s="3">
        <v>850</v>
      </c>
      <c r="CE186" s="3" t="s">
        <v>86</v>
      </c>
      <c r="CF186" s="4">
        <v>44566</v>
      </c>
      <c r="CI186" s="3">
        <v>1</v>
      </c>
      <c r="CJ186" s="3">
        <v>1</v>
      </c>
      <c r="CK186" s="3">
        <v>23</v>
      </c>
      <c r="CL186" s="3" t="s">
        <v>87</v>
      </c>
    </row>
    <row r="187" spans="1:90" x14ac:dyDescent="0.2">
      <c r="A187" s="3" t="s">
        <v>72</v>
      </c>
      <c r="B187" s="3" t="s">
        <v>73</v>
      </c>
      <c r="C187" s="3" t="s">
        <v>74</v>
      </c>
      <c r="E187" s="3" t="str">
        <f>"009941994667"</f>
        <v>009941994667</v>
      </c>
      <c r="F187" s="4">
        <v>44565</v>
      </c>
      <c r="G187" s="3">
        <v>202207</v>
      </c>
      <c r="H187" s="3" t="s">
        <v>108</v>
      </c>
      <c r="I187" s="3" t="s">
        <v>109</v>
      </c>
      <c r="J187" s="3" t="s">
        <v>77</v>
      </c>
      <c r="K187" s="3" t="s">
        <v>78</v>
      </c>
      <c r="L187" s="3" t="s">
        <v>317</v>
      </c>
      <c r="M187" s="3" t="s">
        <v>318</v>
      </c>
      <c r="N187" s="3" t="s">
        <v>92</v>
      </c>
      <c r="O187" s="3" t="s">
        <v>81</v>
      </c>
      <c r="P187" s="3" t="str">
        <f>"                              "</f>
        <v xml:space="preserve">            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252.27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6</v>
      </c>
      <c r="BI187" s="3">
        <v>102</v>
      </c>
      <c r="BJ187" s="3">
        <v>16.100000000000001</v>
      </c>
      <c r="BK187" s="3">
        <v>102</v>
      </c>
      <c r="BL187" s="3">
        <v>904.36</v>
      </c>
      <c r="BM187" s="3">
        <v>135.65</v>
      </c>
      <c r="BN187" s="3">
        <v>1040.01</v>
      </c>
      <c r="BO187" s="3">
        <v>1040.01</v>
      </c>
      <c r="BQ187" s="3" t="s">
        <v>366</v>
      </c>
      <c r="BR187" s="3" t="s">
        <v>229</v>
      </c>
      <c r="BS187" s="4">
        <v>44566</v>
      </c>
      <c r="BT187" s="5">
        <v>0.33333333333333331</v>
      </c>
      <c r="BU187" s="3" t="s">
        <v>366</v>
      </c>
      <c r="BV187" s="3" t="s">
        <v>95</v>
      </c>
      <c r="BY187" s="3">
        <v>18040</v>
      </c>
      <c r="BZ187" s="3" t="s">
        <v>85</v>
      </c>
      <c r="CC187" s="3" t="s">
        <v>318</v>
      </c>
      <c r="CD187" s="3">
        <v>9700</v>
      </c>
      <c r="CE187" s="3" t="s">
        <v>86</v>
      </c>
      <c r="CF187" s="4">
        <v>44566</v>
      </c>
      <c r="CI187" s="3">
        <v>1</v>
      </c>
      <c r="CJ187" s="3">
        <v>1</v>
      </c>
      <c r="CK187" s="3">
        <v>43</v>
      </c>
      <c r="CL187" s="3" t="s">
        <v>87</v>
      </c>
    </row>
    <row r="188" spans="1:90" x14ac:dyDescent="0.2">
      <c r="A188" s="3" t="s">
        <v>72</v>
      </c>
      <c r="B188" s="3" t="s">
        <v>73</v>
      </c>
      <c r="C188" s="3" t="s">
        <v>74</v>
      </c>
      <c r="E188" s="3" t="str">
        <f>"009936115809"</f>
        <v>009936115809</v>
      </c>
      <c r="F188" s="4">
        <v>44566</v>
      </c>
      <c r="G188" s="3">
        <v>202207</v>
      </c>
      <c r="H188" s="3" t="s">
        <v>79</v>
      </c>
      <c r="I188" s="3" t="s">
        <v>80</v>
      </c>
      <c r="J188" s="3" t="s">
        <v>77</v>
      </c>
      <c r="K188" s="3" t="s">
        <v>78</v>
      </c>
      <c r="L188" s="3" t="s">
        <v>103</v>
      </c>
      <c r="M188" s="3" t="s">
        <v>104</v>
      </c>
      <c r="N188" s="3" t="s">
        <v>231</v>
      </c>
      <c r="O188" s="3" t="s">
        <v>81</v>
      </c>
      <c r="P188" s="3" t="str">
        <f t="shared" ref="P188:P193" si="7">"STORES                        "</f>
        <v xml:space="preserve">STORES        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29.89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3.8</v>
      </c>
      <c r="BJ188" s="3">
        <v>2.2999999999999998</v>
      </c>
      <c r="BK188" s="3">
        <v>4</v>
      </c>
      <c r="BL188" s="3">
        <v>119.34</v>
      </c>
      <c r="BM188" s="3">
        <v>17.899999999999999</v>
      </c>
      <c r="BN188" s="3">
        <v>137.24</v>
      </c>
      <c r="BO188" s="3">
        <v>137.24</v>
      </c>
      <c r="BQ188" s="3" t="s">
        <v>171</v>
      </c>
      <c r="BR188" s="3" t="s">
        <v>422</v>
      </c>
      <c r="BS188" s="4">
        <v>44568</v>
      </c>
      <c r="BT188" s="5">
        <v>0.61319444444444449</v>
      </c>
      <c r="BU188" s="3" t="s">
        <v>447</v>
      </c>
      <c r="BV188" s="3" t="s">
        <v>95</v>
      </c>
      <c r="BY188" s="3">
        <v>11286.91</v>
      </c>
      <c r="BZ188" s="3" t="s">
        <v>85</v>
      </c>
      <c r="CA188" s="3" t="s">
        <v>345</v>
      </c>
      <c r="CC188" s="3" t="s">
        <v>104</v>
      </c>
      <c r="CD188" s="3">
        <v>6045</v>
      </c>
      <c r="CE188" s="3" t="s">
        <v>86</v>
      </c>
      <c r="CF188" s="4">
        <v>44571</v>
      </c>
      <c r="CI188" s="3">
        <v>2</v>
      </c>
      <c r="CJ188" s="3">
        <v>2</v>
      </c>
      <c r="CK188" s="3">
        <v>41</v>
      </c>
      <c r="CL188" s="3" t="s">
        <v>87</v>
      </c>
    </row>
    <row r="189" spans="1:90" x14ac:dyDescent="0.2">
      <c r="A189" s="3" t="s">
        <v>72</v>
      </c>
      <c r="B189" s="3" t="s">
        <v>73</v>
      </c>
      <c r="C189" s="3" t="s">
        <v>74</v>
      </c>
      <c r="E189" s="3" t="str">
        <f>"009939616548"</f>
        <v>009939616548</v>
      </c>
      <c r="F189" s="4">
        <v>44564</v>
      </c>
      <c r="G189" s="3">
        <v>202207</v>
      </c>
      <c r="H189" s="3" t="s">
        <v>79</v>
      </c>
      <c r="I189" s="3" t="s">
        <v>80</v>
      </c>
      <c r="J189" s="3" t="s">
        <v>77</v>
      </c>
      <c r="K189" s="3" t="s">
        <v>78</v>
      </c>
      <c r="L189" s="3" t="s">
        <v>225</v>
      </c>
      <c r="M189" s="3" t="s">
        <v>226</v>
      </c>
      <c r="N189" s="3" t="s">
        <v>77</v>
      </c>
      <c r="O189" s="3" t="s">
        <v>81</v>
      </c>
      <c r="P189" s="3" t="str">
        <f t="shared" si="7"/>
        <v xml:space="preserve">STORES      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46.31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1.9</v>
      </c>
      <c r="BJ189" s="3">
        <v>2.1</v>
      </c>
      <c r="BK189" s="3">
        <v>3</v>
      </c>
      <c r="BL189" s="3">
        <v>170.31</v>
      </c>
      <c r="BM189" s="3">
        <v>25.55</v>
      </c>
      <c r="BN189" s="3">
        <v>195.86</v>
      </c>
      <c r="BO189" s="3">
        <v>195.86</v>
      </c>
      <c r="BQ189" s="3" t="s">
        <v>448</v>
      </c>
      <c r="BR189" s="3" t="s">
        <v>118</v>
      </c>
      <c r="BS189" s="4">
        <v>44567</v>
      </c>
      <c r="BT189" s="5">
        <v>0.7416666666666667</v>
      </c>
      <c r="BU189" s="3" t="s">
        <v>449</v>
      </c>
      <c r="BV189" s="3" t="s">
        <v>95</v>
      </c>
      <c r="BY189" s="3">
        <v>10690.77</v>
      </c>
      <c r="BZ189" s="3" t="s">
        <v>85</v>
      </c>
      <c r="CA189" s="3" t="s">
        <v>169</v>
      </c>
      <c r="CC189" s="3" t="s">
        <v>226</v>
      </c>
      <c r="CD189" s="3">
        <v>5320</v>
      </c>
      <c r="CE189" s="3" t="s">
        <v>86</v>
      </c>
      <c r="CF189" s="4">
        <v>44571</v>
      </c>
      <c r="CI189" s="3">
        <v>6</v>
      </c>
      <c r="CJ189" s="3">
        <v>3</v>
      </c>
      <c r="CK189" s="3">
        <v>43</v>
      </c>
      <c r="CL189" s="3" t="s">
        <v>87</v>
      </c>
    </row>
    <row r="190" spans="1:90" x14ac:dyDescent="0.2">
      <c r="A190" s="3" t="s">
        <v>72</v>
      </c>
      <c r="B190" s="3" t="s">
        <v>73</v>
      </c>
      <c r="C190" s="3" t="s">
        <v>74</v>
      </c>
      <c r="E190" s="3" t="str">
        <f>"009941567747"</f>
        <v>009941567747</v>
      </c>
      <c r="F190" s="4">
        <v>44564</v>
      </c>
      <c r="G190" s="3">
        <v>202207</v>
      </c>
      <c r="H190" s="3" t="s">
        <v>79</v>
      </c>
      <c r="I190" s="3" t="s">
        <v>80</v>
      </c>
      <c r="J190" s="3" t="s">
        <v>77</v>
      </c>
      <c r="K190" s="3" t="s">
        <v>78</v>
      </c>
      <c r="L190" s="3" t="s">
        <v>450</v>
      </c>
      <c r="M190" s="3" t="s">
        <v>451</v>
      </c>
      <c r="N190" s="3" t="s">
        <v>77</v>
      </c>
      <c r="O190" s="3" t="s">
        <v>115</v>
      </c>
      <c r="P190" s="3" t="str">
        <f t="shared" si="7"/>
        <v xml:space="preserve">STORES                        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55.19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15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3.1</v>
      </c>
      <c r="BJ190" s="3">
        <v>2.5</v>
      </c>
      <c r="BK190" s="3">
        <v>3.5</v>
      </c>
      <c r="BL190" s="3">
        <v>211.7</v>
      </c>
      <c r="BM190" s="3">
        <v>31.76</v>
      </c>
      <c r="BN190" s="3">
        <v>243.46</v>
      </c>
      <c r="BO190" s="3">
        <v>243.46</v>
      </c>
      <c r="BQ190" s="3" t="s">
        <v>452</v>
      </c>
      <c r="BR190" s="3" t="s">
        <v>118</v>
      </c>
      <c r="BS190" s="4">
        <v>44565</v>
      </c>
      <c r="BT190" s="5">
        <v>0.59722222222222221</v>
      </c>
      <c r="BU190" s="3" t="s">
        <v>453</v>
      </c>
      <c r="BV190" s="3" t="s">
        <v>95</v>
      </c>
      <c r="BY190" s="3">
        <v>12314.02</v>
      </c>
      <c r="BZ190" s="3" t="s">
        <v>122</v>
      </c>
      <c r="CC190" s="3" t="s">
        <v>451</v>
      </c>
      <c r="CD190" s="3">
        <v>8446</v>
      </c>
      <c r="CE190" s="3" t="s">
        <v>86</v>
      </c>
      <c r="CF190" s="4">
        <v>44571</v>
      </c>
      <c r="CI190" s="3">
        <v>1</v>
      </c>
      <c r="CJ190" s="3">
        <v>1</v>
      </c>
      <c r="CK190" s="3">
        <v>23</v>
      </c>
      <c r="CL190" s="3" t="s">
        <v>87</v>
      </c>
    </row>
    <row r="191" spans="1:90" x14ac:dyDescent="0.2">
      <c r="A191" s="3" t="s">
        <v>72</v>
      </c>
      <c r="B191" s="3" t="s">
        <v>73</v>
      </c>
      <c r="C191" s="3" t="s">
        <v>74</v>
      </c>
      <c r="E191" s="3" t="str">
        <f>"009941621981"</f>
        <v>009941621981</v>
      </c>
      <c r="F191" s="4">
        <v>44564</v>
      </c>
      <c r="G191" s="3">
        <v>202207</v>
      </c>
      <c r="H191" s="3" t="s">
        <v>79</v>
      </c>
      <c r="I191" s="3" t="s">
        <v>80</v>
      </c>
      <c r="J191" s="3" t="s">
        <v>77</v>
      </c>
      <c r="K191" s="3" t="s">
        <v>78</v>
      </c>
      <c r="L191" s="3" t="s">
        <v>97</v>
      </c>
      <c r="M191" s="3" t="s">
        <v>98</v>
      </c>
      <c r="N191" s="3" t="s">
        <v>454</v>
      </c>
      <c r="O191" s="3" t="s">
        <v>115</v>
      </c>
      <c r="P191" s="3" t="str">
        <f t="shared" si="7"/>
        <v xml:space="preserve">STORES                  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16.98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1</v>
      </c>
      <c r="BI191" s="3">
        <v>1.8</v>
      </c>
      <c r="BJ191" s="3">
        <v>1.9</v>
      </c>
      <c r="BK191" s="3">
        <v>2</v>
      </c>
      <c r="BL191" s="3">
        <v>60.52</v>
      </c>
      <c r="BM191" s="3">
        <v>9.08</v>
      </c>
      <c r="BN191" s="3">
        <v>69.599999999999994</v>
      </c>
      <c r="BO191" s="3">
        <v>69.599999999999994</v>
      </c>
      <c r="BQ191" s="3" t="s">
        <v>100</v>
      </c>
      <c r="BR191" s="3" t="s">
        <v>118</v>
      </c>
      <c r="BS191" s="4">
        <v>44565</v>
      </c>
      <c r="BT191" s="5">
        <v>0.30069444444444443</v>
      </c>
      <c r="BU191" s="3" t="s">
        <v>455</v>
      </c>
      <c r="BV191" s="3" t="s">
        <v>95</v>
      </c>
      <c r="BY191" s="3">
        <v>9282</v>
      </c>
      <c r="BZ191" s="3" t="s">
        <v>117</v>
      </c>
      <c r="CA191" s="3" t="s">
        <v>456</v>
      </c>
      <c r="CC191" s="3" t="s">
        <v>98</v>
      </c>
      <c r="CD191" s="3">
        <v>8000</v>
      </c>
      <c r="CE191" s="3" t="s">
        <v>86</v>
      </c>
      <c r="CF191" s="4">
        <v>44566</v>
      </c>
      <c r="CI191" s="3">
        <v>1</v>
      </c>
      <c r="CJ191" s="3">
        <v>1</v>
      </c>
      <c r="CK191" s="3">
        <v>21</v>
      </c>
      <c r="CL191" s="3" t="s">
        <v>87</v>
      </c>
    </row>
    <row r="192" spans="1:90" x14ac:dyDescent="0.2">
      <c r="A192" s="3" t="s">
        <v>72</v>
      </c>
      <c r="B192" s="3" t="s">
        <v>73</v>
      </c>
      <c r="C192" s="3" t="s">
        <v>74</v>
      </c>
      <c r="E192" s="3" t="str">
        <f>"009941618974"</f>
        <v>009941618974</v>
      </c>
      <c r="F192" s="4">
        <v>44566</v>
      </c>
      <c r="G192" s="3">
        <v>202207</v>
      </c>
      <c r="H192" s="3" t="s">
        <v>79</v>
      </c>
      <c r="I192" s="3" t="s">
        <v>80</v>
      </c>
      <c r="J192" s="3" t="s">
        <v>77</v>
      </c>
      <c r="K192" s="3" t="s">
        <v>78</v>
      </c>
      <c r="L192" s="3" t="s">
        <v>157</v>
      </c>
      <c r="M192" s="3" t="s">
        <v>158</v>
      </c>
      <c r="N192" s="3" t="s">
        <v>231</v>
      </c>
      <c r="O192" s="3" t="s">
        <v>81</v>
      </c>
      <c r="P192" s="3" t="str">
        <f t="shared" si="7"/>
        <v xml:space="preserve">STORES      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29.89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11.2</v>
      </c>
      <c r="BJ192" s="3">
        <v>7.7</v>
      </c>
      <c r="BK192" s="3">
        <v>12</v>
      </c>
      <c r="BL192" s="3">
        <v>119.34</v>
      </c>
      <c r="BM192" s="3">
        <v>17.899999999999999</v>
      </c>
      <c r="BN192" s="3">
        <v>137.24</v>
      </c>
      <c r="BO192" s="3">
        <v>137.24</v>
      </c>
      <c r="BQ192" s="3" t="s">
        <v>159</v>
      </c>
      <c r="BR192" s="3" t="s">
        <v>349</v>
      </c>
      <c r="BS192" s="4">
        <v>44567</v>
      </c>
      <c r="BT192" s="5">
        <v>0.40416666666666662</v>
      </c>
      <c r="BU192" s="3" t="s">
        <v>160</v>
      </c>
      <c r="BV192" s="3" t="s">
        <v>95</v>
      </c>
      <c r="BY192" s="3">
        <v>38291.82</v>
      </c>
      <c r="BZ192" s="3" t="s">
        <v>85</v>
      </c>
      <c r="CA192" s="3" t="s">
        <v>161</v>
      </c>
      <c r="CC192" s="3" t="s">
        <v>158</v>
      </c>
      <c r="CD192" s="3">
        <v>4091</v>
      </c>
      <c r="CE192" s="3" t="s">
        <v>86</v>
      </c>
      <c r="CF192" s="4">
        <v>44567</v>
      </c>
      <c r="CI192" s="3">
        <v>1</v>
      </c>
      <c r="CJ192" s="3">
        <v>1</v>
      </c>
      <c r="CK192" s="3">
        <v>41</v>
      </c>
      <c r="CL192" s="3" t="s">
        <v>87</v>
      </c>
    </row>
    <row r="193" spans="1:90" x14ac:dyDescent="0.2">
      <c r="A193" s="3" t="s">
        <v>72</v>
      </c>
      <c r="B193" s="3" t="s">
        <v>73</v>
      </c>
      <c r="C193" s="3" t="s">
        <v>74</v>
      </c>
      <c r="E193" s="3" t="str">
        <f>"009941567742"</f>
        <v>009941567742</v>
      </c>
      <c r="F193" s="4">
        <v>44566</v>
      </c>
      <c r="G193" s="3">
        <v>202207</v>
      </c>
      <c r="H193" s="3" t="s">
        <v>79</v>
      </c>
      <c r="I193" s="3" t="s">
        <v>80</v>
      </c>
      <c r="J193" s="3" t="s">
        <v>77</v>
      </c>
      <c r="K193" s="3" t="s">
        <v>78</v>
      </c>
      <c r="L193" s="3" t="s">
        <v>457</v>
      </c>
      <c r="M193" s="3" t="s">
        <v>458</v>
      </c>
      <c r="N193" s="3" t="s">
        <v>231</v>
      </c>
      <c r="O193" s="3" t="s">
        <v>81</v>
      </c>
      <c r="P193" s="3" t="str">
        <f t="shared" si="7"/>
        <v xml:space="preserve">STORES      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42.16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1</v>
      </c>
      <c r="BI193" s="3">
        <v>10.199999999999999</v>
      </c>
      <c r="BJ193" s="3">
        <v>8.9</v>
      </c>
      <c r="BK193" s="3">
        <v>11</v>
      </c>
      <c r="BL193" s="3">
        <v>166.16</v>
      </c>
      <c r="BM193" s="3">
        <v>24.92</v>
      </c>
      <c r="BN193" s="3">
        <v>191.08</v>
      </c>
      <c r="BO193" s="3">
        <v>191.08</v>
      </c>
      <c r="BQ193" s="3" t="s">
        <v>459</v>
      </c>
      <c r="BR193" s="3" t="s">
        <v>164</v>
      </c>
      <c r="BS193" s="4">
        <v>44568</v>
      </c>
      <c r="BT193" s="5">
        <v>0.47916666666666669</v>
      </c>
      <c r="BU193" s="3" t="s">
        <v>404</v>
      </c>
      <c r="BV193" s="3" t="s">
        <v>87</v>
      </c>
      <c r="BY193" s="3">
        <v>44444.19</v>
      </c>
      <c r="BZ193" s="3" t="s">
        <v>85</v>
      </c>
      <c r="CC193" s="3" t="s">
        <v>458</v>
      </c>
      <c r="CD193" s="3">
        <v>8601</v>
      </c>
      <c r="CE193" s="3" t="s">
        <v>86</v>
      </c>
      <c r="CF193" s="4">
        <v>44573</v>
      </c>
      <c r="CI193" s="3">
        <v>1</v>
      </c>
      <c r="CJ193" s="3">
        <v>2</v>
      </c>
      <c r="CK193" s="3">
        <v>43</v>
      </c>
      <c r="CL193" s="3" t="s">
        <v>87</v>
      </c>
    </row>
    <row r="194" spans="1:90" x14ac:dyDescent="0.2">
      <c r="A194" s="3" t="s">
        <v>72</v>
      </c>
      <c r="B194" s="3" t="s">
        <v>73</v>
      </c>
      <c r="C194" s="3" t="s">
        <v>74</v>
      </c>
      <c r="E194" s="3" t="str">
        <f>"009941171579"</f>
        <v>009941171579</v>
      </c>
      <c r="F194" s="4">
        <v>44565</v>
      </c>
      <c r="G194" s="3">
        <v>202207</v>
      </c>
      <c r="H194" s="3" t="s">
        <v>79</v>
      </c>
      <c r="I194" s="3" t="s">
        <v>80</v>
      </c>
      <c r="J194" s="3" t="s">
        <v>92</v>
      </c>
      <c r="K194" s="3" t="s">
        <v>78</v>
      </c>
      <c r="L194" s="3" t="s">
        <v>88</v>
      </c>
      <c r="M194" s="3" t="s">
        <v>89</v>
      </c>
      <c r="N194" s="3" t="s">
        <v>77</v>
      </c>
      <c r="O194" s="3" t="s">
        <v>115</v>
      </c>
      <c r="P194" s="3" t="str">
        <f>"LOCKS                         "</f>
        <v xml:space="preserve">LOCKS     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32.9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1</v>
      </c>
      <c r="BI194" s="3">
        <v>1</v>
      </c>
      <c r="BJ194" s="3">
        <v>0.2</v>
      </c>
      <c r="BK194" s="3">
        <v>1</v>
      </c>
      <c r="BL194" s="3">
        <v>117.26</v>
      </c>
      <c r="BM194" s="3">
        <v>17.59</v>
      </c>
      <c r="BN194" s="3">
        <v>134.85</v>
      </c>
      <c r="BO194" s="3">
        <v>134.85</v>
      </c>
      <c r="BQ194" s="3" t="s">
        <v>460</v>
      </c>
      <c r="BR194" s="3" t="s">
        <v>118</v>
      </c>
      <c r="BS194" s="4">
        <v>44567</v>
      </c>
      <c r="BT194" s="5">
        <v>0.62222222222222223</v>
      </c>
      <c r="BU194" s="3" t="s">
        <v>397</v>
      </c>
      <c r="BV194" s="3" t="s">
        <v>95</v>
      </c>
      <c r="BY194" s="3">
        <v>1200</v>
      </c>
      <c r="BZ194" s="3" t="s">
        <v>117</v>
      </c>
      <c r="CA194" s="3" t="s">
        <v>398</v>
      </c>
      <c r="CC194" s="3" t="s">
        <v>89</v>
      </c>
      <c r="CD194" s="3">
        <v>1150</v>
      </c>
      <c r="CE194" s="3" t="s">
        <v>86</v>
      </c>
      <c r="CF194" s="4">
        <v>44567</v>
      </c>
      <c r="CI194" s="3">
        <v>2</v>
      </c>
      <c r="CJ194" s="3">
        <v>2</v>
      </c>
      <c r="CK194" s="3">
        <v>23</v>
      </c>
      <c r="CL194" s="3" t="s">
        <v>87</v>
      </c>
    </row>
    <row r="195" spans="1:90" x14ac:dyDescent="0.2">
      <c r="A195" s="3" t="s">
        <v>72</v>
      </c>
      <c r="B195" s="3" t="s">
        <v>73</v>
      </c>
      <c r="C195" s="3" t="s">
        <v>74</v>
      </c>
      <c r="E195" s="3" t="str">
        <f>"009941108081"</f>
        <v>009941108081</v>
      </c>
      <c r="F195" s="4">
        <v>44567</v>
      </c>
      <c r="G195" s="3">
        <v>202207</v>
      </c>
      <c r="H195" s="3" t="s">
        <v>112</v>
      </c>
      <c r="I195" s="3" t="s">
        <v>113</v>
      </c>
      <c r="J195" s="3" t="s">
        <v>77</v>
      </c>
      <c r="K195" s="3" t="s">
        <v>78</v>
      </c>
      <c r="L195" s="3" t="s">
        <v>457</v>
      </c>
      <c r="M195" s="3" t="s">
        <v>458</v>
      </c>
      <c r="N195" s="3" t="s">
        <v>461</v>
      </c>
      <c r="O195" s="3" t="s">
        <v>81</v>
      </c>
      <c r="P195" s="3" t="str">
        <f>"                              "</f>
        <v xml:space="preserve">            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42.16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1.5</v>
      </c>
      <c r="BJ195" s="3">
        <v>0.2</v>
      </c>
      <c r="BK195" s="3">
        <v>2</v>
      </c>
      <c r="BL195" s="3">
        <v>166.16</v>
      </c>
      <c r="BM195" s="3">
        <v>24.92</v>
      </c>
      <c r="BN195" s="3">
        <v>191.08</v>
      </c>
      <c r="BO195" s="3">
        <v>191.08</v>
      </c>
      <c r="BQ195" s="3" t="s">
        <v>462</v>
      </c>
      <c r="BR195" s="3" t="s">
        <v>265</v>
      </c>
      <c r="BS195" s="4">
        <v>44568</v>
      </c>
      <c r="BT195" s="5">
        <v>0.47916666666666669</v>
      </c>
      <c r="BU195" s="3" t="s">
        <v>404</v>
      </c>
      <c r="BV195" s="3" t="s">
        <v>95</v>
      </c>
      <c r="BY195" s="3">
        <v>1200</v>
      </c>
      <c r="BZ195" s="3" t="s">
        <v>85</v>
      </c>
      <c r="CC195" s="3" t="s">
        <v>458</v>
      </c>
      <c r="CD195" s="3">
        <v>8600</v>
      </c>
      <c r="CE195" s="3" t="s">
        <v>463</v>
      </c>
      <c r="CF195" s="4">
        <v>44573</v>
      </c>
      <c r="CI195" s="3">
        <v>1</v>
      </c>
      <c r="CJ195" s="3">
        <v>1</v>
      </c>
      <c r="CK195" s="3">
        <v>43</v>
      </c>
      <c r="CL195" s="3" t="s">
        <v>87</v>
      </c>
    </row>
    <row r="196" spans="1:90" x14ac:dyDescent="0.2">
      <c r="A196" s="3" t="s">
        <v>72</v>
      </c>
      <c r="B196" s="3" t="s">
        <v>73</v>
      </c>
      <c r="C196" s="3" t="s">
        <v>74</v>
      </c>
      <c r="E196" s="3" t="str">
        <f>"009940900516"</f>
        <v>009940900516</v>
      </c>
      <c r="F196" s="4">
        <v>44566</v>
      </c>
      <c r="G196" s="3">
        <v>202207</v>
      </c>
      <c r="H196" s="3" t="s">
        <v>90</v>
      </c>
      <c r="I196" s="3" t="s">
        <v>91</v>
      </c>
      <c r="J196" s="3" t="s">
        <v>77</v>
      </c>
      <c r="K196" s="3" t="s">
        <v>78</v>
      </c>
      <c r="L196" s="3" t="s">
        <v>153</v>
      </c>
      <c r="M196" s="3" t="s">
        <v>154</v>
      </c>
      <c r="N196" s="3" t="s">
        <v>464</v>
      </c>
      <c r="O196" s="3" t="s">
        <v>81</v>
      </c>
      <c r="P196" s="3" t="str">
        <f>"                              "</f>
        <v xml:space="preserve">            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60.5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14</v>
      </c>
      <c r="BJ196" s="3">
        <v>46.8</v>
      </c>
      <c r="BK196" s="3">
        <v>47</v>
      </c>
      <c r="BL196" s="3">
        <v>236.18</v>
      </c>
      <c r="BM196" s="3">
        <v>35.43</v>
      </c>
      <c r="BN196" s="3">
        <v>271.61</v>
      </c>
      <c r="BO196" s="3">
        <v>271.61</v>
      </c>
      <c r="BQ196" s="3" t="s">
        <v>465</v>
      </c>
      <c r="BS196" s="4">
        <v>44567</v>
      </c>
      <c r="BT196" s="5">
        <v>0.5083333333333333</v>
      </c>
      <c r="BU196" s="3" t="s">
        <v>466</v>
      </c>
      <c r="BV196" s="3" t="s">
        <v>95</v>
      </c>
      <c r="BY196" s="3">
        <v>234000</v>
      </c>
      <c r="BZ196" s="3" t="s">
        <v>85</v>
      </c>
      <c r="CA196" s="3" t="s">
        <v>247</v>
      </c>
      <c r="CC196" s="3" t="s">
        <v>154</v>
      </c>
      <c r="CD196" s="3">
        <v>920</v>
      </c>
      <c r="CE196" s="3" t="s">
        <v>86</v>
      </c>
      <c r="CF196" s="4">
        <v>44567</v>
      </c>
      <c r="CI196" s="3">
        <v>1</v>
      </c>
      <c r="CJ196" s="3">
        <v>1</v>
      </c>
      <c r="CK196" s="3">
        <v>44</v>
      </c>
      <c r="CL196" s="3" t="s">
        <v>87</v>
      </c>
    </row>
    <row r="197" spans="1:90" x14ac:dyDescent="0.2">
      <c r="A197" s="3" t="s">
        <v>72</v>
      </c>
      <c r="B197" s="3" t="s">
        <v>73</v>
      </c>
      <c r="C197" s="3" t="s">
        <v>74</v>
      </c>
      <c r="E197" s="3" t="str">
        <f>"009941618906"</f>
        <v>009941618906</v>
      </c>
      <c r="F197" s="4">
        <v>44566</v>
      </c>
      <c r="G197" s="3">
        <v>202207</v>
      </c>
      <c r="H197" s="3" t="s">
        <v>79</v>
      </c>
      <c r="I197" s="3" t="s">
        <v>80</v>
      </c>
      <c r="J197" s="3" t="s">
        <v>77</v>
      </c>
      <c r="K197" s="3" t="s">
        <v>78</v>
      </c>
      <c r="L197" s="3" t="s">
        <v>123</v>
      </c>
      <c r="M197" s="3" t="s">
        <v>124</v>
      </c>
      <c r="N197" s="3" t="s">
        <v>237</v>
      </c>
      <c r="O197" s="3" t="s">
        <v>81</v>
      </c>
      <c r="P197" s="3" t="str">
        <f>"SMALL SPANES                  "</f>
        <v xml:space="preserve">SMALL SPANES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74.48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2</v>
      </c>
      <c r="BI197" s="3">
        <v>13.2</v>
      </c>
      <c r="BJ197" s="3">
        <v>29.4</v>
      </c>
      <c r="BK197" s="3">
        <v>30</v>
      </c>
      <c r="BL197" s="3">
        <v>289.52999999999997</v>
      </c>
      <c r="BM197" s="3">
        <v>43.43</v>
      </c>
      <c r="BN197" s="3">
        <v>332.96</v>
      </c>
      <c r="BO197" s="3">
        <v>332.96</v>
      </c>
      <c r="BQ197" s="3" t="s">
        <v>163</v>
      </c>
      <c r="BR197" s="3" t="s">
        <v>118</v>
      </c>
      <c r="BS197" s="4">
        <v>44567</v>
      </c>
      <c r="BT197" s="5">
        <v>0.34861111111111115</v>
      </c>
      <c r="BU197" s="3" t="s">
        <v>233</v>
      </c>
      <c r="BV197" s="3" t="s">
        <v>95</v>
      </c>
      <c r="BY197" s="3">
        <v>147013.68</v>
      </c>
      <c r="BZ197" s="3" t="s">
        <v>85</v>
      </c>
      <c r="CA197" s="3" t="s">
        <v>203</v>
      </c>
      <c r="CC197" s="3" t="s">
        <v>124</v>
      </c>
      <c r="CD197" s="3">
        <v>1035</v>
      </c>
      <c r="CE197" s="3" t="s">
        <v>86</v>
      </c>
      <c r="CF197" s="4">
        <v>44567</v>
      </c>
      <c r="CI197" s="3">
        <v>1</v>
      </c>
      <c r="CJ197" s="3">
        <v>1</v>
      </c>
      <c r="CK197" s="3">
        <v>43</v>
      </c>
      <c r="CL197" s="3" t="s">
        <v>87</v>
      </c>
    </row>
    <row r="198" spans="1:90" x14ac:dyDescent="0.2">
      <c r="A198" s="3" t="s">
        <v>72</v>
      </c>
      <c r="B198" s="3" t="s">
        <v>73</v>
      </c>
      <c r="C198" s="3" t="s">
        <v>74</v>
      </c>
      <c r="E198" s="3" t="str">
        <f>"009940237770"</f>
        <v>009940237770</v>
      </c>
      <c r="F198" s="4">
        <v>44565</v>
      </c>
      <c r="G198" s="3">
        <v>202207</v>
      </c>
      <c r="H198" s="3" t="s">
        <v>79</v>
      </c>
      <c r="I198" s="3" t="s">
        <v>80</v>
      </c>
      <c r="J198" s="3" t="s">
        <v>92</v>
      </c>
      <c r="K198" s="3" t="s">
        <v>78</v>
      </c>
      <c r="L198" s="3" t="s">
        <v>90</v>
      </c>
      <c r="M198" s="3" t="s">
        <v>91</v>
      </c>
      <c r="N198" s="3" t="s">
        <v>77</v>
      </c>
      <c r="O198" s="3" t="s">
        <v>81</v>
      </c>
      <c r="P198" s="3" t="str">
        <f>"STORES                        "</f>
        <v xml:space="preserve">STORES      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32.840000000000003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2</v>
      </c>
      <c r="BI198" s="3">
        <v>5.4</v>
      </c>
      <c r="BJ198" s="3">
        <v>4.5</v>
      </c>
      <c r="BK198" s="3">
        <v>6</v>
      </c>
      <c r="BL198" s="3">
        <v>122.29</v>
      </c>
      <c r="BM198" s="3">
        <v>18.34</v>
      </c>
      <c r="BN198" s="3">
        <v>140.63</v>
      </c>
      <c r="BO198" s="3">
        <v>140.63</v>
      </c>
      <c r="BQ198" s="3" t="s">
        <v>269</v>
      </c>
      <c r="BR198" s="3" t="s">
        <v>118</v>
      </c>
      <c r="BS198" s="4">
        <v>44566</v>
      </c>
      <c r="BT198" s="5">
        <v>0.39166666666666666</v>
      </c>
      <c r="BU198" s="3" t="s">
        <v>467</v>
      </c>
      <c r="BV198" s="3" t="s">
        <v>95</v>
      </c>
      <c r="BY198" s="3">
        <v>22268.52</v>
      </c>
      <c r="BZ198" s="3" t="s">
        <v>85</v>
      </c>
      <c r="CA198" s="3" t="s">
        <v>96</v>
      </c>
      <c r="CC198" s="3" t="s">
        <v>91</v>
      </c>
      <c r="CD198" s="3">
        <v>701</v>
      </c>
      <c r="CE198" s="3" t="s">
        <v>86</v>
      </c>
      <c r="CF198" s="4">
        <v>44566</v>
      </c>
      <c r="CI198" s="3">
        <v>1</v>
      </c>
      <c r="CJ198" s="3">
        <v>1</v>
      </c>
      <c r="CK198" s="3">
        <v>41</v>
      </c>
      <c r="CL198" s="3" t="s">
        <v>87</v>
      </c>
    </row>
    <row r="199" spans="1:90" x14ac:dyDescent="0.2">
      <c r="A199" s="3" t="s">
        <v>72</v>
      </c>
      <c r="B199" s="3" t="s">
        <v>73</v>
      </c>
      <c r="C199" s="3" t="s">
        <v>74</v>
      </c>
      <c r="E199" s="3" t="str">
        <f>"009941108080"</f>
        <v>009941108080</v>
      </c>
      <c r="F199" s="4">
        <v>44567</v>
      </c>
      <c r="G199" s="3">
        <v>202207</v>
      </c>
      <c r="H199" s="3" t="s">
        <v>112</v>
      </c>
      <c r="I199" s="3" t="s">
        <v>113</v>
      </c>
      <c r="J199" s="3" t="s">
        <v>77</v>
      </c>
      <c r="K199" s="3" t="s">
        <v>78</v>
      </c>
      <c r="L199" s="3" t="s">
        <v>79</v>
      </c>
      <c r="M199" s="3" t="s">
        <v>80</v>
      </c>
      <c r="N199" s="3" t="s">
        <v>77</v>
      </c>
      <c r="O199" s="3" t="s">
        <v>81</v>
      </c>
      <c r="P199" s="3" t="str">
        <f>"                              "</f>
        <v xml:space="preserve">          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266.26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3</v>
      </c>
      <c r="BI199" s="3">
        <v>96.4</v>
      </c>
      <c r="BJ199" s="3">
        <v>118.1</v>
      </c>
      <c r="BK199" s="3">
        <v>119</v>
      </c>
      <c r="BL199" s="3">
        <v>1021.54</v>
      </c>
      <c r="BM199" s="3">
        <v>153.22999999999999</v>
      </c>
      <c r="BN199" s="3">
        <v>1174.77</v>
      </c>
      <c r="BO199" s="3">
        <v>1174.77</v>
      </c>
      <c r="BQ199" s="3" t="s">
        <v>82</v>
      </c>
      <c r="BR199" s="3" t="s">
        <v>265</v>
      </c>
      <c r="BS199" s="4">
        <v>44568</v>
      </c>
      <c r="BT199" s="5">
        <v>0.45</v>
      </c>
      <c r="BU199" s="3" t="s">
        <v>238</v>
      </c>
      <c r="BV199" s="3" t="s">
        <v>95</v>
      </c>
      <c r="BY199" s="3">
        <v>590337</v>
      </c>
      <c r="BZ199" s="3" t="s">
        <v>85</v>
      </c>
      <c r="CA199" s="3" t="s">
        <v>136</v>
      </c>
      <c r="CC199" s="3" t="s">
        <v>80</v>
      </c>
      <c r="CD199" s="3">
        <v>2146</v>
      </c>
      <c r="CE199" s="3" t="s">
        <v>107</v>
      </c>
      <c r="CF199" s="4">
        <v>44571</v>
      </c>
      <c r="CI199" s="3">
        <v>1</v>
      </c>
      <c r="CJ199" s="3">
        <v>1</v>
      </c>
      <c r="CK199" s="3">
        <v>43</v>
      </c>
      <c r="CL199" s="3" t="s">
        <v>87</v>
      </c>
    </row>
    <row r="200" spans="1:90" x14ac:dyDescent="0.2">
      <c r="A200" s="3" t="s">
        <v>72</v>
      </c>
      <c r="B200" s="3" t="s">
        <v>73</v>
      </c>
      <c r="C200" s="3" t="s">
        <v>74</v>
      </c>
      <c r="E200" s="3" t="str">
        <f>"009941618973"</f>
        <v>009941618973</v>
      </c>
      <c r="F200" s="4">
        <v>44565</v>
      </c>
      <c r="G200" s="3">
        <v>202207</v>
      </c>
      <c r="H200" s="3" t="s">
        <v>79</v>
      </c>
      <c r="I200" s="3" t="s">
        <v>80</v>
      </c>
      <c r="J200" s="3" t="s">
        <v>92</v>
      </c>
      <c r="K200" s="3" t="s">
        <v>78</v>
      </c>
      <c r="L200" s="3" t="s">
        <v>157</v>
      </c>
      <c r="M200" s="3" t="s">
        <v>158</v>
      </c>
      <c r="N200" s="3" t="s">
        <v>77</v>
      </c>
      <c r="O200" s="3" t="s">
        <v>81</v>
      </c>
      <c r="P200" s="3" t="str">
        <f>"STORES                        "</f>
        <v xml:space="preserve">STORES      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91.03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2</v>
      </c>
      <c r="BI200" s="3">
        <v>46.9</v>
      </c>
      <c r="BJ200" s="3">
        <v>58</v>
      </c>
      <c r="BK200" s="3">
        <v>58</v>
      </c>
      <c r="BL200" s="3">
        <v>329.69</v>
      </c>
      <c r="BM200" s="3">
        <v>49.45</v>
      </c>
      <c r="BN200" s="3">
        <v>379.14</v>
      </c>
      <c r="BO200" s="3">
        <v>379.14</v>
      </c>
      <c r="BQ200" s="3" t="s">
        <v>159</v>
      </c>
      <c r="BR200" s="3" t="s">
        <v>118</v>
      </c>
      <c r="BS200" s="4">
        <v>44566</v>
      </c>
      <c r="BT200" s="5">
        <v>0.63194444444444442</v>
      </c>
      <c r="BU200" s="3" t="s">
        <v>239</v>
      </c>
      <c r="BV200" s="3" t="s">
        <v>95</v>
      </c>
      <c r="BY200" s="3">
        <v>289935.74</v>
      </c>
      <c r="BZ200" s="3" t="s">
        <v>85</v>
      </c>
      <c r="CA200" s="3" t="s">
        <v>240</v>
      </c>
      <c r="CC200" s="3" t="s">
        <v>158</v>
      </c>
      <c r="CD200" s="3">
        <v>4091</v>
      </c>
      <c r="CE200" s="3" t="s">
        <v>86</v>
      </c>
      <c r="CF200" s="4">
        <v>44566</v>
      </c>
      <c r="CI200" s="3">
        <v>1</v>
      </c>
      <c r="CJ200" s="3">
        <v>1</v>
      </c>
      <c r="CK200" s="3">
        <v>41</v>
      </c>
      <c r="CL200" s="3" t="s">
        <v>87</v>
      </c>
    </row>
    <row r="201" spans="1:90" x14ac:dyDescent="0.2">
      <c r="A201" s="3" t="s">
        <v>72</v>
      </c>
      <c r="B201" s="3" t="s">
        <v>73</v>
      </c>
      <c r="C201" s="3" t="s">
        <v>74</v>
      </c>
      <c r="E201" s="3" t="str">
        <f>"009941291362"</f>
        <v>009941291362</v>
      </c>
      <c r="F201" s="4">
        <v>44566</v>
      </c>
      <c r="G201" s="3">
        <v>202207</v>
      </c>
      <c r="H201" s="3" t="s">
        <v>79</v>
      </c>
      <c r="I201" s="3" t="s">
        <v>80</v>
      </c>
      <c r="J201" s="3" t="s">
        <v>77</v>
      </c>
      <c r="K201" s="3" t="s">
        <v>78</v>
      </c>
      <c r="L201" s="3" t="s">
        <v>108</v>
      </c>
      <c r="M201" s="3" t="s">
        <v>109</v>
      </c>
      <c r="N201" s="3" t="s">
        <v>231</v>
      </c>
      <c r="O201" s="3" t="s">
        <v>81</v>
      </c>
      <c r="P201" s="3" t="str">
        <f>"STORES                        "</f>
        <v xml:space="preserve">STORES       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93.95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3</v>
      </c>
      <c r="BI201" s="3">
        <v>55.7</v>
      </c>
      <c r="BJ201" s="3">
        <v>66.5</v>
      </c>
      <c r="BK201" s="3">
        <v>67</v>
      </c>
      <c r="BL201" s="3">
        <v>363.84</v>
      </c>
      <c r="BM201" s="3">
        <v>54.58</v>
      </c>
      <c r="BN201" s="3">
        <v>418.42</v>
      </c>
      <c r="BO201" s="3">
        <v>418.42</v>
      </c>
      <c r="BQ201" s="3" t="s">
        <v>271</v>
      </c>
      <c r="BR201" s="3" t="s">
        <v>118</v>
      </c>
      <c r="BS201" s="4">
        <v>44567</v>
      </c>
      <c r="BT201" s="5">
        <v>0.42499999999999999</v>
      </c>
      <c r="BU201" s="3" t="s">
        <v>468</v>
      </c>
      <c r="BV201" s="3" t="s">
        <v>95</v>
      </c>
      <c r="BY201" s="3">
        <v>332465.59999999998</v>
      </c>
      <c r="BZ201" s="3" t="s">
        <v>85</v>
      </c>
      <c r="CA201" s="3" t="s">
        <v>206</v>
      </c>
      <c r="CC201" s="3" t="s">
        <v>109</v>
      </c>
      <c r="CD201" s="3">
        <v>9301</v>
      </c>
      <c r="CE201" s="3" t="s">
        <v>86</v>
      </c>
      <c r="CF201" s="4">
        <v>44568</v>
      </c>
      <c r="CI201" s="3">
        <v>1</v>
      </c>
      <c r="CJ201" s="3">
        <v>1</v>
      </c>
      <c r="CK201" s="3">
        <v>41</v>
      </c>
      <c r="CL201" s="3" t="s">
        <v>87</v>
      </c>
    </row>
    <row r="202" spans="1:90" x14ac:dyDescent="0.2">
      <c r="A202" s="3" t="s">
        <v>72</v>
      </c>
      <c r="B202" s="3" t="s">
        <v>73</v>
      </c>
      <c r="C202" s="3" t="s">
        <v>74</v>
      </c>
      <c r="E202" s="3" t="str">
        <f>"009940361958"</f>
        <v>009940361958</v>
      </c>
      <c r="F202" s="4">
        <v>44565</v>
      </c>
      <c r="G202" s="3">
        <v>202207</v>
      </c>
      <c r="H202" s="3" t="s">
        <v>144</v>
      </c>
      <c r="I202" s="3" t="s">
        <v>145</v>
      </c>
      <c r="J202" s="3" t="s">
        <v>77</v>
      </c>
      <c r="K202" s="3" t="s">
        <v>78</v>
      </c>
      <c r="L202" s="3" t="s">
        <v>90</v>
      </c>
      <c r="M202" s="3" t="s">
        <v>91</v>
      </c>
      <c r="N202" s="3" t="s">
        <v>92</v>
      </c>
      <c r="O202" s="3" t="s">
        <v>81</v>
      </c>
      <c r="P202" s="3" t="str">
        <f>"                              "</f>
        <v xml:space="preserve">                 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82.51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2</v>
      </c>
      <c r="BI202" s="3">
        <v>40</v>
      </c>
      <c r="BJ202" s="3">
        <v>63.5</v>
      </c>
      <c r="BK202" s="3">
        <v>64</v>
      </c>
      <c r="BL202" s="3">
        <v>299.33</v>
      </c>
      <c r="BM202" s="3">
        <v>44.9</v>
      </c>
      <c r="BN202" s="3">
        <v>344.23</v>
      </c>
      <c r="BO202" s="3">
        <v>344.23</v>
      </c>
      <c r="BQ202" s="3" t="s">
        <v>356</v>
      </c>
      <c r="BR202" s="3" t="s">
        <v>469</v>
      </c>
      <c r="BS202" s="4">
        <v>44566</v>
      </c>
      <c r="BT202" s="5">
        <v>0.3923611111111111</v>
      </c>
      <c r="BU202" s="3" t="s">
        <v>467</v>
      </c>
      <c r="BV202" s="3" t="s">
        <v>95</v>
      </c>
      <c r="BY202" s="3">
        <v>317512</v>
      </c>
      <c r="BZ202" s="3" t="s">
        <v>85</v>
      </c>
      <c r="CA202" s="3" t="s">
        <v>96</v>
      </c>
      <c r="CC202" s="3" t="s">
        <v>91</v>
      </c>
      <c r="CD202" s="3">
        <v>700</v>
      </c>
      <c r="CE202" s="3" t="s">
        <v>86</v>
      </c>
      <c r="CF202" s="4">
        <v>44566</v>
      </c>
      <c r="CI202" s="3">
        <v>1</v>
      </c>
      <c r="CJ202" s="3">
        <v>1</v>
      </c>
      <c r="CK202" s="3">
        <v>44</v>
      </c>
      <c r="CL202" s="3" t="s">
        <v>87</v>
      </c>
    </row>
    <row r="203" spans="1:90" x14ac:dyDescent="0.2">
      <c r="A203" s="3" t="s">
        <v>72</v>
      </c>
      <c r="B203" s="3" t="s">
        <v>73</v>
      </c>
      <c r="C203" s="3" t="s">
        <v>74</v>
      </c>
      <c r="E203" s="3" t="str">
        <f>"009941567744"</f>
        <v>009941567744</v>
      </c>
      <c r="F203" s="4">
        <v>44566</v>
      </c>
      <c r="G203" s="3">
        <v>202207</v>
      </c>
      <c r="H203" s="3" t="s">
        <v>79</v>
      </c>
      <c r="I203" s="3" t="s">
        <v>80</v>
      </c>
      <c r="J203" s="3" t="s">
        <v>77</v>
      </c>
      <c r="K203" s="3" t="s">
        <v>78</v>
      </c>
      <c r="L203" s="3" t="s">
        <v>101</v>
      </c>
      <c r="M203" s="3" t="s">
        <v>102</v>
      </c>
      <c r="N203" s="3" t="s">
        <v>77</v>
      </c>
      <c r="O203" s="3" t="s">
        <v>81</v>
      </c>
      <c r="P203" s="3" t="str">
        <f>"STORES                        "</f>
        <v xml:space="preserve">STORES    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42.16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3.8</v>
      </c>
      <c r="BJ203" s="3">
        <v>2.2000000000000002</v>
      </c>
      <c r="BK203" s="3">
        <v>4</v>
      </c>
      <c r="BL203" s="3">
        <v>166.16</v>
      </c>
      <c r="BM203" s="3">
        <v>24.92</v>
      </c>
      <c r="BN203" s="3">
        <v>191.08</v>
      </c>
      <c r="BO203" s="3">
        <v>191.08</v>
      </c>
      <c r="BQ203" s="3" t="s">
        <v>470</v>
      </c>
      <c r="BR203" s="3" t="s">
        <v>164</v>
      </c>
      <c r="BS203" s="4">
        <v>44574</v>
      </c>
      <c r="BT203" s="5">
        <v>0.38194444444444442</v>
      </c>
      <c r="BU203" s="3" t="s">
        <v>243</v>
      </c>
      <c r="BV203" s="3" t="s">
        <v>87</v>
      </c>
      <c r="BW203" s="3" t="s">
        <v>200</v>
      </c>
      <c r="BX203" s="3" t="s">
        <v>184</v>
      </c>
      <c r="BY203" s="3">
        <v>11035.2</v>
      </c>
      <c r="BZ203" s="3" t="s">
        <v>85</v>
      </c>
      <c r="CC203" s="3" t="s">
        <v>102</v>
      </c>
      <c r="CD203" s="3">
        <v>5100</v>
      </c>
      <c r="CE203" s="3" t="s">
        <v>86</v>
      </c>
      <c r="CF203" s="4">
        <v>44574</v>
      </c>
      <c r="CI203" s="3">
        <v>3</v>
      </c>
      <c r="CJ203" s="3">
        <v>6</v>
      </c>
      <c r="CK203" s="3">
        <v>43</v>
      </c>
      <c r="CL203" s="3" t="s">
        <v>87</v>
      </c>
    </row>
    <row r="204" spans="1:90" x14ac:dyDescent="0.2">
      <c r="A204" s="3" t="s">
        <v>72</v>
      </c>
      <c r="B204" s="3" t="s">
        <v>73</v>
      </c>
      <c r="C204" s="3" t="s">
        <v>74</v>
      </c>
      <c r="E204" s="3" t="str">
        <f>"009941567745"</f>
        <v>009941567745</v>
      </c>
      <c r="F204" s="4">
        <v>44565</v>
      </c>
      <c r="G204" s="3">
        <v>202207</v>
      </c>
      <c r="H204" s="3" t="s">
        <v>79</v>
      </c>
      <c r="I204" s="3" t="s">
        <v>80</v>
      </c>
      <c r="J204" s="3" t="s">
        <v>92</v>
      </c>
      <c r="K204" s="3" t="s">
        <v>78</v>
      </c>
      <c r="L204" s="3" t="s">
        <v>75</v>
      </c>
      <c r="M204" s="3" t="s">
        <v>76</v>
      </c>
      <c r="N204" s="3" t="s">
        <v>77</v>
      </c>
      <c r="O204" s="3" t="s">
        <v>81</v>
      </c>
      <c r="P204" s="3" t="str">
        <f>"STORES                        "</f>
        <v xml:space="preserve">STORES      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65.25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1</v>
      </c>
      <c r="BI204" s="3">
        <v>12.7</v>
      </c>
      <c r="BJ204" s="3">
        <v>22.3</v>
      </c>
      <c r="BK204" s="3">
        <v>23</v>
      </c>
      <c r="BL204" s="3">
        <v>237.81</v>
      </c>
      <c r="BM204" s="3">
        <v>35.67</v>
      </c>
      <c r="BN204" s="3">
        <v>273.48</v>
      </c>
      <c r="BO204" s="3">
        <v>273.48</v>
      </c>
      <c r="BQ204" s="3" t="s">
        <v>83</v>
      </c>
      <c r="BR204" s="3" t="s">
        <v>118</v>
      </c>
      <c r="BS204" s="4">
        <v>44568</v>
      </c>
      <c r="BT204" s="5">
        <v>0.32708333333333334</v>
      </c>
      <c r="BU204" s="3" t="s">
        <v>471</v>
      </c>
      <c r="BV204" s="3" t="s">
        <v>87</v>
      </c>
      <c r="BW204" s="3" t="s">
        <v>183</v>
      </c>
      <c r="BX204" s="3" t="s">
        <v>472</v>
      </c>
      <c r="BY204" s="3">
        <v>111391.2</v>
      </c>
      <c r="BZ204" s="3" t="s">
        <v>85</v>
      </c>
      <c r="CC204" s="3" t="s">
        <v>76</v>
      </c>
      <c r="CD204" s="3">
        <v>3900</v>
      </c>
      <c r="CE204" s="3" t="s">
        <v>86</v>
      </c>
      <c r="CF204" s="4">
        <v>44568</v>
      </c>
      <c r="CI204" s="3">
        <v>2</v>
      </c>
      <c r="CJ204" s="3">
        <v>3</v>
      </c>
      <c r="CK204" s="3">
        <v>43</v>
      </c>
      <c r="CL204" s="3" t="s">
        <v>87</v>
      </c>
    </row>
    <row r="205" spans="1:90" x14ac:dyDescent="0.2">
      <c r="A205" s="3" t="s">
        <v>72</v>
      </c>
      <c r="B205" s="3" t="s">
        <v>73</v>
      </c>
      <c r="C205" s="3" t="s">
        <v>74</v>
      </c>
      <c r="E205" s="3" t="str">
        <f>"009941618583"</f>
        <v>009941618583</v>
      </c>
      <c r="F205" s="4">
        <v>44566</v>
      </c>
      <c r="G205" s="3">
        <v>202207</v>
      </c>
      <c r="H205" s="3" t="s">
        <v>79</v>
      </c>
      <c r="I205" s="3" t="s">
        <v>80</v>
      </c>
      <c r="J205" s="3" t="s">
        <v>77</v>
      </c>
      <c r="K205" s="3" t="s">
        <v>78</v>
      </c>
      <c r="L205" s="3" t="s">
        <v>112</v>
      </c>
      <c r="M205" s="3" t="s">
        <v>113</v>
      </c>
      <c r="N205" s="3" t="s">
        <v>77</v>
      </c>
      <c r="O205" s="3" t="s">
        <v>81</v>
      </c>
      <c r="P205" s="3" t="str">
        <f>"STORES                        "</f>
        <v xml:space="preserve">STORES       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42.16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1</v>
      </c>
      <c r="BI205" s="3">
        <v>3.4</v>
      </c>
      <c r="BJ205" s="3">
        <v>8.6</v>
      </c>
      <c r="BK205" s="3">
        <v>9</v>
      </c>
      <c r="BL205" s="3">
        <v>166.16</v>
      </c>
      <c r="BM205" s="3">
        <v>24.92</v>
      </c>
      <c r="BN205" s="3">
        <v>191.08</v>
      </c>
      <c r="BO205" s="3">
        <v>191.08</v>
      </c>
      <c r="BQ205" s="3" t="s">
        <v>116</v>
      </c>
      <c r="BR205" s="3" t="s">
        <v>118</v>
      </c>
      <c r="BS205" s="4">
        <v>44567</v>
      </c>
      <c r="BT205" s="5">
        <v>0.36249999999999999</v>
      </c>
      <c r="BU205" s="3" t="s">
        <v>235</v>
      </c>
      <c r="BV205" s="3" t="s">
        <v>95</v>
      </c>
      <c r="BY205" s="3">
        <v>43088.14</v>
      </c>
      <c r="BZ205" s="3" t="s">
        <v>85</v>
      </c>
      <c r="CA205" s="3" t="s">
        <v>236</v>
      </c>
      <c r="CC205" s="3" t="s">
        <v>113</v>
      </c>
      <c r="CD205" s="3">
        <v>300</v>
      </c>
      <c r="CE205" s="3" t="s">
        <v>86</v>
      </c>
      <c r="CF205" s="4">
        <v>44567</v>
      </c>
      <c r="CI205" s="3">
        <v>1</v>
      </c>
      <c r="CJ205" s="3">
        <v>1</v>
      </c>
      <c r="CK205" s="3">
        <v>43</v>
      </c>
      <c r="CL205" s="3" t="s">
        <v>87</v>
      </c>
    </row>
    <row r="206" spans="1:90" x14ac:dyDescent="0.2">
      <c r="A206" s="3" t="s">
        <v>72</v>
      </c>
      <c r="B206" s="3" t="s">
        <v>73</v>
      </c>
      <c r="C206" s="3" t="s">
        <v>74</v>
      </c>
      <c r="E206" s="3" t="str">
        <f>"009941567743"</f>
        <v>009941567743</v>
      </c>
      <c r="F206" s="4">
        <v>44566</v>
      </c>
      <c r="G206" s="3">
        <v>202207</v>
      </c>
      <c r="H206" s="3" t="s">
        <v>79</v>
      </c>
      <c r="I206" s="3" t="s">
        <v>80</v>
      </c>
      <c r="J206" s="3" t="s">
        <v>77</v>
      </c>
      <c r="K206" s="3" t="s">
        <v>78</v>
      </c>
      <c r="L206" s="3" t="s">
        <v>120</v>
      </c>
      <c r="M206" s="3" t="s">
        <v>121</v>
      </c>
      <c r="N206" s="3" t="s">
        <v>231</v>
      </c>
      <c r="O206" s="3" t="s">
        <v>81</v>
      </c>
      <c r="P206" s="3" t="str">
        <f>"STORES                        "</f>
        <v xml:space="preserve">STORES    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42.16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15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7.4</v>
      </c>
      <c r="BJ206" s="3">
        <v>9.6999999999999993</v>
      </c>
      <c r="BK206" s="3">
        <v>10</v>
      </c>
      <c r="BL206" s="3">
        <v>181.16</v>
      </c>
      <c r="BM206" s="3">
        <v>27.17</v>
      </c>
      <c r="BN206" s="3">
        <v>208.33</v>
      </c>
      <c r="BO206" s="3">
        <v>208.33</v>
      </c>
      <c r="BQ206" s="3" t="s">
        <v>241</v>
      </c>
      <c r="BR206" s="3" t="s">
        <v>118</v>
      </c>
      <c r="BS206" s="4">
        <v>44568</v>
      </c>
      <c r="BT206" s="5">
        <v>0.67222222222222217</v>
      </c>
      <c r="BU206" s="3" t="s">
        <v>241</v>
      </c>
      <c r="BV206" s="3" t="s">
        <v>87</v>
      </c>
      <c r="BW206" s="3" t="s">
        <v>473</v>
      </c>
      <c r="BX206" s="3" t="s">
        <v>474</v>
      </c>
      <c r="BY206" s="3">
        <v>48483.56</v>
      </c>
      <c r="BZ206" s="3" t="s">
        <v>230</v>
      </c>
      <c r="CC206" s="3" t="s">
        <v>121</v>
      </c>
      <c r="CD206" s="3">
        <v>8460</v>
      </c>
      <c r="CE206" s="3" t="s">
        <v>86</v>
      </c>
      <c r="CF206" s="4">
        <v>44571</v>
      </c>
      <c r="CI206" s="3">
        <v>1</v>
      </c>
      <c r="CJ206" s="3">
        <v>2</v>
      </c>
      <c r="CK206" s="3">
        <v>43</v>
      </c>
      <c r="CL206" s="3" t="s">
        <v>87</v>
      </c>
    </row>
    <row r="207" spans="1:90" x14ac:dyDescent="0.2">
      <c r="A207" s="3" t="s">
        <v>72</v>
      </c>
      <c r="B207" s="3" t="s">
        <v>73</v>
      </c>
      <c r="C207" s="3" t="s">
        <v>74</v>
      </c>
      <c r="E207" s="3" t="str">
        <f>"009940900515"</f>
        <v>009940900515</v>
      </c>
      <c r="F207" s="4">
        <v>44566</v>
      </c>
      <c r="G207" s="3">
        <v>202207</v>
      </c>
      <c r="H207" s="3" t="s">
        <v>90</v>
      </c>
      <c r="I207" s="3" t="s">
        <v>91</v>
      </c>
      <c r="J207" s="3" t="s">
        <v>77</v>
      </c>
      <c r="K207" s="3" t="s">
        <v>78</v>
      </c>
      <c r="L207" s="3" t="s">
        <v>144</v>
      </c>
      <c r="M207" s="3" t="s">
        <v>145</v>
      </c>
      <c r="N207" s="3" t="s">
        <v>475</v>
      </c>
      <c r="O207" s="3" t="s">
        <v>81</v>
      </c>
      <c r="P207" s="3" t="str">
        <f>"                              "</f>
        <v xml:space="preserve">                      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148.99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6</v>
      </c>
      <c r="BI207" s="3">
        <v>54</v>
      </c>
      <c r="BJ207" s="3">
        <v>149.5</v>
      </c>
      <c r="BK207" s="3">
        <v>150</v>
      </c>
      <c r="BL207" s="3">
        <v>573.92999999999995</v>
      </c>
      <c r="BM207" s="3">
        <v>86.09</v>
      </c>
      <c r="BN207" s="3">
        <v>660.02</v>
      </c>
      <c r="BO207" s="3">
        <v>660.02</v>
      </c>
      <c r="BS207" s="4">
        <v>44567</v>
      </c>
      <c r="BT207" s="5">
        <v>0.4548611111111111</v>
      </c>
      <c r="BU207" s="3" t="s">
        <v>249</v>
      </c>
      <c r="BV207" s="3" t="s">
        <v>95</v>
      </c>
      <c r="BY207" s="3">
        <v>747460</v>
      </c>
      <c r="BZ207" s="3" t="s">
        <v>85</v>
      </c>
      <c r="CA207" s="3" t="s">
        <v>250</v>
      </c>
      <c r="CC207" s="3" t="s">
        <v>145</v>
      </c>
      <c r="CD207" s="3">
        <v>850</v>
      </c>
      <c r="CE207" s="3" t="s">
        <v>86</v>
      </c>
      <c r="CF207" s="4">
        <v>44567</v>
      </c>
      <c r="CI207" s="3">
        <v>1</v>
      </c>
      <c r="CJ207" s="3">
        <v>1</v>
      </c>
      <c r="CK207" s="3">
        <v>44</v>
      </c>
      <c r="CL207" s="3" t="s">
        <v>87</v>
      </c>
    </row>
    <row r="208" spans="1:90" x14ac:dyDescent="0.2">
      <c r="A208" s="3" t="s">
        <v>72</v>
      </c>
      <c r="B208" s="3" t="s">
        <v>73</v>
      </c>
      <c r="C208" s="3" t="s">
        <v>74</v>
      </c>
      <c r="E208" s="3" t="str">
        <f>"009940900517"</f>
        <v>009940900517</v>
      </c>
      <c r="F208" s="4">
        <v>44566</v>
      </c>
      <c r="G208" s="3">
        <v>202207</v>
      </c>
      <c r="H208" s="3" t="s">
        <v>90</v>
      </c>
      <c r="I208" s="3" t="s">
        <v>91</v>
      </c>
      <c r="J208" s="3" t="s">
        <v>77</v>
      </c>
      <c r="K208" s="3" t="s">
        <v>78</v>
      </c>
      <c r="L208" s="3" t="s">
        <v>79</v>
      </c>
      <c r="M208" s="3" t="s">
        <v>80</v>
      </c>
      <c r="N208" s="3" t="s">
        <v>77</v>
      </c>
      <c r="O208" s="3" t="s">
        <v>81</v>
      </c>
      <c r="P208" s="3" t="str">
        <f>"                              "</f>
        <v xml:space="preserve">              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160.47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6</v>
      </c>
      <c r="BI208" s="3">
        <v>64</v>
      </c>
      <c r="BJ208" s="3">
        <v>120.6</v>
      </c>
      <c r="BK208" s="3">
        <v>121</v>
      </c>
      <c r="BL208" s="3">
        <v>617.74</v>
      </c>
      <c r="BM208" s="3">
        <v>92.66</v>
      </c>
      <c r="BN208" s="3">
        <v>710.4</v>
      </c>
      <c r="BO208" s="3">
        <v>710.4</v>
      </c>
      <c r="BQ208" s="3" t="s">
        <v>82</v>
      </c>
      <c r="BS208" s="4">
        <v>44567</v>
      </c>
      <c r="BT208" s="5">
        <v>0.3527777777777778</v>
      </c>
      <c r="BU208" s="3" t="s">
        <v>238</v>
      </c>
      <c r="BV208" s="3" t="s">
        <v>95</v>
      </c>
      <c r="BY208" s="3">
        <v>307800</v>
      </c>
      <c r="BZ208" s="3" t="s">
        <v>85</v>
      </c>
      <c r="CA208" s="3" t="s">
        <v>136</v>
      </c>
      <c r="CC208" s="3" t="s">
        <v>80</v>
      </c>
      <c r="CD208" s="3">
        <v>2146</v>
      </c>
      <c r="CE208" s="3" t="s">
        <v>86</v>
      </c>
      <c r="CF208" s="4">
        <v>44568</v>
      </c>
      <c r="CI208" s="3">
        <v>1</v>
      </c>
      <c r="CJ208" s="3">
        <v>1</v>
      </c>
      <c r="CK208" s="3">
        <v>41</v>
      </c>
      <c r="CL208" s="3" t="s">
        <v>87</v>
      </c>
    </row>
    <row r="209" spans="1:90" x14ac:dyDescent="0.2">
      <c r="A209" s="3" t="s">
        <v>72</v>
      </c>
      <c r="B209" s="3" t="s">
        <v>73</v>
      </c>
      <c r="C209" s="3" t="s">
        <v>74</v>
      </c>
      <c r="E209" s="3" t="str">
        <f>"009940237769"</f>
        <v>009940237769</v>
      </c>
      <c r="F209" s="4">
        <v>44566</v>
      </c>
      <c r="G209" s="3">
        <v>202207</v>
      </c>
      <c r="H209" s="3" t="s">
        <v>79</v>
      </c>
      <c r="I209" s="3" t="s">
        <v>80</v>
      </c>
      <c r="J209" s="3" t="s">
        <v>77</v>
      </c>
      <c r="K209" s="3" t="s">
        <v>78</v>
      </c>
      <c r="L209" s="3" t="s">
        <v>90</v>
      </c>
      <c r="M209" s="3" t="s">
        <v>91</v>
      </c>
      <c r="N209" s="3" t="s">
        <v>77</v>
      </c>
      <c r="O209" s="3" t="s">
        <v>81</v>
      </c>
      <c r="P209" s="3" t="str">
        <f>"STORES                        "</f>
        <v xml:space="preserve">STORES                        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29.89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2</v>
      </c>
      <c r="BI209" s="3">
        <v>7.8</v>
      </c>
      <c r="BJ209" s="3">
        <v>4.5</v>
      </c>
      <c r="BK209" s="3">
        <v>8</v>
      </c>
      <c r="BL209" s="3">
        <v>119.34</v>
      </c>
      <c r="BM209" s="3">
        <v>17.899999999999999</v>
      </c>
      <c r="BN209" s="3">
        <v>137.24</v>
      </c>
      <c r="BO209" s="3">
        <v>137.24</v>
      </c>
      <c r="BQ209" s="3" t="s">
        <v>269</v>
      </c>
      <c r="BR209" s="3" t="s">
        <v>118</v>
      </c>
      <c r="BS209" s="4">
        <v>44567</v>
      </c>
      <c r="BT209" s="5">
        <v>0.39444444444444443</v>
      </c>
      <c r="BU209" s="3" t="s">
        <v>94</v>
      </c>
      <c r="BV209" s="3" t="s">
        <v>95</v>
      </c>
      <c r="BY209" s="3">
        <v>22518.34</v>
      </c>
      <c r="BZ209" s="3" t="s">
        <v>85</v>
      </c>
      <c r="CA209" s="3" t="s">
        <v>96</v>
      </c>
      <c r="CC209" s="3" t="s">
        <v>91</v>
      </c>
      <c r="CD209" s="3">
        <v>700</v>
      </c>
      <c r="CE209" s="3" t="s">
        <v>86</v>
      </c>
      <c r="CF209" s="4">
        <v>44567</v>
      </c>
      <c r="CI209" s="3">
        <v>1</v>
      </c>
      <c r="CJ209" s="3">
        <v>1</v>
      </c>
      <c r="CK209" s="3">
        <v>41</v>
      </c>
      <c r="CL209" s="3" t="s">
        <v>87</v>
      </c>
    </row>
    <row r="210" spans="1:90" x14ac:dyDescent="0.2">
      <c r="A210" s="3" t="s">
        <v>72</v>
      </c>
      <c r="B210" s="3" t="s">
        <v>73</v>
      </c>
      <c r="C210" s="3" t="s">
        <v>74</v>
      </c>
      <c r="E210" s="3" t="str">
        <f>"009942537445"</f>
        <v>009942537445</v>
      </c>
      <c r="F210" s="4">
        <v>44567</v>
      </c>
      <c r="G210" s="3">
        <v>202207</v>
      </c>
      <c r="H210" s="3" t="s">
        <v>123</v>
      </c>
      <c r="I210" s="3" t="s">
        <v>124</v>
      </c>
      <c r="J210" s="3" t="s">
        <v>162</v>
      </c>
      <c r="K210" s="3" t="s">
        <v>78</v>
      </c>
      <c r="L210" s="3" t="s">
        <v>132</v>
      </c>
      <c r="M210" s="3" t="s">
        <v>133</v>
      </c>
      <c r="N210" s="3" t="s">
        <v>77</v>
      </c>
      <c r="O210" s="3" t="s">
        <v>81</v>
      </c>
      <c r="P210" s="3" t="str">
        <f>"083 601 5869                  "</f>
        <v xml:space="preserve">083 601 5869                  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42.16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15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1</v>
      </c>
      <c r="BI210" s="3">
        <v>1</v>
      </c>
      <c r="BJ210" s="3">
        <v>0.2</v>
      </c>
      <c r="BK210" s="3">
        <v>1</v>
      </c>
      <c r="BL210" s="3">
        <v>181.16</v>
      </c>
      <c r="BM210" s="3">
        <v>27.17</v>
      </c>
      <c r="BN210" s="3">
        <v>208.33</v>
      </c>
      <c r="BO210" s="3">
        <v>208.33</v>
      </c>
      <c r="BQ210" s="3" t="s">
        <v>476</v>
      </c>
      <c r="BR210" s="3" t="s">
        <v>283</v>
      </c>
      <c r="BS210" s="4">
        <v>44571</v>
      </c>
      <c r="BT210" s="5">
        <v>0.3659722222222222</v>
      </c>
      <c r="BU210" s="3" t="s">
        <v>137</v>
      </c>
      <c r="BV210" s="3" t="s">
        <v>87</v>
      </c>
      <c r="BW210" s="3" t="s">
        <v>214</v>
      </c>
      <c r="BX210" s="3" t="s">
        <v>477</v>
      </c>
      <c r="BY210" s="3">
        <v>1200</v>
      </c>
      <c r="BZ210" s="3" t="s">
        <v>230</v>
      </c>
      <c r="CA210" s="3" t="s">
        <v>478</v>
      </c>
      <c r="CC210" s="3" t="s">
        <v>133</v>
      </c>
      <c r="CD210" s="3">
        <v>2000</v>
      </c>
      <c r="CE210" s="3" t="s">
        <v>86</v>
      </c>
      <c r="CF210" s="4">
        <v>44571</v>
      </c>
      <c r="CI210" s="3">
        <v>1</v>
      </c>
      <c r="CJ210" s="3">
        <v>2</v>
      </c>
      <c r="CK210" s="3">
        <v>43</v>
      </c>
      <c r="CL210" s="3" t="s">
        <v>87</v>
      </c>
    </row>
    <row r="211" spans="1:90" x14ac:dyDescent="0.2">
      <c r="A211" s="3" t="s">
        <v>72</v>
      </c>
      <c r="B211" s="3" t="s">
        <v>73</v>
      </c>
      <c r="C211" s="3" t="s">
        <v>74</v>
      </c>
      <c r="E211" s="3" t="str">
        <f>"009940237768"</f>
        <v>009940237768</v>
      </c>
      <c r="F211" s="4">
        <v>44567</v>
      </c>
      <c r="G211" s="3">
        <v>202207</v>
      </c>
      <c r="H211" s="3" t="s">
        <v>79</v>
      </c>
      <c r="I211" s="3" t="s">
        <v>80</v>
      </c>
      <c r="J211" s="3" t="s">
        <v>77</v>
      </c>
      <c r="K211" s="3" t="s">
        <v>78</v>
      </c>
      <c r="L211" s="3" t="s">
        <v>90</v>
      </c>
      <c r="M211" s="3" t="s">
        <v>91</v>
      </c>
      <c r="N211" s="3" t="s">
        <v>77</v>
      </c>
      <c r="O211" s="3" t="s">
        <v>81</v>
      </c>
      <c r="P211" s="3" t="str">
        <f>"STORES                        "</f>
        <v xml:space="preserve">STORES                        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43.44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1</v>
      </c>
      <c r="BI211" s="3">
        <v>6.7</v>
      </c>
      <c r="BJ211" s="3">
        <v>25.4</v>
      </c>
      <c r="BK211" s="3">
        <v>26</v>
      </c>
      <c r="BL211" s="3">
        <v>171.06</v>
      </c>
      <c r="BM211" s="3">
        <v>25.66</v>
      </c>
      <c r="BN211" s="3">
        <v>196.72</v>
      </c>
      <c r="BO211" s="3">
        <v>196.72</v>
      </c>
      <c r="BQ211" s="3" t="s">
        <v>269</v>
      </c>
      <c r="BR211" s="3" t="s">
        <v>164</v>
      </c>
      <c r="BS211" s="4">
        <v>44568</v>
      </c>
      <c r="BT211" s="5">
        <v>0.3833333333333333</v>
      </c>
      <c r="BU211" s="3" t="s">
        <v>479</v>
      </c>
      <c r="BV211" s="3" t="s">
        <v>95</v>
      </c>
      <c r="BY211" s="3">
        <v>126830.55</v>
      </c>
      <c r="BZ211" s="3" t="s">
        <v>85</v>
      </c>
      <c r="CA211" s="3" t="s">
        <v>96</v>
      </c>
      <c r="CC211" s="3" t="s">
        <v>91</v>
      </c>
      <c r="CD211" s="3">
        <v>699</v>
      </c>
      <c r="CE211" s="3" t="s">
        <v>86</v>
      </c>
      <c r="CF211" s="4">
        <v>44568</v>
      </c>
      <c r="CI211" s="3">
        <v>1</v>
      </c>
      <c r="CJ211" s="3">
        <v>1</v>
      </c>
      <c r="CK211" s="3">
        <v>41</v>
      </c>
      <c r="CL211" s="3" t="s">
        <v>87</v>
      </c>
    </row>
    <row r="212" spans="1:90" x14ac:dyDescent="0.2">
      <c r="A212" s="3" t="s">
        <v>72</v>
      </c>
      <c r="B212" s="3" t="s">
        <v>73</v>
      </c>
      <c r="C212" s="3" t="s">
        <v>74</v>
      </c>
      <c r="E212" s="3" t="str">
        <f>"009941618972"</f>
        <v>009941618972</v>
      </c>
      <c r="F212" s="4">
        <v>44567</v>
      </c>
      <c r="G212" s="3">
        <v>202207</v>
      </c>
      <c r="H212" s="3" t="s">
        <v>79</v>
      </c>
      <c r="I212" s="3" t="s">
        <v>80</v>
      </c>
      <c r="J212" s="3" t="s">
        <v>77</v>
      </c>
      <c r="K212" s="3" t="s">
        <v>78</v>
      </c>
      <c r="L212" s="3" t="s">
        <v>157</v>
      </c>
      <c r="M212" s="3" t="s">
        <v>158</v>
      </c>
      <c r="N212" s="3" t="s">
        <v>77</v>
      </c>
      <c r="O212" s="3" t="s">
        <v>81</v>
      </c>
      <c r="P212" s="3" t="str">
        <f>"STORES                        "</f>
        <v xml:space="preserve">STORES                        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29.89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1</v>
      </c>
      <c r="BI212" s="3">
        <v>1</v>
      </c>
      <c r="BJ212" s="3">
        <v>0.2</v>
      </c>
      <c r="BK212" s="3">
        <v>1</v>
      </c>
      <c r="BL212" s="3">
        <v>119.34</v>
      </c>
      <c r="BM212" s="3">
        <v>17.899999999999999</v>
      </c>
      <c r="BN212" s="3">
        <v>137.24</v>
      </c>
      <c r="BO212" s="3">
        <v>137.24</v>
      </c>
      <c r="BQ212" s="3" t="s">
        <v>159</v>
      </c>
      <c r="BR212" s="3" t="s">
        <v>164</v>
      </c>
      <c r="BS212" s="4">
        <v>44568</v>
      </c>
      <c r="BT212" s="5">
        <v>0.43055555555555558</v>
      </c>
      <c r="BU212" s="3" t="s">
        <v>480</v>
      </c>
      <c r="BV212" s="3" t="s">
        <v>95</v>
      </c>
      <c r="BY212" s="3">
        <v>1200</v>
      </c>
      <c r="BZ212" s="3" t="s">
        <v>85</v>
      </c>
      <c r="CA212" s="3" t="s">
        <v>428</v>
      </c>
      <c r="CC212" s="3" t="s">
        <v>158</v>
      </c>
      <c r="CD212" s="3">
        <v>4091</v>
      </c>
      <c r="CE212" s="3" t="s">
        <v>86</v>
      </c>
      <c r="CF212" s="4">
        <v>44568</v>
      </c>
      <c r="CI212" s="3">
        <v>1</v>
      </c>
      <c r="CJ212" s="3">
        <v>1</v>
      </c>
      <c r="CK212" s="3">
        <v>41</v>
      </c>
      <c r="CL212" s="3" t="s">
        <v>87</v>
      </c>
    </row>
    <row r="213" spans="1:90" x14ac:dyDescent="0.2">
      <c r="A213" s="3" t="s">
        <v>72</v>
      </c>
      <c r="B213" s="3" t="s">
        <v>73</v>
      </c>
      <c r="C213" s="3" t="s">
        <v>74</v>
      </c>
      <c r="E213" s="3" t="str">
        <f>"009941618584"</f>
        <v>009941618584</v>
      </c>
      <c r="F213" s="4">
        <v>44567</v>
      </c>
      <c r="G213" s="3">
        <v>202207</v>
      </c>
      <c r="H213" s="3" t="s">
        <v>79</v>
      </c>
      <c r="I213" s="3" t="s">
        <v>80</v>
      </c>
      <c r="J213" s="3" t="s">
        <v>77</v>
      </c>
      <c r="K213" s="3" t="s">
        <v>78</v>
      </c>
      <c r="L213" s="3" t="s">
        <v>112</v>
      </c>
      <c r="M213" s="3" t="s">
        <v>113</v>
      </c>
      <c r="N213" s="3" t="s">
        <v>445</v>
      </c>
      <c r="O213" s="3" t="s">
        <v>81</v>
      </c>
      <c r="P213" s="3" t="str">
        <f>"STORES                        "</f>
        <v xml:space="preserve">STORES                        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199.46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3</v>
      </c>
      <c r="BI213" s="3">
        <v>53.1</v>
      </c>
      <c r="BJ213" s="3">
        <v>87.7</v>
      </c>
      <c r="BK213" s="3">
        <v>88</v>
      </c>
      <c r="BL213" s="3">
        <v>766.57</v>
      </c>
      <c r="BM213" s="3">
        <v>114.99</v>
      </c>
      <c r="BN213" s="3">
        <v>881.56</v>
      </c>
      <c r="BO213" s="3">
        <v>881.56</v>
      </c>
      <c r="BQ213" s="3" t="s">
        <v>116</v>
      </c>
      <c r="BR213" s="3" t="s">
        <v>118</v>
      </c>
      <c r="BS213" s="4">
        <v>44568</v>
      </c>
      <c r="BT213" s="5">
        <v>0.33680555555555558</v>
      </c>
      <c r="BU213" s="3" t="s">
        <v>235</v>
      </c>
      <c r="BV213" s="3" t="s">
        <v>95</v>
      </c>
      <c r="BY213" s="3">
        <v>438598.05</v>
      </c>
      <c r="BZ213" s="3" t="s">
        <v>85</v>
      </c>
      <c r="CA213" s="3" t="s">
        <v>236</v>
      </c>
      <c r="CC213" s="3" t="s">
        <v>113</v>
      </c>
      <c r="CD213" s="3">
        <v>300</v>
      </c>
      <c r="CE213" s="3" t="s">
        <v>86</v>
      </c>
      <c r="CF213" s="4">
        <v>44568</v>
      </c>
      <c r="CI213" s="3">
        <v>1</v>
      </c>
      <c r="CJ213" s="3">
        <v>1</v>
      </c>
      <c r="CK213" s="3">
        <v>43</v>
      </c>
      <c r="CL213" s="3" t="s">
        <v>87</v>
      </c>
    </row>
    <row r="214" spans="1:90" x14ac:dyDescent="0.2">
      <c r="A214" s="3" t="s">
        <v>72</v>
      </c>
      <c r="B214" s="3" t="s">
        <v>73</v>
      </c>
      <c r="C214" s="3" t="s">
        <v>74</v>
      </c>
      <c r="E214" s="3" t="str">
        <f>"009941618905"</f>
        <v>009941618905</v>
      </c>
      <c r="F214" s="4">
        <v>44567</v>
      </c>
      <c r="G214" s="3">
        <v>202207</v>
      </c>
      <c r="H214" s="3" t="s">
        <v>79</v>
      </c>
      <c r="I214" s="3" t="s">
        <v>80</v>
      </c>
      <c r="J214" s="3" t="s">
        <v>77</v>
      </c>
      <c r="K214" s="3" t="s">
        <v>78</v>
      </c>
      <c r="L214" s="3" t="s">
        <v>123</v>
      </c>
      <c r="M214" s="3" t="s">
        <v>124</v>
      </c>
      <c r="N214" s="3" t="s">
        <v>237</v>
      </c>
      <c r="O214" s="3" t="s">
        <v>81</v>
      </c>
      <c r="P214" s="3" t="str">
        <f>"STORES                        "</f>
        <v xml:space="preserve">STORES                        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59.4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1</v>
      </c>
      <c r="BI214" s="3">
        <v>12.7</v>
      </c>
      <c r="BJ214" s="3">
        <v>22.4</v>
      </c>
      <c r="BK214" s="3">
        <v>23</v>
      </c>
      <c r="BL214" s="3">
        <v>231.96</v>
      </c>
      <c r="BM214" s="3">
        <v>34.79</v>
      </c>
      <c r="BN214" s="3">
        <v>266.75</v>
      </c>
      <c r="BO214" s="3">
        <v>266.75</v>
      </c>
      <c r="BQ214" s="3" t="s">
        <v>163</v>
      </c>
      <c r="BR214" s="3" t="s">
        <v>118</v>
      </c>
      <c r="BS214" s="4">
        <v>44568</v>
      </c>
      <c r="BT214" s="5">
        <v>0.35000000000000003</v>
      </c>
      <c r="BU214" s="3" t="s">
        <v>481</v>
      </c>
      <c r="BV214" s="3" t="s">
        <v>95</v>
      </c>
      <c r="BY214" s="3">
        <v>111985.78</v>
      </c>
      <c r="BZ214" s="3" t="s">
        <v>85</v>
      </c>
      <c r="CA214" s="3" t="s">
        <v>203</v>
      </c>
      <c r="CC214" s="3" t="s">
        <v>124</v>
      </c>
      <c r="CD214" s="3">
        <v>1034</v>
      </c>
      <c r="CE214" s="3" t="s">
        <v>86</v>
      </c>
      <c r="CF214" s="4">
        <v>44568</v>
      </c>
      <c r="CI214" s="3">
        <v>1</v>
      </c>
      <c r="CJ214" s="3">
        <v>1</v>
      </c>
      <c r="CK214" s="3">
        <v>43</v>
      </c>
      <c r="CL214" s="3" t="s">
        <v>87</v>
      </c>
    </row>
    <row r="215" spans="1:90" x14ac:dyDescent="0.2">
      <c r="A215" s="3" t="s">
        <v>72</v>
      </c>
      <c r="B215" s="3" t="s">
        <v>73</v>
      </c>
      <c r="C215" s="3" t="s">
        <v>74</v>
      </c>
      <c r="E215" s="3" t="str">
        <f>"009941567741"</f>
        <v>009941567741</v>
      </c>
      <c r="F215" s="4">
        <v>44567</v>
      </c>
      <c r="G215" s="3">
        <v>202207</v>
      </c>
      <c r="H215" s="3" t="s">
        <v>79</v>
      </c>
      <c r="I215" s="3" t="s">
        <v>80</v>
      </c>
      <c r="J215" s="3" t="s">
        <v>77</v>
      </c>
      <c r="K215" s="3" t="s">
        <v>78</v>
      </c>
      <c r="L215" s="3" t="s">
        <v>347</v>
      </c>
      <c r="M215" s="3" t="s">
        <v>348</v>
      </c>
      <c r="N215" s="3" t="s">
        <v>231</v>
      </c>
      <c r="O215" s="3" t="s">
        <v>81</v>
      </c>
      <c r="P215" s="3" t="str">
        <f>"NA                            "</f>
        <v xml:space="preserve">NA                            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46.47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15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1</v>
      </c>
      <c r="BI215" s="3">
        <v>4.3</v>
      </c>
      <c r="BJ215" s="3">
        <v>16.899999999999999</v>
      </c>
      <c r="BK215" s="3">
        <v>17</v>
      </c>
      <c r="BL215" s="3">
        <v>197.61</v>
      </c>
      <c r="BM215" s="3">
        <v>29.64</v>
      </c>
      <c r="BN215" s="3">
        <v>227.25</v>
      </c>
      <c r="BO215" s="3">
        <v>227.25</v>
      </c>
      <c r="BQ215" s="3" t="s">
        <v>482</v>
      </c>
      <c r="BR215" s="3" t="s">
        <v>118</v>
      </c>
      <c r="BS215" s="4">
        <v>44568</v>
      </c>
      <c r="BT215" s="5">
        <v>0.52222222222222225</v>
      </c>
      <c r="BU215" s="3" t="s">
        <v>483</v>
      </c>
      <c r="BV215" s="3" t="s">
        <v>95</v>
      </c>
      <c r="BY215" s="3">
        <v>84482.71</v>
      </c>
      <c r="BZ215" s="3" t="s">
        <v>230</v>
      </c>
      <c r="CA215" s="3" t="s">
        <v>417</v>
      </c>
      <c r="CC215" s="3" t="s">
        <v>348</v>
      </c>
      <c r="CD215" s="3">
        <v>450</v>
      </c>
      <c r="CE215" s="3" t="s">
        <v>86</v>
      </c>
      <c r="CF215" s="4">
        <v>44568</v>
      </c>
      <c r="CI215" s="3">
        <v>1</v>
      </c>
      <c r="CJ215" s="3">
        <v>1</v>
      </c>
      <c r="CK215" s="3">
        <v>43</v>
      </c>
      <c r="CL215" s="3" t="s">
        <v>87</v>
      </c>
    </row>
    <row r="216" spans="1:90" x14ac:dyDescent="0.2">
      <c r="A216" s="3" t="s">
        <v>72</v>
      </c>
      <c r="B216" s="3" t="s">
        <v>73</v>
      </c>
      <c r="C216" s="3" t="s">
        <v>74</v>
      </c>
      <c r="E216" s="3" t="str">
        <f>"009941671593"</f>
        <v>009941671593</v>
      </c>
      <c r="F216" s="4">
        <v>44567</v>
      </c>
      <c r="G216" s="3">
        <v>202207</v>
      </c>
      <c r="H216" s="3" t="s">
        <v>123</v>
      </c>
      <c r="I216" s="3" t="s">
        <v>124</v>
      </c>
      <c r="J216" s="3" t="s">
        <v>162</v>
      </c>
      <c r="K216" s="3" t="s">
        <v>78</v>
      </c>
      <c r="L216" s="3" t="s">
        <v>132</v>
      </c>
      <c r="M216" s="3" t="s">
        <v>133</v>
      </c>
      <c r="N216" s="3" t="s">
        <v>77</v>
      </c>
      <c r="O216" s="3" t="s">
        <v>81</v>
      </c>
      <c r="P216" s="3" t="str">
        <f>"083 601 5869                  "</f>
        <v xml:space="preserve">083 601 5869                  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173.6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15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3</v>
      </c>
      <c r="BI216" s="3">
        <v>75.2</v>
      </c>
      <c r="BJ216" s="3">
        <v>6.8</v>
      </c>
      <c r="BK216" s="3">
        <v>76</v>
      </c>
      <c r="BL216" s="3">
        <v>682.87</v>
      </c>
      <c r="BM216" s="3">
        <v>102.43</v>
      </c>
      <c r="BN216" s="3">
        <v>785.3</v>
      </c>
      <c r="BO216" s="3">
        <v>785.3</v>
      </c>
      <c r="BQ216" s="3" t="s">
        <v>82</v>
      </c>
      <c r="BR216" s="3" t="s">
        <v>283</v>
      </c>
      <c r="BS216" s="4">
        <v>44568</v>
      </c>
      <c r="BT216" s="5">
        <v>0.38125000000000003</v>
      </c>
      <c r="BU216" s="3" t="s">
        <v>238</v>
      </c>
      <c r="BV216" s="3" t="s">
        <v>95</v>
      </c>
      <c r="BY216" s="3">
        <v>33788.44</v>
      </c>
      <c r="BZ216" s="3" t="s">
        <v>230</v>
      </c>
      <c r="CA216" s="3" t="s">
        <v>484</v>
      </c>
      <c r="CC216" s="3" t="s">
        <v>133</v>
      </c>
      <c r="CD216" s="3">
        <v>2000</v>
      </c>
      <c r="CE216" s="3" t="s">
        <v>86</v>
      </c>
      <c r="CF216" s="4">
        <v>44569</v>
      </c>
      <c r="CI216" s="3">
        <v>1</v>
      </c>
      <c r="CJ216" s="3">
        <v>1</v>
      </c>
      <c r="CK216" s="3">
        <v>43</v>
      </c>
      <c r="CL216" s="3" t="s">
        <v>87</v>
      </c>
    </row>
    <row r="217" spans="1:90" x14ac:dyDescent="0.2">
      <c r="A217" s="3" t="s">
        <v>72</v>
      </c>
      <c r="B217" s="3" t="s">
        <v>73</v>
      </c>
      <c r="C217" s="3" t="s">
        <v>74</v>
      </c>
      <c r="E217" s="3" t="str">
        <f>"009936115810"</f>
        <v>009936115810</v>
      </c>
      <c r="F217" s="4">
        <v>44567</v>
      </c>
      <c r="G217" s="3">
        <v>202207</v>
      </c>
      <c r="H217" s="3" t="s">
        <v>79</v>
      </c>
      <c r="I217" s="3" t="s">
        <v>80</v>
      </c>
      <c r="J217" s="3" t="s">
        <v>77</v>
      </c>
      <c r="K217" s="3" t="s">
        <v>78</v>
      </c>
      <c r="L217" s="3" t="s">
        <v>103</v>
      </c>
      <c r="M217" s="3" t="s">
        <v>104</v>
      </c>
      <c r="N217" s="3" t="s">
        <v>77</v>
      </c>
      <c r="O217" s="3" t="s">
        <v>115</v>
      </c>
      <c r="P217" s="3" t="str">
        <f>"STORES                        "</f>
        <v xml:space="preserve">STORES                        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15.46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1</v>
      </c>
      <c r="BI217" s="3">
        <v>1</v>
      </c>
      <c r="BJ217" s="3">
        <v>0.2</v>
      </c>
      <c r="BK217" s="3">
        <v>1</v>
      </c>
      <c r="BL217" s="3">
        <v>59</v>
      </c>
      <c r="BM217" s="3">
        <v>8.85</v>
      </c>
      <c r="BN217" s="3">
        <v>67.849999999999994</v>
      </c>
      <c r="BO217" s="3">
        <v>67.849999999999994</v>
      </c>
      <c r="BQ217" s="3" t="s">
        <v>171</v>
      </c>
      <c r="BR217" s="3" t="s">
        <v>485</v>
      </c>
      <c r="BS217" s="4">
        <v>44568</v>
      </c>
      <c r="BT217" s="5">
        <v>0.36249999999999999</v>
      </c>
      <c r="BU217" s="3" t="s">
        <v>486</v>
      </c>
      <c r="BV217" s="3" t="s">
        <v>95</v>
      </c>
      <c r="BY217" s="3">
        <v>1200</v>
      </c>
      <c r="BZ217" s="3" t="s">
        <v>117</v>
      </c>
      <c r="CA217" s="3" t="s">
        <v>345</v>
      </c>
      <c r="CC217" s="3" t="s">
        <v>104</v>
      </c>
      <c r="CD217" s="3">
        <v>6045</v>
      </c>
      <c r="CE217" s="3" t="s">
        <v>86</v>
      </c>
      <c r="CF217" s="4">
        <v>44571</v>
      </c>
      <c r="CI217" s="3">
        <v>1</v>
      </c>
      <c r="CJ217" s="3">
        <v>1</v>
      </c>
      <c r="CK217" s="3">
        <v>21</v>
      </c>
      <c r="CL217" s="3" t="s">
        <v>87</v>
      </c>
    </row>
    <row r="218" spans="1:90" x14ac:dyDescent="0.2">
      <c r="A218" s="3" t="s">
        <v>72</v>
      </c>
      <c r="B218" s="3" t="s">
        <v>73</v>
      </c>
      <c r="C218" s="3" t="s">
        <v>74</v>
      </c>
      <c r="E218" s="3" t="str">
        <f>"009941567740"</f>
        <v>009941567740</v>
      </c>
      <c r="F218" s="4">
        <v>44567</v>
      </c>
      <c r="G218" s="3">
        <v>202207</v>
      </c>
      <c r="H218" s="3" t="s">
        <v>79</v>
      </c>
      <c r="I218" s="3" t="s">
        <v>80</v>
      </c>
      <c r="J218" s="3" t="s">
        <v>77</v>
      </c>
      <c r="K218" s="3" t="s">
        <v>78</v>
      </c>
      <c r="L218" s="3" t="s">
        <v>317</v>
      </c>
      <c r="M218" s="3" t="s">
        <v>318</v>
      </c>
      <c r="N218" s="3" t="s">
        <v>231</v>
      </c>
      <c r="O218" s="3" t="s">
        <v>81</v>
      </c>
      <c r="P218" s="3" t="str">
        <f>"STORES                        "</f>
        <v xml:space="preserve">STORES                        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61.55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1</v>
      </c>
      <c r="BI218" s="3">
        <v>12.9</v>
      </c>
      <c r="BJ218" s="3">
        <v>24</v>
      </c>
      <c r="BK218" s="3">
        <v>24</v>
      </c>
      <c r="BL218" s="3">
        <v>240.18</v>
      </c>
      <c r="BM218" s="3">
        <v>36.03</v>
      </c>
      <c r="BN218" s="3">
        <v>276.20999999999998</v>
      </c>
      <c r="BO218" s="3">
        <v>276.20999999999998</v>
      </c>
      <c r="BQ218" s="3" t="s">
        <v>366</v>
      </c>
      <c r="BR218" s="3" t="s">
        <v>164</v>
      </c>
      <c r="BS218" s="4">
        <v>44568</v>
      </c>
      <c r="BT218" s="5">
        <v>0.33333333333333331</v>
      </c>
      <c r="BU218" s="3" t="s">
        <v>366</v>
      </c>
      <c r="BV218" s="3" t="s">
        <v>95</v>
      </c>
      <c r="BY218" s="3">
        <v>120020.94</v>
      </c>
      <c r="BZ218" s="3" t="s">
        <v>85</v>
      </c>
      <c r="CC218" s="3" t="s">
        <v>318</v>
      </c>
      <c r="CD218" s="3">
        <v>9700</v>
      </c>
      <c r="CE218" s="3" t="s">
        <v>86</v>
      </c>
      <c r="CF218" s="4">
        <v>44568</v>
      </c>
      <c r="CI218" s="3">
        <v>1</v>
      </c>
      <c r="CJ218" s="3">
        <v>1</v>
      </c>
      <c r="CK218" s="3">
        <v>43</v>
      </c>
      <c r="CL218" s="3" t="s">
        <v>87</v>
      </c>
    </row>
    <row r="219" spans="1:90" x14ac:dyDescent="0.2">
      <c r="A219" s="3" t="s">
        <v>72</v>
      </c>
      <c r="B219" s="3" t="s">
        <v>73</v>
      </c>
      <c r="C219" s="3" t="s">
        <v>74</v>
      </c>
      <c r="E219" s="3" t="str">
        <f>"009941300566"</f>
        <v>009941300566</v>
      </c>
      <c r="F219" s="4">
        <v>44564</v>
      </c>
      <c r="G219" s="3">
        <v>202207</v>
      </c>
      <c r="H219" s="3" t="s">
        <v>75</v>
      </c>
      <c r="I219" s="3" t="s">
        <v>76</v>
      </c>
      <c r="J219" s="3" t="s">
        <v>77</v>
      </c>
      <c r="K219" s="3" t="s">
        <v>78</v>
      </c>
      <c r="L219" s="3" t="s">
        <v>132</v>
      </c>
      <c r="M219" s="3" t="s">
        <v>133</v>
      </c>
      <c r="N219" s="3" t="s">
        <v>77</v>
      </c>
      <c r="O219" s="3" t="s">
        <v>81</v>
      </c>
      <c r="P219" s="3" t="str">
        <f>"                              "</f>
        <v xml:space="preserve">                              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96.03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1</v>
      </c>
      <c r="BI219" s="3">
        <v>29.5</v>
      </c>
      <c r="BJ219" s="3">
        <v>35.299999999999997</v>
      </c>
      <c r="BK219" s="3">
        <v>36</v>
      </c>
      <c r="BL219" s="3">
        <v>347.5</v>
      </c>
      <c r="BM219" s="3">
        <v>52.13</v>
      </c>
      <c r="BN219" s="3">
        <v>399.63</v>
      </c>
      <c r="BO219" s="3">
        <v>399.63</v>
      </c>
      <c r="BR219" s="3" t="s">
        <v>83</v>
      </c>
      <c r="BS219" s="4">
        <v>44565</v>
      </c>
      <c r="BT219" s="5">
        <v>0.34583333333333338</v>
      </c>
      <c r="BU219" s="3" t="s">
        <v>137</v>
      </c>
      <c r="BV219" s="3" t="s">
        <v>95</v>
      </c>
      <c r="BY219" s="3">
        <v>176418</v>
      </c>
      <c r="BZ219" s="3" t="s">
        <v>85</v>
      </c>
      <c r="CA219" s="3" t="s">
        <v>136</v>
      </c>
      <c r="CC219" s="3" t="s">
        <v>133</v>
      </c>
      <c r="CD219" s="3">
        <v>2196</v>
      </c>
      <c r="CE219" s="3" t="s">
        <v>86</v>
      </c>
      <c r="CF219" s="4">
        <v>44566</v>
      </c>
      <c r="CI219" s="3">
        <v>2</v>
      </c>
      <c r="CJ219" s="3">
        <v>1</v>
      </c>
      <c r="CK219" s="3">
        <v>43</v>
      </c>
      <c r="CL219" s="3" t="s">
        <v>87</v>
      </c>
    </row>
    <row r="220" spans="1:90" x14ac:dyDescent="0.2">
      <c r="A220" s="3" t="s">
        <v>72</v>
      </c>
      <c r="B220" s="3" t="s">
        <v>73</v>
      </c>
      <c r="C220" s="3" t="s">
        <v>74</v>
      </c>
      <c r="E220" s="3" t="str">
        <f>"009940361957"</f>
        <v>009940361957</v>
      </c>
      <c r="F220" s="4">
        <v>44564</v>
      </c>
      <c r="G220" s="3">
        <v>202207</v>
      </c>
      <c r="H220" s="3" t="s">
        <v>90</v>
      </c>
      <c r="I220" s="3" t="s">
        <v>91</v>
      </c>
      <c r="J220" s="3" t="s">
        <v>77</v>
      </c>
      <c r="K220" s="3" t="s">
        <v>78</v>
      </c>
      <c r="L220" s="3" t="s">
        <v>132</v>
      </c>
      <c r="M220" s="3" t="s">
        <v>133</v>
      </c>
      <c r="N220" s="3" t="s">
        <v>487</v>
      </c>
      <c r="O220" s="3" t="s">
        <v>81</v>
      </c>
      <c r="P220" s="3" t="str">
        <f>"                              "</f>
        <v xml:space="preserve">                              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32.840000000000003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1</v>
      </c>
      <c r="BI220" s="3">
        <v>1</v>
      </c>
      <c r="BJ220" s="3">
        <v>0.2</v>
      </c>
      <c r="BK220" s="3">
        <v>1</v>
      </c>
      <c r="BL220" s="3">
        <v>122.29</v>
      </c>
      <c r="BM220" s="3">
        <v>18.34</v>
      </c>
      <c r="BN220" s="3">
        <v>140.63</v>
      </c>
      <c r="BO220" s="3">
        <v>140.63</v>
      </c>
      <c r="BQ220" s="3" t="s">
        <v>488</v>
      </c>
      <c r="BR220" s="3" t="s">
        <v>489</v>
      </c>
      <c r="BS220" s="4">
        <v>44565</v>
      </c>
      <c r="BT220" s="5">
        <v>0.34513888888888888</v>
      </c>
      <c r="BU220" s="3" t="s">
        <v>137</v>
      </c>
      <c r="BV220" s="3" t="s">
        <v>95</v>
      </c>
      <c r="BY220" s="3">
        <v>1200</v>
      </c>
      <c r="BZ220" s="3" t="s">
        <v>85</v>
      </c>
      <c r="CA220" s="3" t="s">
        <v>136</v>
      </c>
      <c r="CC220" s="3" t="s">
        <v>133</v>
      </c>
      <c r="CD220" s="3">
        <v>2196</v>
      </c>
      <c r="CE220" s="3" t="s">
        <v>86</v>
      </c>
      <c r="CF220" s="4">
        <v>44566</v>
      </c>
      <c r="CI220" s="3">
        <v>1</v>
      </c>
      <c r="CJ220" s="3">
        <v>1</v>
      </c>
      <c r="CK220" s="3">
        <v>41</v>
      </c>
      <c r="CL220" s="3" t="s">
        <v>87</v>
      </c>
    </row>
    <row r="221" spans="1:90" x14ac:dyDescent="0.2">
      <c r="A221" s="3" t="s">
        <v>72</v>
      </c>
      <c r="B221" s="3" t="s">
        <v>73</v>
      </c>
      <c r="C221" s="3" t="s">
        <v>74</v>
      </c>
      <c r="E221" s="3" t="str">
        <f>"009940734074"</f>
        <v>009940734074</v>
      </c>
      <c r="F221" s="4">
        <v>44564</v>
      </c>
      <c r="G221" s="3">
        <v>202207</v>
      </c>
      <c r="H221" s="3" t="s">
        <v>401</v>
      </c>
      <c r="I221" s="3" t="s">
        <v>402</v>
      </c>
      <c r="J221" s="3" t="s">
        <v>77</v>
      </c>
      <c r="K221" s="3" t="s">
        <v>78</v>
      </c>
      <c r="L221" s="3" t="s">
        <v>79</v>
      </c>
      <c r="M221" s="3" t="s">
        <v>80</v>
      </c>
      <c r="N221" s="3" t="s">
        <v>77</v>
      </c>
      <c r="O221" s="3" t="s">
        <v>81</v>
      </c>
      <c r="P221" s="3" t="str">
        <f>"                              "</f>
        <v xml:space="preserve">                              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15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112.6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1</v>
      </c>
      <c r="BI221" s="3">
        <v>33</v>
      </c>
      <c r="BJ221" s="3">
        <v>42.9</v>
      </c>
      <c r="BK221" s="3">
        <v>43</v>
      </c>
      <c r="BL221" s="3">
        <v>421.56</v>
      </c>
      <c r="BM221" s="3">
        <v>63.23</v>
      </c>
      <c r="BN221" s="3">
        <v>484.79</v>
      </c>
      <c r="BO221" s="3">
        <v>484.79</v>
      </c>
      <c r="BQ221" s="3" t="s">
        <v>82</v>
      </c>
      <c r="BR221" s="3" t="s">
        <v>490</v>
      </c>
      <c r="BS221" s="4">
        <v>44565</v>
      </c>
      <c r="BT221" s="5">
        <v>0.34652777777777777</v>
      </c>
      <c r="BU221" s="3" t="s">
        <v>137</v>
      </c>
      <c r="BV221" s="3" t="s">
        <v>95</v>
      </c>
      <c r="BY221" s="3">
        <v>214400</v>
      </c>
      <c r="BZ221" s="3" t="s">
        <v>491</v>
      </c>
      <c r="CA221" s="3" t="s">
        <v>136</v>
      </c>
      <c r="CC221" s="3" t="s">
        <v>80</v>
      </c>
      <c r="CD221" s="3">
        <v>2146</v>
      </c>
      <c r="CE221" s="3" t="s">
        <v>107</v>
      </c>
      <c r="CF221" s="4">
        <v>44566</v>
      </c>
      <c r="CI221" s="3">
        <v>1</v>
      </c>
      <c r="CJ221" s="3">
        <v>1</v>
      </c>
      <c r="CK221" s="3">
        <v>43</v>
      </c>
      <c r="CL221" s="3" t="s">
        <v>87</v>
      </c>
    </row>
    <row r="222" spans="1:90" x14ac:dyDescent="0.2">
      <c r="A222" s="3" t="s">
        <v>72</v>
      </c>
      <c r="B222" s="3" t="s">
        <v>73</v>
      </c>
      <c r="C222" s="3" t="s">
        <v>74</v>
      </c>
      <c r="E222" s="3" t="str">
        <f>"009941567629"</f>
        <v>009941567629</v>
      </c>
      <c r="F222" s="4">
        <v>44568</v>
      </c>
      <c r="G222" s="3">
        <v>202207</v>
      </c>
      <c r="H222" s="3" t="s">
        <v>79</v>
      </c>
      <c r="I222" s="3" t="s">
        <v>80</v>
      </c>
      <c r="J222" s="3" t="s">
        <v>77</v>
      </c>
      <c r="K222" s="3" t="s">
        <v>78</v>
      </c>
      <c r="L222" s="3" t="s">
        <v>75</v>
      </c>
      <c r="M222" s="3" t="s">
        <v>76</v>
      </c>
      <c r="N222" s="3" t="s">
        <v>231</v>
      </c>
      <c r="O222" s="3" t="s">
        <v>115</v>
      </c>
      <c r="P222" s="3" t="str">
        <f>"LOCKS                         "</f>
        <v xml:space="preserve">LOCKS                         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77.290000000000006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1</v>
      </c>
      <c r="BI222" s="3">
        <v>3.4</v>
      </c>
      <c r="BJ222" s="3">
        <v>5.4</v>
      </c>
      <c r="BK222" s="3">
        <v>5.5</v>
      </c>
      <c r="BL222" s="3">
        <v>295</v>
      </c>
      <c r="BM222" s="3">
        <v>44.25</v>
      </c>
      <c r="BN222" s="3">
        <v>339.25</v>
      </c>
      <c r="BO222" s="3">
        <v>339.25</v>
      </c>
      <c r="BQ222" s="3" t="s">
        <v>341</v>
      </c>
      <c r="BR222" s="3" t="s">
        <v>118</v>
      </c>
      <c r="BS222" s="4">
        <v>44572</v>
      </c>
      <c r="BT222" s="5">
        <v>0.40069444444444446</v>
      </c>
      <c r="BU222" s="3" t="s">
        <v>471</v>
      </c>
      <c r="BV222" s="3" t="s">
        <v>87</v>
      </c>
      <c r="BW222" s="3" t="s">
        <v>183</v>
      </c>
      <c r="BX222" s="3" t="s">
        <v>472</v>
      </c>
      <c r="BY222" s="3">
        <v>26932.75</v>
      </c>
      <c r="BZ222" s="3" t="s">
        <v>117</v>
      </c>
      <c r="CC222" s="3" t="s">
        <v>76</v>
      </c>
      <c r="CD222" s="3">
        <v>3900</v>
      </c>
      <c r="CE222" s="3" t="s">
        <v>86</v>
      </c>
      <c r="CF222" s="4">
        <v>44573</v>
      </c>
      <c r="CI222" s="3">
        <v>1</v>
      </c>
      <c r="CJ222" s="3">
        <v>2</v>
      </c>
      <c r="CK222" s="3">
        <v>23</v>
      </c>
      <c r="CL222" s="3" t="s">
        <v>87</v>
      </c>
    </row>
    <row r="223" spans="1:90" x14ac:dyDescent="0.2">
      <c r="A223" s="3" t="s">
        <v>72</v>
      </c>
      <c r="B223" s="3" t="s">
        <v>73</v>
      </c>
      <c r="C223" s="3" t="s">
        <v>74</v>
      </c>
      <c r="E223" s="3" t="str">
        <f>"009942122825"</f>
        <v>009942122825</v>
      </c>
      <c r="F223" s="4">
        <v>44568</v>
      </c>
      <c r="G223" s="3">
        <v>202207</v>
      </c>
      <c r="H223" s="3" t="s">
        <v>126</v>
      </c>
      <c r="I223" s="3" t="s">
        <v>127</v>
      </c>
      <c r="J223" s="3" t="s">
        <v>77</v>
      </c>
      <c r="K223" s="3" t="s">
        <v>78</v>
      </c>
      <c r="L223" s="3" t="s">
        <v>79</v>
      </c>
      <c r="M223" s="3" t="s">
        <v>80</v>
      </c>
      <c r="N223" s="3" t="s">
        <v>77</v>
      </c>
      <c r="O223" s="3" t="s">
        <v>81</v>
      </c>
      <c r="P223" s="3" t="str">
        <f>"                              "</f>
        <v xml:space="preserve">                              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223.29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4</v>
      </c>
      <c r="BI223" s="3">
        <v>122.3</v>
      </c>
      <c r="BJ223" s="3">
        <v>171.4</v>
      </c>
      <c r="BK223" s="3">
        <v>172</v>
      </c>
      <c r="BL223" s="3">
        <v>857.53</v>
      </c>
      <c r="BM223" s="3">
        <v>128.63</v>
      </c>
      <c r="BN223" s="3">
        <v>986.16</v>
      </c>
      <c r="BO223" s="3">
        <v>986.16</v>
      </c>
      <c r="BR223" s="3" t="s">
        <v>132</v>
      </c>
      <c r="BS223" s="4">
        <v>44571</v>
      </c>
      <c r="BT223" s="5">
        <v>0.41805555555555557</v>
      </c>
      <c r="BU223" s="3" t="s">
        <v>135</v>
      </c>
      <c r="BV223" s="3" t="s">
        <v>95</v>
      </c>
      <c r="BY223" s="3">
        <v>857112</v>
      </c>
      <c r="BZ223" s="3" t="s">
        <v>85</v>
      </c>
      <c r="CA223" s="3" t="s">
        <v>136</v>
      </c>
      <c r="CC223" s="3" t="s">
        <v>80</v>
      </c>
      <c r="CD223" s="3">
        <v>2146</v>
      </c>
      <c r="CE223" s="3" t="s">
        <v>86</v>
      </c>
      <c r="CF223" s="4">
        <v>44571</v>
      </c>
      <c r="CI223" s="3">
        <v>3</v>
      </c>
      <c r="CJ223" s="3">
        <v>1</v>
      </c>
      <c r="CK223" s="3">
        <v>41</v>
      </c>
      <c r="CL223" s="3" t="s">
        <v>87</v>
      </c>
    </row>
    <row r="224" spans="1:90" x14ac:dyDescent="0.2">
      <c r="A224" s="3" t="s">
        <v>72</v>
      </c>
      <c r="B224" s="3" t="s">
        <v>73</v>
      </c>
      <c r="C224" s="3" t="s">
        <v>74</v>
      </c>
      <c r="E224" s="3" t="str">
        <f>"009941567739"</f>
        <v>009941567739</v>
      </c>
      <c r="F224" s="4">
        <v>44568</v>
      </c>
      <c r="G224" s="3">
        <v>202207</v>
      </c>
      <c r="H224" s="3" t="s">
        <v>79</v>
      </c>
      <c r="I224" s="3" t="s">
        <v>80</v>
      </c>
      <c r="J224" s="3" t="s">
        <v>77</v>
      </c>
      <c r="K224" s="3" t="s">
        <v>78</v>
      </c>
      <c r="L224" s="3" t="s">
        <v>251</v>
      </c>
      <c r="M224" s="3" t="s">
        <v>252</v>
      </c>
      <c r="N224" s="3" t="s">
        <v>231</v>
      </c>
      <c r="O224" s="3" t="s">
        <v>115</v>
      </c>
      <c r="P224" s="3" t="str">
        <f>"STORES                        "</f>
        <v xml:space="preserve">STORES                        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29.95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1</v>
      </c>
      <c r="BI224" s="3">
        <v>1</v>
      </c>
      <c r="BJ224" s="3">
        <v>0.2</v>
      </c>
      <c r="BK224" s="3">
        <v>1</v>
      </c>
      <c r="BL224" s="3">
        <v>114.31</v>
      </c>
      <c r="BM224" s="3">
        <v>17.149999999999999</v>
      </c>
      <c r="BN224" s="3">
        <v>131.46</v>
      </c>
      <c r="BO224" s="3">
        <v>131.46</v>
      </c>
      <c r="BQ224" s="3" t="s">
        <v>492</v>
      </c>
      <c r="BR224" s="3" t="s">
        <v>118</v>
      </c>
      <c r="BS224" s="4">
        <v>44568</v>
      </c>
      <c r="BT224" s="5">
        <v>0.58333333333333337</v>
      </c>
      <c r="BU224" s="3" t="s">
        <v>493</v>
      </c>
      <c r="BV224" s="3" t="s">
        <v>95</v>
      </c>
      <c r="BY224" s="3">
        <v>1200</v>
      </c>
      <c r="BZ224" s="3" t="s">
        <v>117</v>
      </c>
      <c r="CC224" s="3" t="s">
        <v>252</v>
      </c>
      <c r="CD224" s="3">
        <v>9459</v>
      </c>
      <c r="CE224" s="3" t="s">
        <v>86</v>
      </c>
      <c r="CF224" s="4">
        <v>44573</v>
      </c>
      <c r="CI224" s="3">
        <v>1</v>
      </c>
      <c r="CJ224" s="3">
        <v>0</v>
      </c>
      <c r="CK224" s="3">
        <v>23</v>
      </c>
      <c r="CL224" s="3" t="s">
        <v>87</v>
      </c>
    </row>
    <row r="225" spans="1:90" x14ac:dyDescent="0.2">
      <c r="A225" s="3" t="s">
        <v>72</v>
      </c>
      <c r="B225" s="3" t="s">
        <v>73</v>
      </c>
      <c r="C225" s="3" t="s">
        <v>74</v>
      </c>
      <c r="E225" s="3" t="str">
        <f>"009941621979"</f>
        <v>009941621979</v>
      </c>
      <c r="F225" s="4">
        <v>44568</v>
      </c>
      <c r="G225" s="3">
        <v>202207</v>
      </c>
      <c r="H225" s="3" t="s">
        <v>79</v>
      </c>
      <c r="I225" s="3" t="s">
        <v>80</v>
      </c>
      <c r="J225" s="3" t="s">
        <v>77</v>
      </c>
      <c r="K225" s="3" t="s">
        <v>78</v>
      </c>
      <c r="L225" s="3" t="s">
        <v>97</v>
      </c>
      <c r="M225" s="3" t="s">
        <v>98</v>
      </c>
      <c r="N225" s="3" t="s">
        <v>231</v>
      </c>
      <c r="O225" s="3" t="s">
        <v>81</v>
      </c>
      <c r="P225" s="3" t="str">
        <f>"STORES                        "</f>
        <v xml:space="preserve">STORES                        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82.86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3">
        <v>0</v>
      </c>
      <c r="BH225" s="3">
        <v>2</v>
      </c>
      <c r="BI225" s="3">
        <v>57.4</v>
      </c>
      <c r="BJ225" s="3">
        <v>43.6</v>
      </c>
      <c r="BK225" s="3">
        <v>58</v>
      </c>
      <c r="BL225" s="3">
        <v>321.52</v>
      </c>
      <c r="BM225" s="3">
        <v>48.23</v>
      </c>
      <c r="BN225" s="3">
        <v>369.75</v>
      </c>
      <c r="BO225" s="3">
        <v>369.75</v>
      </c>
      <c r="BQ225" s="3" t="s">
        <v>100</v>
      </c>
      <c r="BR225" s="3" t="s">
        <v>118</v>
      </c>
      <c r="BS225" s="4">
        <v>44571</v>
      </c>
      <c r="BT225" s="5">
        <v>0.41597222222222219</v>
      </c>
      <c r="BU225" s="3" t="s">
        <v>220</v>
      </c>
      <c r="BV225" s="3" t="s">
        <v>95</v>
      </c>
      <c r="BY225" s="3">
        <v>217906.97</v>
      </c>
      <c r="BZ225" s="3" t="s">
        <v>85</v>
      </c>
      <c r="CA225" s="3" t="s">
        <v>223</v>
      </c>
      <c r="CC225" s="3" t="s">
        <v>98</v>
      </c>
      <c r="CD225" s="3">
        <v>8001</v>
      </c>
      <c r="CE225" s="3" t="s">
        <v>86</v>
      </c>
      <c r="CF225" s="4">
        <v>44572</v>
      </c>
      <c r="CI225" s="3">
        <v>2</v>
      </c>
      <c r="CJ225" s="3">
        <v>1</v>
      </c>
      <c r="CK225" s="3">
        <v>41</v>
      </c>
      <c r="CL225" s="3" t="s">
        <v>87</v>
      </c>
    </row>
    <row r="226" spans="1:90" x14ac:dyDescent="0.2">
      <c r="A226" s="3" t="s">
        <v>72</v>
      </c>
      <c r="B226" s="3" t="s">
        <v>73</v>
      </c>
      <c r="C226" s="3" t="s">
        <v>74</v>
      </c>
      <c r="E226" s="3" t="str">
        <f>"009941856081"</f>
        <v>009941856081</v>
      </c>
      <c r="F226" s="4">
        <v>44568</v>
      </c>
      <c r="G226" s="3">
        <v>202207</v>
      </c>
      <c r="H226" s="3" t="s">
        <v>79</v>
      </c>
      <c r="I226" s="3" t="s">
        <v>80</v>
      </c>
      <c r="J226" s="3" t="s">
        <v>77</v>
      </c>
      <c r="K226" s="3" t="s">
        <v>78</v>
      </c>
      <c r="L226" s="3" t="s">
        <v>97</v>
      </c>
      <c r="M226" s="3" t="s">
        <v>98</v>
      </c>
      <c r="N226" s="3" t="s">
        <v>231</v>
      </c>
      <c r="O226" s="3" t="s">
        <v>115</v>
      </c>
      <c r="P226" s="3" t="str">
        <f>"LOCKS                         "</f>
        <v xml:space="preserve">LOCKS                         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38.630000000000003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0</v>
      </c>
      <c r="BH226" s="3">
        <v>1</v>
      </c>
      <c r="BI226" s="3">
        <v>0.7</v>
      </c>
      <c r="BJ226" s="3">
        <v>4.5999999999999996</v>
      </c>
      <c r="BK226" s="3">
        <v>5</v>
      </c>
      <c r="BL226" s="3">
        <v>147.44999999999999</v>
      </c>
      <c r="BM226" s="3">
        <v>22.12</v>
      </c>
      <c r="BN226" s="3">
        <v>169.57</v>
      </c>
      <c r="BO226" s="3">
        <v>169.57</v>
      </c>
      <c r="BQ226" s="3" t="s">
        <v>100</v>
      </c>
      <c r="BR226" s="3" t="s">
        <v>232</v>
      </c>
      <c r="BS226" s="4">
        <v>44571</v>
      </c>
      <c r="BT226" s="5">
        <v>0.34166666666666662</v>
      </c>
      <c r="BU226" s="3" t="s">
        <v>494</v>
      </c>
      <c r="BV226" s="3" t="s">
        <v>95</v>
      </c>
      <c r="BY226" s="3">
        <v>22827.35</v>
      </c>
      <c r="BZ226" s="3" t="s">
        <v>117</v>
      </c>
      <c r="CA226" s="3" t="s">
        <v>456</v>
      </c>
      <c r="CC226" s="3" t="s">
        <v>98</v>
      </c>
      <c r="CD226" s="3">
        <v>7700</v>
      </c>
      <c r="CE226" s="3" t="s">
        <v>86</v>
      </c>
      <c r="CF226" s="4">
        <v>44572</v>
      </c>
      <c r="CI226" s="3">
        <v>1</v>
      </c>
      <c r="CJ226" s="3">
        <v>1</v>
      </c>
      <c r="CK226" s="3">
        <v>21</v>
      </c>
      <c r="CL226" s="3" t="s">
        <v>87</v>
      </c>
    </row>
    <row r="227" spans="1:90" x14ac:dyDescent="0.2">
      <c r="A227" s="3" t="s">
        <v>72</v>
      </c>
      <c r="B227" s="3" t="s">
        <v>73</v>
      </c>
      <c r="C227" s="3" t="s">
        <v>74</v>
      </c>
      <c r="E227" s="3" t="str">
        <f>"009941618586"</f>
        <v>009941618586</v>
      </c>
      <c r="F227" s="4">
        <v>44568</v>
      </c>
      <c r="G227" s="3">
        <v>202207</v>
      </c>
      <c r="H227" s="3" t="s">
        <v>79</v>
      </c>
      <c r="I227" s="3" t="s">
        <v>80</v>
      </c>
      <c r="J227" s="3" t="s">
        <v>77</v>
      </c>
      <c r="K227" s="3" t="s">
        <v>78</v>
      </c>
      <c r="L227" s="3" t="s">
        <v>112</v>
      </c>
      <c r="M227" s="3" t="s">
        <v>113</v>
      </c>
      <c r="N227" s="3" t="s">
        <v>231</v>
      </c>
      <c r="O227" s="3" t="s">
        <v>81</v>
      </c>
      <c r="P227" s="3" t="str">
        <f>"STORES                        "</f>
        <v xml:space="preserve">STORES                        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42.16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3">
        <v>0</v>
      </c>
      <c r="BH227" s="3">
        <v>1</v>
      </c>
      <c r="BI227" s="3">
        <v>1.7</v>
      </c>
      <c r="BJ227" s="3">
        <v>5.5</v>
      </c>
      <c r="BK227" s="3">
        <v>6</v>
      </c>
      <c r="BL227" s="3">
        <v>166.16</v>
      </c>
      <c r="BM227" s="3">
        <v>24.92</v>
      </c>
      <c r="BN227" s="3">
        <v>191.08</v>
      </c>
      <c r="BO227" s="3">
        <v>191.08</v>
      </c>
      <c r="BQ227" s="3" t="s">
        <v>116</v>
      </c>
      <c r="BR227" s="3" t="s">
        <v>118</v>
      </c>
      <c r="BS227" s="4">
        <v>44571</v>
      </c>
      <c r="BT227" s="5">
        <v>0.34722222222222227</v>
      </c>
      <c r="BU227" s="3" t="s">
        <v>235</v>
      </c>
      <c r="BV227" s="3" t="s">
        <v>95</v>
      </c>
      <c r="BY227" s="3">
        <v>27547.65</v>
      </c>
      <c r="BZ227" s="3" t="s">
        <v>85</v>
      </c>
      <c r="CA227" s="3" t="s">
        <v>236</v>
      </c>
      <c r="CC227" s="3" t="s">
        <v>113</v>
      </c>
      <c r="CD227" s="3">
        <v>300</v>
      </c>
      <c r="CE227" s="3" t="s">
        <v>86</v>
      </c>
      <c r="CF227" s="4">
        <v>44571</v>
      </c>
      <c r="CI227" s="3">
        <v>1</v>
      </c>
      <c r="CJ227" s="3">
        <v>1</v>
      </c>
      <c r="CK227" s="3">
        <v>43</v>
      </c>
      <c r="CL227" s="3" t="s">
        <v>87</v>
      </c>
    </row>
    <row r="228" spans="1:90" x14ac:dyDescent="0.2">
      <c r="A228" s="3" t="s">
        <v>72</v>
      </c>
      <c r="B228" s="3" t="s">
        <v>73</v>
      </c>
      <c r="C228" s="3" t="s">
        <v>74</v>
      </c>
      <c r="E228" s="3" t="str">
        <f>"009940237767"</f>
        <v>009940237767</v>
      </c>
      <c r="F228" s="4">
        <v>44568</v>
      </c>
      <c r="G228" s="3">
        <v>202207</v>
      </c>
      <c r="H228" s="3" t="s">
        <v>79</v>
      </c>
      <c r="I228" s="3" t="s">
        <v>80</v>
      </c>
      <c r="J228" s="3" t="s">
        <v>77</v>
      </c>
      <c r="K228" s="3" t="s">
        <v>78</v>
      </c>
      <c r="L228" s="3" t="s">
        <v>90</v>
      </c>
      <c r="M228" s="3" t="s">
        <v>91</v>
      </c>
      <c r="N228" s="3" t="s">
        <v>231</v>
      </c>
      <c r="O228" s="3" t="s">
        <v>81</v>
      </c>
      <c r="P228" s="3" t="str">
        <f>"STORES                        "</f>
        <v xml:space="preserve">STORES                        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238.07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2</v>
      </c>
      <c r="BI228" s="3">
        <v>90.9</v>
      </c>
      <c r="BJ228" s="3">
        <v>183.7</v>
      </c>
      <c r="BK228" s="3">
        <v>184</v>
      </c>
      <c r="BL228" s="3">
        <v>913.95</v>
      </c>
      <c r="BM228" s="3">
        <v>137.09</v>
      </c>
      <c r="BN228" s="3">
        <v>1051.04</v>
      </c>
      <c r="BO228" s="3">
        <v>1051.04</v>
      </c>
      <c r="BQ228" s="3" t="s">
        <v>269</v>
      </c>
      <c r="BR228" s="3" t="s">
        <v>164</v>
      </c>
      <c r="BS228" s="4">
        <v>44571</v>
      </c>
      <c r="BT228" s="5">
        <v>0.40625</v>
      </c>
      <c r="BU228" s="3" t="s">
        <v>148</v>
      </c>
      <c r="BV228" s="3" t="s">
        <v>95</v>
      </c>
      <c r="BY228" s="3">
        <v>918692.52</v>
      </c>
      <c r="BZ228" s="3" t="s">
        <v>85</v>
      </c>
      <c r="CA228" s="3" t="s">
        <v>96</v>
      </c>
      <c r="CC228" s="3" t="s">
        <v>91</v>
      </c>
      <c r="CD228" s="3">
        <v>699</v>
      </c>
      <c r="CE228" s="3" t="s">
        <v>86</v>
      </c>
      <c r="CF228" s="4">
        <v>44571</v>
      </c>
      <c r="CI228" s="3">
        <v>1</v>
      </c>
      <c r="CJ228" s="3">
        <v>1</v>
      </c>
      <c r="CK228" s="3">
        <v>41</v>
      </c>
      <c r="CL228" s="3" t="s">
        <v>87</v>
      </c>
    </row>
    <row r="229" spans="1:90" x14ac:dyDescent="0.2">
      <c r="A229" s="3" t="s">
        <v>72</v>
      </c>
      <c r="B229" s="3" t="s">
        <v>73</v>
      </c>
      <c r="C229" s="3" t="s">
        <v>74</v>
      </c>
      <c r="E229" s="3" t="str">
        <f>"009941618904"</f>
        <v>009941618904</v>
      </c>
      <c r="F229" s="4">
        <v>44568</v>
      </c>
      <c r="G229" s="3">
        <v>202207</v>
      </c>
      <c r="H229" s="3" t="s">
        <v>79</v>
      </c>
      <c r="I229" s="3" t="s">
        <v>80</v>
      </c>
      <c r="J229" s="3" t="s">
        <v>77</v>
      </c>
      <c r="K229" s="3" t="s">
        <v>78</v>
      </c>
      <c r="L229" s="3" t="s">
        <v>123</v>
      </c>
      <c r="M229" s="3" t="s">
        <v>124</v>
      </c>
      <c r="N229" s="3" t="s">
        <v>237</v>
      </c>
      <c r="O229" s="3" t="s">
        <v>81</v>
      </c>
      <c r="P229" s="3" t="str">
        <f>"STORES                        "</f>
        <v xml:space="preserve">STORES                        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167.14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1</v>
      </c>
      <c r="BI229" s="3">
        <v>7</v>
      </c>
      <c r="BJ229" s="3">
        <v>72.3</v>
      </c>
      <c r="BK229" s="3">
        <v>73</v>
      </c>
      <c r="BL229" s="3">
        <v>643.20000000000005</v>
      </c>
      <c r="BM229" s="3">
        <v>96.48</v>
      </c>
      <c r="BN229" s="3">
        <v>739.68</v>
      </c>
      <c r="BO229" s="3">
        <v>739.68</v>
      </c>
      <c r="BQ229" s="3" t="s">
        <v>163</v>
      </c>
      <c r="BR229" s="3" t="s">
        <v>164</v>
      </c>
      <c r="BS229" s="4">
        <v>44571</v>
      </c>
      <c r="BT229" s="5">
        <v>0.44166666666666665</v>
      </c>
      <c r="BU229" s="3" t="s">
        <v>305</v>
      </c>
      <c r="BV229" s="3" t="s">
        <v>95</v>
      </c>
      <c r="BY229" s="3">
        <v>361259.71</v>
      </c>
      <c r="BZ229" s="3" t="s">
        <v>85</v>
      </c>
      <c r="CA229" s="3" t="s">
        <v>203</v>
      </c>
      <c r="CC229" s="3" t="s">
        <v>124</v>
      </c>
      <c r="CD229" s="3">
        <v>1034</v>
      </c>
      <c r="CE229" s="3" t="s">
        <v>86</v>
      </c>
      <c r="CF229" s="4">
        <v>44571</v>
      </c>
      <c r="CI229" s="3">
        <v>1</v>
      </c>
      <c r="CJ229" s="3">
        <v>1</v>
      </c>
      <c r="CK229" s="3">
        <v>43</v>
      </c>
      <c r="CL229" s="3" t="s">
        <v>87</v>
      </c>
    </row>
    <row r="230" spans="1:90" x14ac:dyDescent="0.2">
      <c r="A230" s="3" t="s">
        <v>72</v>
      </c>
      <c r="B230" s="3" t="s">
        <v>73</v>
      </c>
      <c r="C230" s="3" t="s">
        <v>74</v>
      </c>
      <c r="E230" s="3" t="str">
        <f>"009941856380"</f>
        <v>009941856380</v>
      </c>
      <c r="F230" s="4">
        <v>44568</v>
      </c>
      <c r="G230" s="3">
        <v>202207</v>
      </c>
      <c r="H230" s="3" t="s">
        <v>79</v>
      </c>
      <c r="I230" s="3" t="s">
        <v>80</v>
      </c>
      <c r="J230" s="3" t="s">
        <v>77</v>
      </c>
      <c r="K230" s="3" t="s">
        <v>78</v>
      </c>
      <c r="L230" s="3" t="s">
        <v>123</v>
      </c>
      <c r="M230" s="3" t="s">
        <v>124</v>
      </c>
      <c r="N230" s="3" t="s">
        <v>231</v>
      </c>
      <c r="O230" s="3" t="s">
        <v>115</v>
      </c>
      <c r="P230" s="3" t="str">
        <f>"LOCKS                         "</f>
        <v xml:space="preserve">LOCKS                         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70.52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0</v>
      </c>
      <c r="BH230" s="3">
        <v>1</v>
      </c>
      <c r="BI230" s="3">
        <v>0.6</v>
      </c>
      <c r="BJ230" s="3">
        <v>5</v>
      </c>
      <c r="BK230" s="3">
        <v>5</v>
      </c>
      <c r="BL230" s="3">
        <v>269.18</v>
      </c>
      <c r="BM230" s="3">
        <v>40.380000000000003</v>
      </c>
      <c r="BN230" s="3">
        <v>309.56</v>
      </c>
      <c r="BO230" s="3">
        <v>309.56</v>
      </c>
      <c r="BQ230" s="3" t="s">
        <v>163</v>
      </c>
      <c r="BR230" s="3" t="s">
        <v>232</v>
      </c>
      <c r="BS230" s="4">
        <v>44571</v>
      </c>
      <c r="BT230" s="5">
        <v>0.4375</v>
      </c>
      <c r="BU230" s="3" t="s">
        <v>305</v>
      </c>
      <c r="BV230" s="3" t="s">
        <v>95</v>
      </c>
      <c r="BY230" s="3">
        <v>24862.09</v>
      </c>
      <c r="BZ230" s="3" t="s">
        <v>117</v>
      </c>
      <c r="CA230" s="3" t="s">
        <v>203</v>
      </c>
      <c r="CC230" s="3" t="s">
        <v>124</v>
      </c>
      <c r="CD230" s="3">
        <v>1034</v>
      </c>
      <c r="CE230" s="3" t="s">
        <v>86</v>
      </c>
      <c r="CF230" s="4">
        <v>44571</v>
      </c>
      <c r="CI230" s="3">
        <v>1</v>
      </c>
      <c r="CJ230" s="3">
        <v>1</v>
      </c>
      <c r="CK230" s="3">
        <v>23</v>
      </c>
      <c r="CL230" s="3" t="s">
        <v>87</v>
      </c>
    </row>
    <row r="231" spans="1:90" x14ac:dyDescent="0.2">
      <c r="A231" s="3" t="s">
        <v>72</v>
      </c>
      <c r="B231" s="3" t="s">
        <v>73</v>
      </c>
      <c r="C231" s="3" t="s">
        <v>74</v>
      </c>
      <c r="E231" s="3" t="str">
        <f>"009942452827"</f>
        <v>009942452827</v>
      </c>
      <c r="F231" s="4">
        <v>44568</v>
      </c>
      <c r="G231" s="3">
        <v>202207</v>
      </c>
      <c r="H231" s="3" t="s">
        <v>317</v>
      </c>
      <c r="I231" s="3" t="s">
        <v>318</v>
      </c>
      <c r="J231" s="3" t="s">
        <v>77</v>
      </c>
      <c r="K231" s="3" t="s">
        <v>78</v>
      </c>
      <c r="L231" s="3" t="s">
        <v>132</v>
      </c>
      <c r="M231" s="3" t="s">
        <v>133</v>
      </c>
      <c r="N231" s="3" t="s">
        <v>77</v>
      </c>
      <c r="O231" s="3" t="s">
        <v>81</v>
      </c>
      <c r="P231" s="3" t="str">
        <f>"                              "</f>
        <v xml:space="preserve">                              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63.7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1</v>
      </c>
      <c r="BI231" s="3">
        <v>2</v>
      </c>
      <c r="BJ231" s="3">
        <v>24.1</v>
      </c>
      <c r="BK231" s="3">
        <v>25</v>
      </c>
      <c r="BL231" s="3">
        <v>248.4</v>
      </c>
      <c r="BM231" s="3">
        <v>37.26</v>
      </c>
      <c r="BN231" s="3">
        <v>285.66000000000003</v>
      </c>
      <c r="BO231" s="3">
        <v>285.66000000000003</v>
      </c>
      <c r="BQ231" s="3" t="s">
        <v>191</v>
      </c>
      <c r="BR231" s="3" t="s">
        <v>366</v>
      </c>
      <c r="BS231" s="4">
        <v>44571</v>
      </c>
      <c r="BT231" s="5">
        <v>0.41875000000000001</v>
      </c>
      <c r="BU231" s="3" t="s">
        <v>135</v>
      </c>
      <c r="BV231" s="3" t="s">
        <v>95</v>
      </c>
      <c r="BY231" s="3">
        <v>120528</v>
      </c>
      <c r="BZ231" s="3" t="s">
        <v>85</v>
      </c>
      <c r="CA231" s="3" t="s">
        <v>136</v>
      </c>
      <c r="CC231" s="3" t="s">
        <v>133</v>
      </c>
      <c r="CD231" s="3">
        <v>2196</v>
      </c>
      <c r="CE231" s="3" t="s">
        <v>86</v>
      </c>
      <c r="CF231" s="4">
        <v>44571</v>
      </c>
      <c r="CI231" s="3">
        <v>1</v>
      </c>
      <c r="CJ231" s="3">
        <v>1</v>
      </c>
      <c r="CK231" s="3">
        <v>43</v>
      </c>
      <c r="CL231" s="3" t="s">
        <v>87</v>
      </c>
    </row>
    <row r="232" spans="1:90" x14ac:dyDescent="0.2">
      <c r="A232" s="3" t="s">
        <v>72</v>
      </c>
      <c r="B232" s="3" t="s">
        <v>73</v>
      </c>
      <c r="C232" s="3" t="s">
        <v>74</v>
      </c>
      <c r="E232" s="3" t="str">
        <f>"009940746419"</f>
        <v>009940746419</v>
      </c>
      <c r="F232" s="4">
        <v>44565</v>
      </c>
      <c r="G232" s="3">
        <v>202207</v>
      </c>
      <c r="H232" s="3" t="s">
        <v>97</v>
      </c>
      <c r="I232" s="3" t="s">
        <v>98</v>
      </c>
      <c r="J232" s="3" t="s">
        <v>77</v>
      </c>
      <c r="K232" s="3" t="s">
        <v>78</v>
      </c>
      <c r="L232" s="3" t="s">
        <v>79</v>
      </c>
      <c r="M232" s="3" t="s">
        <v>80</v>
      </c>
      <c r="N232" s="3" t="s">
        <v>77</v>
      </c>
      <c r="O232" s="3" t="s">
        <v>81</v>
      </c>
      <c r="P232" s="3" t="str">
        <f>"                              "</f>
        <v xml:space="preserve">                              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61.26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0</v>
      </c>
      <c r="BE232" s="3">
        <v>0</v>
      </c>
      <c r="BF232" s="3">
        <v>0</v>
      </c>
      <c r="BG232" s="3">
        <v>0</v>
      </c>
      <c r="BH232" s="3">
        <v>1</v>
      </c>
      <c r="BI232" s="3">
        <v>36</v>
      </c>
      <c r="BJ232" s="3">
        <v>14.9</v>
      </c>
      <c r="BK232" s="3">
        <v>36</v>
      </c>
      <c r="BL232" s="3">
        <v>223.58</v>
      </c>
      <c r="BM232" s="3">
        <v>33.54</v>
      </c>
      <c r="BN232" s="3">
        <v>257.12</v>
      </c>
      <c r="BO232" s="3">
        <v>257.12</v>
      </c>
      <c r="BQ232" s="3" t="s">
        <v>99</v>
      </c>
      <c r="BR232" s="3" t="s">
        <v>100</v>
      </c>
      <c r="BS232" s="4">
        <v>44568</v>
      </c>
      <c r="BT232" s="5">
        <v>0.44930555555555557</v>
      </c>
      <c r="BU232" s="3" t="s">
        <v>238</v>
      </c>
      <c r="BV232" s="3" t="s">
        <v>87</v>
      </c>
      <c r="BW232" s="3" t="s">
        <v>218</v>
      </c>
      <c r="BX232" s="3" t="s">
        <v>495</v>
      </c>
      <c r="BY232" s="3">
        <v>74480</v>
      </c>
      <c r="BZ232" s="3" t="s">
        <v>85</v>
      </c>
      <c r="CA232" s="3" t="s">
        <v>136</v>
      </c>
      <c r="CC232" s="3" t="s">
        <v>80</v>
      </c>
      <c r="CD232" s="3">
        <v>2146</v>
      </c>
      <c r="CE232" s="3" t="s">
        <v>86</v>
      </c>
      <c r="CF232" s="4">
        <v>44569</v>
      </c>
      <c r="CI232" s="3">
        <v>2</v>
      </c>
      <c r="CJ232" s="3">
        <v>3</v>
      </c>
      <c r="CK232" s="3">
        <v>41</v>
      </c>
      <c r="CL232" s="3" t="s">
        <v>87</v>
      </c>
    </row>
    <row r="233" spans="1:90" x14ac:dyDescent="0.2">
      <c r="A233" s="3" t="s">
        <v>72</v>
      </c>
      <c r="B233" s="3" t="s">
        <v>73</v>
      </c>
      <c r="C233" s="3" t="s">
        <v>74</v>
      </c>
      <c r="E233" s="3" t="str">
        <f>"009942537381"</f>
        <v>009942537381</v>
      </c>
      <c r="F233" s="4">
        <v>44568</v>
      </c>
      <c r="G233" s="3">
        <v>202207</v>
      </c>
      <c r="H233" s="3" t="s">
        <v>123</v>
      </c>
      <c r="I233" s="3" t="s">
        <v>124</v>
      </c>
      <c r="J233" s="3" t="s">
        <v>162</v>
      </c>
      <c r="K233" s="3" t="s">
        <v>78</v>
      </c>
      <c r="L233" s="3" t="s">
        <v>132</v>
      </c>
      <c r="M233" s="3" t="s">
        <v>133</v>
      </c>
      <c r="N233" s="3" t="s">
        <v>77</v>
      </c>
      <c r="O233" s="3" t="s">
        <v>81</v>
      </c>
      <c r="P233" s="3" t="str">
        <f>"083 601 5869                  "</f>
        <v xml:space="preserve">083 601 5869                  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42.16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15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3">
        <v>0</v>
      </c>
      <c r="BH233" s="3">
        <v>1</v>
      </c>
      <c r="BI233" s="3">
        <v>1</v>
      </c>
      <c r="BJ233" s="3">
        <v>0.2</v>
      </c>
      <c r="BK233" s="3">
        <v>1</v>
      </c>
      <c r="BL233" s="3">
        <v>181.16</v>
      </c>
      <c r="BM233" s="3">
        <v>27.17</v>
      </c>
      <c r="BN233" s="3">
        <v>208.33</v>
      </c>
      <c r="BO233" s="3">
        <v>208.33</v>
      </c>
      <c r="BQ233" s="3" t="s">
        <v>496</v>
      </c>
      <c r="BR233" s="3" t="s">
        <v>283</v>
      </c>
      <c r="BS233" s="4">
        <v>44571</v>
      </c>
      <c r="BT233" s="5">
        <v>0.36527777777777781</v>
      </c>
      <c r="BU233" s="3" t="s">
        <v>497</v>
      </c>
      <c r="BV233" s="3" t="s">
        <v>95</v>
      </c>
      <c r="BY233" s="3">
        <v>1200</v>
      </c>
      <c r="BZ233" s="3" t="s">
        <v>230</v>
      </c>
      <c r="CA233" s="3" t="s">
        <v>478</v>
      </c>
      <c r="CC233" s="3" t="s">
        <v>133</v>
      </c>
      <c r="CD233" s="3">
        <v>2000</v>
      </c>
      <c r="CE233" s="3" t="s">
        <v>86</v>
      </c>
      <c r="CF233" s="4">
        <v>44571</v>
      </c>
      <c r="CI233" s="3">
        <v>1</v>
      </c>
      <c r="CJ233" s="3">
        <v>1</v>
      </c>
      <c r="CK233" s="3">
        <v>43</v>
      </c>
      <c r="CL233" s="3" t="s">
        <v>87</v>
      </c>
    </row>
    <row r="234" spans="1:90" x14ac:dyDescent="0.2">
      <c r="A234" s="3" t="s">
        <v>72</v>
      </c>
      <c r="B234" s="3" t="s">
        <v>73</v>
      </c>
      <c r="C234" s="3" t="s">
        <v>74</v>
      </c>
      <c r="E234" s="3" t="str">
        <f>"009942541418"</f>
        <v>009942541418</v>
      </c>
      <c r="F234" s="4">
        <v>44571</v>
      </c>
      <c r="G234" s="3">
        <v>202207</v>
      </c>
      <c r="H234" s="3" t="s">
        <v>101</v>
      </c>
      <c r="I234" s="3" t="s">
        <v>102</v>
      </c>
      <c r="J234" s="3" t="s">
        <v>77</v>
      </c>
      <c r="K234" s="3" t="s">
        <v>78</v>
      </c>
      <c r="L234" s="3" t="s">
        <v>103</v>
      </c>
      <c r="M234" s="3" t="s">
        <v>104</v>
      </c>
      <c r="N234" s="3" t="s">
        <v>77</v>
      </c>
      <c r="O234" s="3" t="s">
        <v>81</v>
      </c>
      <c r="P234" s="3" t="str">
        <f>"                              "</f>
        <v xml:space="preserve">                              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177.91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3">
        <v>0</v>
      </c>
      <c r="BH234" s="3">
        <v>2</v>
      </c>
      <c r="BI234" s="3">
        <v>4</v>
      </c>
      <c r="BJ234" s="3">
        <v>78</v>
      </c>
      <c r="BK234" s="3">
        <v>78</v>
      </c>
      <c r="BL234" s="3">
        <v>684.32</v>
      </c>
      <c r="BM234" s="3">
        <v>102.65</v>
      </c>
      <c r="BN234" s="3">
        <v>786.97</v>
      </c>
      <c r="BO234" s="3">
        <v>786.97</v>
      </c>
      <c r="BQ234" s="3" t="s">
        <v>498</v>
      </c>
      <c r="BR234" s="3" t="s">
        <v>106</v>
      </c>
      <c r="BS234" s="4">
        <v>44574</v>
      </c>
      <c r="BT234" s="5">
        <v>0.53402777777777777</v>
      </c>
      <c r="BU234" s="3" t="s">
        <v>173</v>
      </c>
      <c r="BV234" s="3" t="s">
        <v>95</v>
      </c>
      <c r="BY234" s="3">
        <v>195000</v>
      </c>
      <c r="BZ234" s="3" t="s">
        <v>85</v>
      </c>
      <c r="CA234" s="3" t="s">
        <v>174</v>
      </c>
      <c r="CC234" s="3" t="s">
        <v>104</v>
      </c>
      <c r="CD234" s="3">
        <v>6000</v>
      </c>
      <c r="CE234" s="3" t="s">
        <v>499</v>
      </c>
      <c r="CF234" s="4">
        <v>44574</v>
      </c>
      <c r="CI234" s="3">
        <v>3</v>
      </c>
      <c r="CJ234" s="3">
        <v>3</v>
      </c>
      <c r="CK234" s="3">
        <v>43</v>
      </c>
      <c r="CL234" s="3" t="s">
        <v>87</v>
      </c>
    </row>
    <row r="235" spans="1:90" x14ac:dyDescent="0.2">
      <c r="A235" s="3" t="s">
        <v>72</v>
      </c>
      <c r="B235" s="3" t="s">
        <v>73</v>
      </c>
      <c r="C235" s="3" t="s">
        <v>74</v>
      </c>
      <c r="E235" s="3" t="str">
        <f>"009942541419"</f>
        <v>009942541419</v>
      </c>
      <c r="F235" s="4">
        <v>44571</v>
      </c>
      <c r="G235" s="3">
        <v>202207</v>
      </c>
      <c r="H235" s="3" t="s">
        <v>101</v>
      </c>
      <c r="I235" s="3" t="s">
        <v>102</v>
      </c>
      <c r="J235" s="3" t="s">
        <v>77</v>
      </c>
      <c r="K235" s="3" t="s">
        <v>78</v>
      </c>
      <c r="L235" s="3" t="s">
        <v>132</v>
      </c>
      <c r="M235" s="3" t="s">
        <v>133</v>
      </c>
      <c r="N235" s="3" t="s">
        <v>77</v>
      </c>
      <c r="O235" s="3" t="s">
        <v>81</v>
      </c>
      <c r="P235" s="3" t="str">
        <f>"                              "</f>
        <v xml:space="preserve">                              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52.93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15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3">
        <v>0</v>
      </c>
      <c r="BH235" s="3">
        <v>1</v>
      </c>
      <c r="BI235" s="3">
        <v>3</v>
      </c>
      <c r="BJ235" s="3">
        <v>19.3</v>
      </c>
      <c r="BK235" s="3">
        <v>20</v>
      </c>
      <c r="BL235" s="3">
        <v>222.28</v>
      </c>
      <c r="BM235" s="3">
        <v>33.340000000000003</v>
      </c>
      <c r="BN235" s="3">
        <v>255.62</v>
      </c>
      <c r="BO235" s="3">
        <v>255.62</v>
      </c>
      <c r="BQ235" s="3" t="s">
        <v>500</v>
      </c>
      <c r="BR235" s="3" t="s">
        <v>106</v>
      </c>
      <c r="BS235" s="4">
        <v>44578</v>
      </c>
      <c r="BT235" s="5">
        <v>0.49861111111111112</v>
      </c>
      <c r="BU235" s="3" t="s">
        <v>238</v>
      </c>
      <c r="BV235" s="3" t="s">
        <v>87</v>
      </c>
      <c r="BW235" s="3" t="s">
        <v>218</v>
      </c>
      <c r="BX235" s="3" t="s">
        <v>495</v>
      </c>
      <c r="BY235" s="3">
        <v>96390</v>
      </c>
      <c r="BZ235" s="3" t="s">
        <v>230</v>
      </c>
      <c r="CA235" s="3" t="s">
        <v>136</v>
      </c>
      <c r="CC235" s="3" t="s">
        <v>133</v>
      </c>
      <c r="CD235" s="3">
        <v>2000</v>
      </c>
      <c r="CE235" s="3" t="s">
        <v>107</v>
      </c>
      <c r="CF235" s="4">
        <v>44579</v>
      </c>
      <c r="CI235" s="3">
        <v>2</v>
      </c>
      <c r="CJ235" s="3">
        <v>5</v>
      </c>
      <c r="CK235" s="3">
        <v>43</v>
      </c>
      <c r="CL235" s="3" t="s">
        <v>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sdrascd7-IEHAZMA130276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2022-02-02T05:44:36Z</dcterms:created>
  <dcterms:modified xsi:type="dcterms:W3CDTF">2022-02-02T05:45:33Z</dcterms:modified>
</cp:coreProperties>
</file>