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OneDrive\Documents\"/>
    </mc:Choice>
  </mc:AlternateContent>
  <xr:revisionPtr revIDLastSave="0" documentId="8_{390C907A-EF65-4F0D-BD40-01CC85C6E013}" xr6:coauthVersionLast="47" xr6:coauthVersionMax="47" xr10:uidLastSave="{00000000-0000-0000-0000-000000000000}"/>
  <bookViews>
    <workbookView xWindow="28680" yWindow="-120" windowWidth="20730" windowHeight="11040" xr2:uid="{3AD31F3F-A23A-4FDE-88CA-105FE3C7D9AB}"/>
  </bookViews>
  <sheets>
    <sheet name="sdrascd7-IENOMKE1291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5" i="1" l="1"/>
  <c r="E665" i="1"/>
  <c r="P664" i="1"/>
  <c r="E664" i="1"/>
  <c r="P663" i="1"/>
  <c r="E663" i="1"/>
  <c r="P662" i="1"/>
  <c r="E662" i="1"/>
  <c r="P661" i="1"/>
  <c r="E661" i="1"/>
  <c r="P660" i="1"/>
  <c r="E660" i="1"/>
  <c r="P659" i="1"/>
  <c r="E659" i="1"/>
  <c r="P658" i="1"/>
  <c r="E658" i="1"/>
  <c r="P657" i="1"/>
  <c r="E657" i="1"/>
  <c r="P656" i="1"/>
  <c r="E656" i="1"/>
  <c r="P655" i="1"/>
  <c r="E655" i="1"/>
  <c r="P654" i="1"/>
  <c r="E654" i="1"/>
  <c r="P653" i="1"/>
  <c r="E653" i="1"/>
  <c r="P652" i="1"/>
  <c r="E652" i="1"/>
  <c r="P651" i="1"/>
  <c r="E651" i="1"/>
  <c r="P650" i="1"/>
  <c r="E650" i="1"/>
  <c r="P649" i="1"/>
  <c r="E649" i="1"/>
  <c r="P648" i="1"/>
  <c r="E648" i="1"/>
  <c r="P647" i="1"/>
  <c r="E647" i="1"/>
  <c r="P646" i="1"/>
  <c r="E646" i="1"/>
  <c r="P645" i="1"/>
  <c r="E645" i="1"/>
  <c r="P644" i="1"/>
  <c r="E644" i="1"/>
  <c r="P643" i="1"/>
  <c r="E643" i="1"/>
  <c r="P642" i="1"/>
  <c r="E642" i="1"/>
  <c r="P641" i="1"/>
  <c r="E641" i="1"/>
  <c r="P640" i="1"/>
  <c r="E640" i="1"/>
  <c r="P639" i="1"/>
  <c r="E639" i="1"/>
  <c r="P638" i="1"/>
  <c r="E638" i="1"/>
  <c r="P637" i="1"/>
  <c r="E637" i="1"/>
  <c r="P636" i="1"/>
  <c r="E636" i="1"/>
  <c r="P635" i="1"/>
  <c r="E635" i="1"/>
  <c r="P634" i="1"/>
  <c r="E634" i="1"/>
  <c r="P633" i="1"/>
  <c r="E633" i="1"/>
  <c r="P632" i="1"/>
  <c r="E632" i="1"/>
  <c r="P631" i="1"/>
  <c r="E631" i="1"/>
  <c r="P630" i="1"/>
  <c r="E630" i="1"/>
  <c r="P629" i="1"/>
  <c r="E629" i="1"/>
  <c r="P628" i="1"/>
  <c r="E628" i="1"/>
  <c r="P627" i="1"/>
  <c r="E627" i="1"/>
  <c r="P626" i="1"/>
  <c r="E626" i="1"/>
  <c r="P625" i="1"/>
  <c r="E625" i="1"/>
  <c r="P624" i="1"/>
  <c r="E624" i="1"/>
  <c r="P623" i="1"/>
  <c r="E623" i="1"/>
  <c r="P622" i="1"/>
  <c r="E622" i="1"/>
  <c r="P621" i="1"/>
  <c r="E621" i="1"/>
  <c r="P620" i="1"/>
  <c r="E620" i="1"/>
  <c r="P619" i="1"/>
  <c r="E619" i="1"/>
  <c r="P618" i="1"/>
  <c r="E618" i="1"/>
  <c r="P617" i="1"/>
  <c r="E617" i="1"/>
  <c r="P616" i="1"/>
  <c r="E616" i="1"/>
  <c r="P615" i="1"/>
  <c r="E615" i="1"/>
  <c r="P614" i="1"/>
  <c r="E614" i="1"/>
  <c r="P613" i="1"/>
  <c r="E613" i="1"/>
  <c r="P612" i="1"/>
  <c r="E612" i="1"/>
  <c r="P611" i="1"/>
  <c r="E611" i="1"/>
  <c r="P610" i="1"/>
  <c r="E610" i="1"/>
  <c r="P609" i="1"/>
  <c r="E609" i="1"/>
  <c r="P608" i="1"/>
  <c r="E608" i="1"/>
  <c r="P607" i="1"/>
  <c r="E607" i="1"/>
  <c r="P606" i="1"/>
  <c r="E606" i="1"/>
  <c r="P605" i="1"/>
  <c r="E605" i="1"/>
  <c r="P604" i="1"/>
  <c r="E604" i="1"/>
  <c r="P603" i="1"/>
  <c r="E603" i="1"/>
  <c r="P602" i="1"/>
  <c r="E602" i="1"/>
  <c r="P601" i="1"/>
  <c r="E601" i="1"/>
  <c r="P600" i="1"/>
  <c r="E600" i="1"/>
  <c r="P599" i="1"/>
  <c r="E599" i="1"/>
  <c r="P598" i="1"/>
  <c r="E598" i="1"/>
  <c r="P597" i="1"/>
  <c r="E597" i="1"/>
  <c r="P596" i="1"/>
  <c r="E596" i="1"/>
  <c r="P595" i="1"/>
  <c r="E595" i="1"/>
  <c r="P594" i="1"/>
  <c r="E594" i="1"/>
  <c r="P593" i="1"/>
  <c r="E593" i="1"/>
  <c r="P592" i="1"/>
  <c r="E592" i="1"/>
  <c r="P591" i="1"/>
  <c r="E591" i="1"/>
  <c r="P590" i="1"/>
  <c r="E590" i="1"/>
  <c r="P589" i="1"/>
  <c r="E589" i="1"/>
  <c r="P588" i="1"/>
  <c r="E588" i="1"/>
  <c r="P587" i="1"/>
  <c r="E587" i="1"/>
  <c r="P586" i="1"/>
  <c r="E586" i="1"/>
  <c r="P585" i="1"/>
  <c r="E585" i="1"/>
  <c r="P584" i="1"/>
  <c r="E584" i="1"/>
  <c r="P583" i="1"/>
  <c r="E583" i="1"/>
  <c r="P582" i="1"/>
  <c r="E582" i="1"/>
  <c r="P581" i="1"/>
  <c r="E581" i="1"/>
  <c r="P580" i="1"/>
  <c r="E580" i="1"/>
  <c r="P579" i="1"/>
  <c r="E579" i="1"/>
  <c r="P578" i="1"/>
  <c r="E578" i="1"/>
  <c r="P577" i="1"/>
  <c r="E577" i="1"/>
  <c r="P576" i="1"/>
  <c r="E576" i="1"/>
  <c r="P575" i="1"/>
  <c r="E575" i="1"/>
  <c r="P574" i="1"/>
  <c r="E574" i="1"/>
  <c r="P573" i="1"/>
  <c r="E573" i="1"/>
  <c r="P572" i="1"/>
  <c r="E572" i="1"/>
  <c r="P571" i="1"/>
  <c r="E571" i="1"/>
  <c r="P570" i="1"/>
  <c r="E570" i="1"/>
  <c r="P569" i="1"/>
  <c r="E569" i="1"/>
  <c r="P568" i="1"/>
  <c r="E568" i="1"/>
  <c r="P567" i="1"/>
  <c r="E567" i="1"/>
  <c r="P566" i="1"/>
  <c r="E566" i="1"/>
  <c r="P565" i="1"/>
  <c r="E565" i="1"/>
  <c r="P564" i="1"/>
  <c r="E564" i="1"/>
  <c r="P563" i="1"/>
  <c r="E563" i="1"/>
  <c r="P562" i="1"/>
  <c r="E562" i="1"/>
  <c r="P561" i="1"/>
  <c r="E561" i="1"/>
  <c r="P560" i="1"/>
  <c r="E560" i="1"/>
  <c r="P559" i="1"/>
  <c r="E559" i="1"/>
  <c r="P558" i="1"/>
  <c r="E558" i="1"/>
  <c r="P557" i="1"/>
  <c r="E557" i="1"/>
  <c r="P556" i="1"/>
  <c r="E556" i="1"/>
  <c r="P555" i="1"/>
  <c r="E555" i="1"/>
  <c r="P554" i="1"/>
  <c r="E554" i="1"/>
  <c r="P553" i="1"/>
  <c r="E553" i="1"/>
  <c r="P552" i="1"/>
  <c r="E552" i="1"/>
  <c r="P551" i="1"/>
  <c r="E551" i="1"/>
  <c r="P550" i="1"/>
  <c r="E550" i="1"/>
  <c r="P549" i="1"/>
  <c r="E549" i="1"/>
  <c r="P548" i="1"/>
  <c r="E548" i="1"/>
  <c r="P547" i="1"/>
  <c r="E547" i="1"/>
  <c r="P546" i="1"/>
  <c r="E546" i="1"/>
  <c r="P545" i="1"/>
  <c r="E545" i="1"/>
  <c r="P544" i="1"/>
  <c r="E544" i="1"/>
  <c r="P543" i="1"/>
  <c r="E543" i="1"/>
  <c r="P542" i="1"/>
  <c r="E542" i="1"/>
  <c r="P541" i="1"/>
  <c r="E541" i="1"/>
  <c r="P540" i="1"/>
  <c r="E540" i="1"/>
  <c r="P539" i="1"/>
  <c r="E539" i="1"/>
  <c r="P538" i="1"/>
  <c r="E538" i="1"/>
  <c r="P537" i="1"/>
  <c r="E537" i="1"/>
  <c r="P536" i="1"/>
  <c r="E536" i="1"/>
  <c r="P535" i="1"/>
  <c r="E535" i="1"/>
  <c r="P534" i="1"/>
  <c r="E534" i="1"/>
  <c r="P533" i="1"/>
  <c r="E533" i="1"/>
  <c r="P532" i="1"/>
  <c r="E532" i="1"/>
  <c r="P531" i="1"/>
  <c r="E531" i="1"/>
  <c r="P530" i="1"/>
  <c r="E530" i="1"/>
  <c r="P529" i="1"/>
  <c r="E529" i="1"/>
  <c r="P528" i="1"/>
  <c r="E528" i="1"/>
  <c r="P527" i="1"/>
  <c r="E527" i="1"/>
  <c r="P526" i="1"/>
  <c r="E526" i="1"/>
  <c r="P525" i="1"/>
  <c r="E525" i="1"/>
  <c r="P524" i="1"/>
  <c r="E524" i="1"/>
  <c r="P523" i="1"/>
  <c r="E523" i="1"/>
  <c r="P522" i="1"/>
  <c r="E522" i="1"/>
  <c r="P521" i="1"/>
  <c r="E521" i="1"/>
  <c r="P520" i="1"/>
  <c r="E520" i="1"/>
  <c r="P519" i="1"/>
  <c r="E519" i="1"/>
  <c r="P518" i="1"/>
  <c r="E518" i="1"/>
  <c r="P517" i="1"/>
  <c r="E517" i="1"/>
  <c r="P516" i="1"/>
  <c r="E516" i="1"/>
  <c r="P515" i="1"/>
  <c r="E515" i="1"/>
  <c r="P514" i="1"/>
  <c r="E514" i="1"/>
  <c r="P513" i="1"/>
  <c r="E513" i="1"/>
  <c r="P512" i="1"/>
  <c r="E512" i="1"/>
  <c r="P511" i="1"/>
  <c r="E511" i="1"/>
  <c r="P510" i="1"/>
  <c r="E510" i="1"/>
  <c r="P509" i="1"/>
  <c r="E509" i="1"/>
  <c r="P508" i="1"/>
  <c r="E508" i="1"/>
  <c r="P507" i="1"/>
  <c r="E507" i="1"/>
  <c r="P506" i="1"/>
  <c r="E506" i="1"/>
  <c r="P505" i="1"/>
  <c r="E505" i="1"/>
  <c r="P504" i="1"/>
  <c r="E504" i="1"/>
  <c r="P503" i="1"/>
  <c r="E503" i="1"/>
  <c r="P502" i="1"/>
  <c r="E502" i="1"/>
  <c r="P501" i="1"/>
  <c r="E501" i="1"/>
  <c r="P500" i="1"/>
  <c r="E500" i="1"/>
  <c r="P499" i="1"/>
  <c r="E499" i="1"/>
  <c r="P498" i="1"/>
  <c r="E498" i="1"/>
  <c r="P497" i="1"/>
  <c r="E497" i="1"/>
  <c r="P496" i="1"/>
  <c r="E496" i="1"/>
  <c r="P495" i="1"/>
  <c r="E495" i="1"/>
  <c r="P494" i="1"/>
  <c r="E494" i="1"/>
  <c r="P493" i="1"/>
  <c r="E493" i="1"/>
  <c r="P492" i="1"/>
  <c r="E492" i="1"/>
  <c r="P491" i="1"/>
  <c r="E491" i="1"/>
  <c r="P490" i="1"/>
  <c r="E490" i="1"/>
  <c r="P489" i="1"/>
  <c r="E489" i="1"/>
  <c r="P488" i="1"/>
  <c r="E488" i="1"/>
  <c r="P487" i="1"/>
  <c r="E487" i="1"/>
  <c r="P486" i="1"/>
  <c r="E486" i="1"/>
  <c r="P485" i="1"/>
  <c r="E485" i="1"/>
  <c r="P484" i="1"/>
  <c r="E484" i="1"/>
  <c r="P483" i="1"/>
  <c r="E483" i="1"/>
  <c r="P482" i="1"/>
  <c r="E482" i="1"/>
  <c r="P481" i="1"/>
  <c r="E481" i="1"/>
  <c r="P480" i="1"/>
  <c r="E480" i="1"/>
  <c r="P479" i="1"/>
  <c r="E479" i="1"/>
  <c r="P478" i="1"/>
  <c r="E478" i="1"/>
  <c r="P477" i="1"/>
  <c r="E477" i="1"/>
  <c r="P476" i="1"/>
  <c r="E476" i="1"/>
  <c r="P475" i="1"/>
  <c r="E475" i="1"/>
  <c r="P474" i="1"/>
  <c r="E474" i="1"/>
  <c r="P473" i="1"/>
  <c r="E473" i="1"/>
  <c r="P472" i="1"/>
  <c r="E472" i="1"/>
  <c r="P471" i="1"/>
  <c r="E471" i="1"/>
  <c r="P470" i="1"/>
  <c r="E470" i="1"/>
  <c r="P469" i="1"/>
  <c r="E469" i="1"/>
  <c r="P468" i="1"/>
  <c r="E468" i="1"/>
  <c r="P467" i="1"/>
  <c r="E467" i="1"/>
  <c r="P466" i="1"/>
  <c r="E466" i="1"/>
  <c r="P465" i="1"/>
  <c r="E465" i="1"/>
  <c r="P464" i="1"/>
  <c r="E464" i="1"/>
  <c r="P463" i="1"/>
  <c r="E463" i="1"/>
  <c r="P462" i="1"/>
  <c r="E462" i="1"/>
  <c r="P461" i="1"/>
  <c r="E461" i="1"/>
  <c r="P460" i="1"/>
  <c r="E460" i="1"/>
  <c r="P459" i="1"/>
  <c r="E459" i="1"/>
  <c r="P458" i="1"/>
  <c r="E458" i="1"/>
  <c r="P457" i="1"/>
  <c r="E457" i="1"/>
  <c r="P456" i="1"/>
  <c r="E456" i="1"/>
  <c r="P455" i="1"/>
  <c r="E455" i="1"/>
  <c r="P454" i="1"/>
  <c r="E454" i="1"/>
  <c r="P453" i="1"/>
  <c r="E453" i="1"/>
  <c r="P452" i="1"/>
  <c r="E452" i="1"/>
  <c r="P451" i="1"/>
  <c r="E451" i="1"/>
  <c r="P450" i="1"/>
  <c r="E450" i="1"/>
  <c r="P449" i="1"/>
  <c r="E449" i="1"/>
  <c r="P448" i="1"/>
  <c r="E448" i="1"/>
  <c r="P447" i="1"/>
  <c r="E447" i="1"/>
  <c r="P446" i="1"/>
  <c r="E446" i="1"/>
  <c r="P445" i="1"/>
  <c r="E445" i="1"/>
  <c r="P444" i="1"/>
  <c r="E444" i="1"/>
  <c r="P443" i="1"/>
  <c r="E443" i="1"/>
  <c r="P442" i="1"/>
  <c r="E442" i="1"/>
  <c r="P441" i="1"/>
  <c r="E441" i="1"/>
  <c r="P440" i="1"/>
  <c r="E440" i="1"/>
  <c r="P439" i="1"/>
  <c r="E439" i="1"/>
  <c r="P438" i="1"/>
  <c r="E438" i="1"/>
  <c r="P437" i="1"/>
  <c r="E437" i="1"/>
  <c r="P436" i="1"/>
  <c r="E436" i="1"/>
  <c r="P435" i="1"/>
  <c r="E435" i="1"/>
  <c r="P434" i="1"/>
  <c r="E434" i="1"/>
  <c r="P433" i="1"/>
  <c r="E433" i="1"/>
  <c r="P432" i="1"/>
  <c r="E432" i="1"/>
  <c r="P431" i="1"/>
  <c r="E431" i="1"/>
  <c r="P430" i="1"/>
  <c r="E430" i="1"/>
  <c r="P429" i="1"/>
  <c r="E429" i="1"/>
  <c r="P428" i="1"/>
  <c r="E428" i="1"/>
  <c r="P427" i="1"/>
  <c r="E427" i="1"/>
  <c r="P426" i="1"/>
  <c r="E426" i="1"/>
  <c r="P425" i="1"/>
  <c r="E425" i="1"/>
  <c r="P424" i="1"/>
  <c r="E424" i="1"/>
  <c r="P423" i="1"/>
  <c r="E423" i="1"/>
  <c r="P422" i="1"/>
  <c r="E422" i="1"/>
  <c r="P421" i="1"/>
  <c r="E421" i="1"/>
  <c r="P420" i="1"/>
  <c r="E420" i="1"/>
  <c r="P419" i="1"/>
  <c r="E419" i="1"/>
  <c r="P418" i="1"/>
  <c r="E418" i="1"/>
  <c r="P417" i="1"/>
  <c r="E417" i="1"/>
  <c r="P416" i="1"/>
  <c r="E416" i="1"/>
  <c r="P415" i="1"/>
  <c r="E415" i="1"/>
  <c r="P414" i="1"/>
  <c r="E414" i="1"/>
  <c r="P413" i="1"/>
  <c r="E413" i="1"/>
  <c r="P412" i="1"/>
  <c r="E412" i="1"/>
  <c r="P411" i="1"/>
  <c r="E411" i="1"/>
  <c r="P410" i="1"/>
  <c r="E410" i="1"/>
  <c r="P409" i="1"/>
  <c r="E409" i="1"/>
  <c r="P408" i="1"/>
  <c r="E408" i="1"/>
  <c r="P407" i="1"/>
  <c r="E407" i="1"/>
  <c r="P406" i="1"/>
  <c r="E406" i="1"/>
  <c r="P405" i="1"/>
  <c r="E405" i="1"/>
  <c r="P404" i="1"/>
  <c r="E404" i="1"/>
  <c r="P403" i="1"/>
  <c r="E403" i="1"/>
  <c r="P402" i="1"/>
  <c r="E402" i="1"/>
  <c r="P401" i="1"/>
  <c r="E401" i="1"/>
  <c r="P400" i="1"/>
  <c r="E400" i="1"/>
  <c r="P399" i="1"/>
  <c r="E399" i="1"/>
  <c r="P398" i="1"/>
  <c r="E398" i="1"/>
  <c r="P397" i="1"/>
  <c r="E397" i="1"/>
  <c r="P396" i="1"/>
  <c r="E396" i="1"/>
  <c r="P395" i="1"/>
  <c r="E395" i="1"/>
  <c r="P394" i="1"/>
  <c r="E394" i="1"/>
  <c r="P393" i="1"/>
  <c r="E393" i="1"/>
  <c r="P392" i="1"/>
  <c r="E392" i="1"/>
  <c r="P391" i="1"/>
  <c r="E391" i="1"/>
  <c r="P390" i="1"/>
  <c r="E390" i="1"/>
  <c r="P389" i="1"/>
  <c r="E389" i="1"/>
  <c r="P388" i="1"/>
  <c r="E388" i="1"/>
  <c r="P387" i="1"/>
  <c r="E387" i="1"/>
  <c r="P386" i="1"/>
  <c r="E386" i="1"/>
  <c r="P385" i="1"/>
  <c r="E385" i="1"/>
  <c r="P384" i="1"/>
  <c r="E384" i="1"/>
  <c r="P383" i="1"/>
  <c r="E383" i="1"/>
  <c r="P382" i="1"/>
  <c r="E382" i="1"/>
  <c r="P381" i="1"/>
  <c r="E381" i="1"/>
  <c r="P380" i="1"/>
  <c r="E380" i="1"/>
  <c r="P379" i="1"/>
  <c r="E379" i="1"/>
  <c r="P378" i="1"/>
  <c r="E378" i="1"/>
  <c r="P377" i="1"/>
  <c r="E377" i="1"/>
  <c r="P376" i="1"/>
  <c r="E376" i="1"/>
  <c r="P375" i="1"/>
  <c r="E375" i="1"/>
  <c r="P374" i="1"/>
  <c r="E374" i="1"/>
  <c r="P373" i="1"/>
  <c r="E373" i="1"/>
  <c r="P372" i="1"/>
  <c r="E372" i="1"/>
  <c r="P371" i="1"/>
  <c r="E371" i="1"/>
  <c r="P370" i="1"/>
  <c r="E370" i="1"/>
  <c r="P369" i="1"/>
  <c r="E369" i="1"/>
  <c r="P368" i="1"/>
  <c r="E368" i="1"/>
  <c r="P367" i="1"/>
  <c r="E367" i="1"/>
  <c r="P366" i="1"/>
  <c r="E366" i="1"/>
  <c r="P365" i="1"/>
  <c r="E365" i="1"/>
  <c r="P364" i="1"/>
  <c r="E364" i="1"/>
  <c r="P363" i="1"/>
  <c r="E363" i="1"/>
  <c r="P362" i="1"/>
  <c r="E362" i="1"/>
  <c r="P361" i="1"/>
  <c r="E361" i="1"/>
  <c r="P360" i="1"/>
  <c r="E360" i="1"/>
  <c r="P359" i="1"/>
  <c r="E359" i="1"/>
  <c r="P358" i="1"/>
  <c r="E358" i="1"/>
  <c r="P357" i="1"/>
  <c r="E357" i="1"/>
  <c r="P356" i="1"/>
  <c r="E356" i="1"/>
  <c r="P355" i="1"/>
  <c r="E355" i="1"/>
  <c r="P354" i="1"/>
  <c r="E354" i="1"/>
  <c r="P353" i="1"/>
  <c r="E353" i="1"/>
  <c r="P352" i="1"/>
  <c r="E352" i="1"/>
  <c r="P351" i="1"/>
  <c r="E351" i="1"/>
  <c r="P350" i="1"/>
  <c r="E350" i="1"/>
  <c r="P349" i="1"/>
  <c r="E349" i="1"/>
  <c r="P348" i="1"/>
  <c r="E348" i="1"/>
  <c r="P347" i="1"/>
  <c r="E347" i="1"/>
  <c r="P346" i="1"/>
  <c r="E346" i="1"/>
  <c r="P345" i="1"/>
  <c r="E345" i="1"/>
  <c r="P344" i="1"/>
  <c r="E344" i="1"/>
  <c r="P343" i="1"/>
  <c r="E343" i="1"/>
  <c r="P342" i="1"/>
  <c r="E342" i="1"/>
  <c r="P341" i="1"/>
  <c r="E341" i="1"/>
  <c r="P340" i="1"/>
  <c r="E340" i="1"/>
  <c r="P339" i="1"/>
  <c r="E339" i="1"/>
  <c r="P338" i="1"/>
  <c r="E338" i="1"/>
  <c r="P337" i="1"/>
  <c r="E337" i="1"/>
  <c r="P336" i="1"/>
  <c r="E336" i="1"/>
  <c r="P335" i="1"/>
  <c r="E335" i="1"/>
  <c r="P334" i="1"/>
  <c r="E334" i="1"/>
  <c r="P333" i="1"/>
  <c r="E333" i="1"/>
  <c r="P332" i="1"/>
  <c r="E332" i="1"/>
  <c r="P331" i="1"/>
  <c r="E331" i="1"/>
  <c r="P330" i="1"/>
  <c r="E330" i="1"/>
  <c r="P329" i="1"/>
  <c r="E329" i="1"/>
  <c r="P328" i="1"/>
  <c r="E328" i="1"/>
  <c r="P327" i="1"/>
  <c r="E327" i="1"/>
  <c r="P326" i="1"/>
  <c r="E326" i="1"/>
  <c r="P325" i="1"/>
  <c r="E325" i="1"/>
  <c r="P324" i="1"/>
  <c r="E324" i="1"/>
  <c r="P323" i="1"/>
  <c r="E323" i="1"/>
  <c r="P322" i="1"/>
  <c r="E322" i="1"/>
  <c r="P321" i="1"/>
  <c r="E321" i="1"/>
  <c r="P320" i="1"/>
  <c r="E320" i="1"/>
  <c r="P319" i="1"/>
  <c r="E319" i="1"/>
  <c r="P318" i="1"/>
  <c r="E318" i="1"/>
  <c r="P317" i="1"/>
  <c r="E317" i="1"/>
  <c r="P316" i="1"/>
  <c r="E316" i="1"/>
  <c r="P315" i="1"/>
  <c r="E315" i="1"/>
  <c r="P314" i="1"/>
  <c r="E314" i="1"/>
  <c r="P313" i="1"/>
  <c r="E313" i="1"/>
  <c r="P312" i="1"/>
  <c r="E312" i="1"/>
  <c r="P311" i="1"/>
  <c r="E311" i="1"/>
  <c r="P310" i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<sst xmlns="http://schemas.openxmlformats.org/spreadsheetml/2006/main" count="13143" uniqueCount="1764">
  <si>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</si>
  <si>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</si>
  <si>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</si>
  <si>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</si>
  <si>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</si>
  <si>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</si>
  <si>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</si>
  <si>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</si>
  <si>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</si>
  <si>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</si>
  <si>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</si>
  <si>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</si>
  <si>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</si>
  <si>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</si>
  <si>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</si>
  <si>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</si>
  <si>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</si>
  <si>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</si>
  <si>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</si>
  <si>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</si>
  <si>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</si>
  <si>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</si>
  <si>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</si>
  <si>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</si>
  <si>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</si>
  <si>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</si>
  <si>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</si>
  <si>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</si>
  <si>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</si>
  <si>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</si>
  <si>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</si>
  <si>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</si>
  <si>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</si>
  <si>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</si>
  <si>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</si>
  <si>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</si>
  <si>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</si>
  <si>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</si>
  <si>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</si>
  <si>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</si>
  <si>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</si>
  <si>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</si>
  <si>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</si>
  <si>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</si>
  <si>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</si>
  <si>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</si>
  <si>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</si>
  <si>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</si>
  <si>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</si>
  <si>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</si>
  <si>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</si>
  <si>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</si>
  <si>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</si>
  <si>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</si>
  <si>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</si>
  <si>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</si>
  <si>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</si>
  <si>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</si>
  <si>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</si>
  <si>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</si>
  <si>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</si>
  <si>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</si>
  <si>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</si>
  <si>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</si>
  <si>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</si>
  <si>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</si>
  <si>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</si>
  <si>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</si>
  <si>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</si>
  <si>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</si>
  <si>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</si>
  <si>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</si>
  <si>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J17988</t>
  </si>
  <si>
    <t xml:space="preserve">MOVE ANALYTICS CC - GABLER MEDICAL </t>
  </si>
  <si>
    <t>WAY</t>
  </si>
  <si>
    <t>CAPET</t>
  </si>
  <si>
    <t>CAPE TOWN</t>
  </si>
  <si>
    <t xml:space="preserve">Gabler Medical                     </t>
  </si>
  <si>
    <t xml:space="preserve">                                   </t>
  </si>
  <si>
    <t>VERWO</t>
  </si>
  <si>
    <t>CENTURION</t>
  </si>
  <si>
    <t xml:space="preserve">Imvula Healthcare Logistics        </t>
  </si>
  <si>
    <t>DBC</t>
  </si>
  <si>
    <t>Ria</t>
  </si>
  <si>
    <t>Jeffrey Jacobs</t>
  </si>
  <si>
    <t>ALICE</t>
  </si>
  <si>
    <t>yes</t>
  </si>
  <si>
    <t>0157</t>
  </si>
  <si>
    <t xml:space="preserve">Box Sutu                      </t>
  </si>
  <si>
    <t>no</t>
  </si>
  <si>
    <t>DURBA</t>
  </si>
  <si>
    <t>DURBAN</t>
  </si>
  <si>
    <t xml:space="preserve">Prince Mshiyeni Hospit             </t>
  </si>
  <si>
    <t>Stores</t>
  </si>
  <si>
    <t>APHIWE MKHIZE</t>
  </si>
  <si>
    <t>POD received from cell 0745068777 M</t>
  </si>
  <si>
    <t xml:space="preserve">Boxes Su                      </t>
  </si>
  <si>
    <t>PINET</t>
  </si>
  <si>
    <t>PINETOWN</t>
  </si>
  <si>
    <t xml:space="preserve">Chem-Med                           </t>
  </si>
  <si>
    <t>MANDY</t>
  </si>
  <si>
    <t xml:space="preserve">doris                         </t>
  </si>
  <si>
    <t xml:space="preserve">POD received from cell 0748817308 M     </t>
  </si>
  <si>
    <t xml:space="preserve">BOX SUTU                      </t>
  </si>
  <si>
    <t xml:space="preserve">Medicentre Pharmacy City Hospi     </t>
  </si>
  <si>
    <t>PHY</t>
  </si>
  <si>
    <t xml:space="preserve">ivan                          </t>
  </si>
  <si>
    <t xml:space="preserve">POD received from cell 0682690407 M     </t>
  </si>
  <si>
    <t xml:space="preserve">BOXES LI                      </t>
  </si>
  <si>
    <t>ISIPI</t>
  </si>
  <si>
    <t>ISIPINGO</t>
  </si>
  <si>
    <t xml:space="preserve">ISIPINGO HOSPITAL DISPENSARY       </t>
  </si>
  <si>
    <t xml:space="preserve">aron aron                     </t>
  </si>
  <si>
    <t xml:space="preserve">POD received from cell 0744435413 M     </t>
  </si>
  <si>
    <t xml:space="preserve">BOX LINE                      </t>
  </si>
  <si>
    <t>VRYHE</t>
  </si>
  <si>
    <t>VRYHEID</t>
  </si>
  <si>
    <t xml:space="preserve">Abaqulusi Private Hospit           </t>
  </si>
  <si>
    <t>PHARMACY</t>
  </si>
  <si>
    <t>SANELE</t>
  </si>
  <si>
    <t>POD received from cell 0784953533 M</t>
  </si>
  <si>
    <t>NELSP</t>
  </si>
  <si>
    <t>NELSPRUIT</t>
  </si>
  <si>
    <t xml:space="preserve">CENTRAL VET                        </t>
  </si>
  <si>
    <t>ON1</t>
  </si>
  <si>
    <t>natalia</t>
  </si>
  <si>
    <t>FUE / DOC</t>
  </si>
  <si>
    <t>POD received from cell 0760162059 M</t>
  </si>
  <si>
    <t>FLYER SUTURES-2</t>
  </si>
  <si>
    <t>PIET2</t>
  </si>
  <si>
    <t>PIETERSBURG</t>
  </si>
  <si>
    <t xml:space="preserve">Mediclinic Limpopo                 </t>
  </si>
  <si>
    <t>VINOLIAH</t>
  </si>
  <si>
    <t xml:space="preserve">AGREEMENT                     </t>
  </si>
  <si>
    <t xml:space="preserve">POD received from cell 0762500778 M     </t>
  </si>
  <si>
    <t>0699</t>
  </si>
  <si>
    <t>BOX SUTURES-8</t>
  </si>
  <si>
    <t>LOUIS</t>
  </si>
  <si>
    <t>LOUIS TRICHARDT</t>
  </si>
  <si>
    <t xml:space="preserve">ZOUTPANSBERG PRIVATE HOSPITAL      </t>
  </si>
  <si>
    <t>meriam</t>
  </si>
  <si>
    <t>POD received from cell 0646029635 M</t>
  </si>
  <si>
    <t>0920</t>
  </si>
  <si>
    <t>STEL2</t>
  </si>
  <si>
    <t>STELLENBOSCH</t>
  </si>
  <si>
    <t xml:space="preserve">Disa Med Stellenbosch              </t>
  </si>
  <si>
    <t>JUANEL</t>
  </si>
  <si>
    <t xml:space="preserve">Damien                        </t>
  </si>
  <si>
    <t xml:space="preserve">POD received from cell 0732547403 M     </t>
  </si>
  <si>
    <t>FLYER SUTURES-3</t>
  </si>
  <si>
    <t xml:space="preserve">KINGSBURY DISPENSARY               </t>
  </si>
  <si>
    <t>H NAICKER</t>
  </si>
  <si>
    <t xml:space="preserve">timoti                        </t>
  </si>
  <si>
    <t xml:space="preserve">POD received from cell 0739570238 M     </t>
  </si>
  <si>
    <t>FLYER SUTURES-1</t>
  </si>
  <si>
    <t>GERMI</t>
  </si>
  <si>
    <t>GERMISTON</t>
  </si>
  <si>
    <t xml:space="preserve">Life Roseacres Hospital            </t>
  </si>
  <si>
    <t>M DE BEER</t>
  </si>
  <si>
    <t>zinhle</t>
  </si>
  <si>
    <t>POD received from cell 0797647917 M</t>
  </si>
  <si>
    <t>FLYER SUTURES1-</t>
  </si>
  <si>
    <t>PORT3</t>
  </si>
  <si>
    <t>PORT ELIZABETH</t>
  </si>
  <si>
    <t xml:space="preserve">NETCARE GREENACRES                 </t>
  </si>
  <si>
    <t>Main Phy</t>
  </si>
  <si>
    <t>Thembisa</t>
  </si>
  <si>
    <t>POD received from cell 0814739791 M</t>
  </si>
  <si>
    <t>Flyer Sutures-1</t>
  </si>
  <si>
    <t>JOHAN</t>
  </si>
  <si>
    <t>JOHANNESBURG</t>
  </si>
  <si>
    <t xml:space="preserve">PRESVIEW HOSPITAL PHARMACY         </t>
  </si>
  <si>
    <t>S.NAIDOO</t>
  </si>
  <si>
    <t>Londiwe</t>
  </si>
  <si>
    <t>POD received from cell 0687876733 M</t>
  </si>
  <si>
    <t>MMABA</t>
  </si>
  <si>
    <t>MMABATHO</t>
  </si>
  <si>
    <t xml:space="preserve">Clinix Itokolle Private Hospit     </t>
  </si>
  <si>
    <t>SELNA</t>
  </si>
  <si>
    <t>SEGAMETSI</t>
  </si>
  <si>
    <t>HND / FUE / DOC</t>
  </si>
  <si>
    <t>FLYER SUTURES-4</t>
  </si>
  <si>
    <t>WITSI</t>
  </si>
  <si>
    <t>WITZIESHOEK</t>
  </si>
  <si>
    <t xml:space="preserve">Elizabeth Ross Hospit              </t>
  </si>
  <si>
    <t>STORES</t>
  </si>
  <si>
    <t>Elizabeth Ross Hospit</t>
  </si>
  <si>
    <t>POD received from cell 0834062260 M</t>
  </si>
  <si>
    <t>BOIX SUTURES-10</t>
  </si>
  <si>
    <t>MOSSE</t>
  </si>
  <si>
    <t>MOSSEL BAY</t>
  </si>
  <si>
    <t xml:space="preserve">VIDAMED DAY HOSPITAL               </t>
  </si>
  <si>
    <t>MELANIE STORES</t>
  </si>
  <si>
    <t>Dewaal</t>
  </si>
  <si>
    <t>POD received from cell 0847800788 M</t>
  </si>
  <si>
    <t>ROODE</t>
  </si>
  <si>
    <t>ROODEPOORT</t>
  </si>
  <si>
    <t xml:space="preserve">CENTRAL UNION MEDICAL SUPPLIES     </t>
  </si>
  <si>
    <t>Manny</t>
  </si>
  <si>
    <t>POD received from cell 0785995125 M</t>
  </si>
  <si>
    <t>VANDE</t>
  </si>
  <si>
    <t>VANDERBIJLPARK</t>
  </si>
  <si>
    <t xml:space="preserve">EMFULENI MEDI CLINIC PHARMACY      </t>
  </si>
  <si>
    <t>BESSIE POSATUMAS</t>
  </si>
  <si>
    <t>andrew</t>
  </si>
  <si>
    <t>POD received from cell 0680792574 M</t>
  </si>
  <si>
    <t>FLYER SUTUYRES-1</t>
  </si>
  <si>
    <t>KIMBE</t>
  </si>
  <si>
    <t>KIMBERLEY</t>
  </si>
  <si>
    <t xml:space="preserve">Mediclinic Gariep                  </t>
  </si>
  <si>
    <t>BIA</t>
  </si>
  <si>
    <t>ISMAIL</t>
  </si>
  <si>
    <t>EAST</t>
  </si>
  <si>
    <t>EAST LONDON</t>
  </si>
  <si>
    <t xml:space="preserve">ROYAL BUFFALO SPECIALIST HOSPI     </t>
  </si>
  <si>
    <t xml:space="preserve">kudzaishe                     </t>
  </si>
  <si>
    <t>Driver late</t>
  </si>
  <si>
    <t>NNS</t>
  </si>
  <si>
    <t xml:space="preserve">POD received from cell 0732794033 M     </t>
  </si>
  <si>
    <t xml:space="preserve">Disa Med Louis Leipoldt            </t>
  </si>
  <si>
    <t>BERENICE</t>
  </si>
  <si>
    <t xml:space="preserve">Hilton                        </t>
  </si>
  <si>
    <t xml:space="preserve">POD received from cell 0761265903 M     </t>
  </si>
  <si>
    <t>BOX SUTURES-7</t>
  </si>
  <si>
    <t>BETHL</t>
  </si>
  <si>
    <t>BETHLEHEM</t>
  </si>
  <si>
    <t xml:space="preserve">Hoogland Medi Clinic Pharmacy      </t>
  </si>
  <si>
    <t>WILMA   JANA</t>
  </si>
  <si>
    <t>lerato</t>
  </si>
  <si>
    <t>POD received from cell 0713010915 M</t>
  </si>
  <si>
    <t>PRETO</t>
  </si>
  <si>
    <t>PRETORIA</t>
  </si>
  <si>
    <t xml:space="preserve">WILGERS HOSPITAL                   </t>
  </si>
  <si>
    <t>A SEEGER</t>
  </si>
  <si>
    <t xml:space="preserve">SOLOMON                       </t>
  </si>
  <si>
    <t>0001</t>
  </si>
  <si>
    <t xml:space="preserve">GABLER MEDICAL                     </t>
  </si>
  <si>
    <t>EMPAN</t>
  </si>
  <si>
    <t>EMPANGENI</t>
  </si>
  <si>
    <t xml:space="preserve">MTUMZINI VET HOSPITAL              </t>
  </si>
  <si>
    <t>CORRIE</t>
  </si>
  <si>
    <t>MONIQUE MOSTERT</t>
  </si>
  <si>
    <t>Harcourt</t>
  </si>
  <si>
    <t>HND / FUE / DOC / NDC</t>
  </si>
  <si>
    <t>POD received from cell 0761615396 M</t>
  </si>
  <si>
    <t>PARCEL</t>
  </si>
  <si>
    <t>BLOE1</t>
  </si>
  <si>
    <t>BLOEMFONTEIN</t>
  </si>
  <si>
    <t>TRACEY COETZEE</t>
  </si>
  <si>
    <t>t coezeee</t>
  </si>
  <si>
    <t xml:space="preserve">CLINIX ITOKOLLE PRIVATE HOSP       </t>
  </si>
  <si>
    <t>SELENA</t>
  </si>
  <si>
    <t>JEFFREY JACOBS</t>
  </si>
  <si>
    <t xml:space="preserve">ADVANCED MFT PTY LTD               </t>
  </si>
  <si>
    <t>.</t>
  </si>
  <si>
    <t>Luvuyo</t>
  </si>
  <si>
    <t xml:space="preserve">CORMED CLINIC                      </t>
  </si>
  <si>
    <t>MICHELLE</t>
  </si>
  <si>
    <t>deleen</t>
  </si>
  <si>
    <t xml:space="preserve">ZOUTPANSBERG PVT HOSP              </t>
  </si>
  <si>
    <t>HOEDS</t>
  </si>
  <si>
    <t>HOEDSPRUIT</t>
  </si>
  <si>
    <t xml:space="preserve">HOEDSPRUIT PVT HOSPITAL            </t>
  </si>
  <si>
    <t>vizy</t>
  </si>
  <si>
    <t>POD received from cell 0785460164 M</t>
  </si>
  <si>
    <t>HERMA</t>
  </si>
  <si>
    <t>HERMANUS</t>
  </si>
  <si>
    <t xml:space="preserve">HERMANUS DAY HOSPITAL              </t>
  </si>
  <si>
    <t xml:space="preserve">fredine                       </t>
  </si>
  <si>
    <t xml:space="preserve">POD received from cell 0627198686 M     </t>
  </si>
  <si>
    <t>PORT4</t>
  </si>
  <si>
    <t>PORT SHEPSTONE</t>
  </si>
  <si>
    <t xml:space="preserve">PORT SHEPSTONE HOSPITAL            </t>
  </si>
  <si>
    <t>n mahlati</t>
  </si>
  <si>
    <t>WELKO</t>
  </si>
  <si>
    <t>WELKOM</t>
  </si>
  <si>
    <t xml:space="preserve">RH MATJHABENG HOSPITAL             </t>
  </si>
  <si>
    <t xml:space="preserve">Themba                        </t>
  </si>
  <si>
    <t xml:space="preserve">POD received from cell 0723646416 M     </t>
  </si>
  <si>
    <t xml:space="preserve">AHMED AL KADI PVT HOSPITAL         </t>
  </si>
  <si>
    <t>CASSIM</t>
  </si>
  <si>
    <t>BRENDON</t>
  </si>
  <si>
    <t xml:space="preserve">BUSAMED HILLCREST PVT HOSPITAL     </t>
  </si>
  <si>
    <t xml:space="preserve">ukash                         </t>
  </si>
  <si>
    <t xml:space="preserve">POD received from cell 0674189363 M     </t>
  </si>
  <si>
    <t xml:space="preserve">LIFE ST GEORGES HOSPITAL           </t>
  </si>
  <si>
    <t>LOLETTA</t>
  </si>
  <si>
    <t>Celia</t>
  </si>
  <si>
    <t>POD received from cell 0728834171 M</t>
  </si>
  <si>
    <t xml:space="preserve">FRERE HOSPITAL                     </t>
  </si>
  <si>
    <t>Nosibusiso</t>
  </si>
  <si>
    <t>POD received from cell 0736924422 M</t>
  </si>
  <si>
    <t>ALBE2</t>
  </si>
  <si>
    <t>ALBERTON</t>
  </si>
  <si>
    <t xml:space="preserve">Direct Medical Services            </t>
  </si>
  <si>
    <t>STEVEN</t>
  </si>
  <si>
    <t>teboho</t>
  </si>
  <si>
    <t>POD received from cell 0647581272 M</t>
  </si>
  <si>
    <t xml:space="preserve">MED EQUI                      </t>
  </si>
  <si>
    <t xml:space="preserve">Meulen Pharmacy                    </t>
  </si>
  <si>
    <t>Neil</t>
  </si>
  <si>
    <t>Vincent</t>
  </si>
  <si>
    <t>POD received from cell 0637402252 M</t>
  </si>
  <si>
    <t xml:space="preserve">Imvula Medical                     </t>
  </si>
  <si>
    <t>LYDIA</t>
  </si>
  <si>
    <t>?</t>
  </si>
  <si>
    <t>HADLEY</t>
  </si>
  <si>
    <t>MOOIR</t>
  </si>
  <si>
    <t>MOOIRIVIER</t>
  </si>
  <si>
    <t xml:space="preserve">BRUNTVILLE CHC                     </t>
  </si>
  <si>
    <t>S MBANJWA</t>
  </si>
  <si>
    <t>s mbanjwa</t>
  </si>
  <si>
    <t xml:space="preserve">BLOEMFONTEIN NATIONAL DISTRICT     </t>
  </si>
  <si>
    <t>JOYCE</t>
  </si>
  <si>
    <t>created only</t>
  </si>
  <si>
    <t xml:space="preserve">FLYER SU                      </t>
  </si>
  <si>
    <t>ESTCO</t>
  </si>
  <si>
    <t>ESTCOURT</t>
  </si>
  <si>
    <t xml:space="preserve">Estcourt Dist Hospit               </t>
  </si>
  <si>
    <t>Promise</t>
  </si>
  <si>
    <t>sebogeni</t>
  </si>
  <si>
    <t>LAHNETTE</t>
  </si>
  <si>
    <t>MONIQUE</t>
  </si>
  <si>
    <t>PATRICIA</t>
  </si>
  <si>
    <t>0010175558088</t>
  </si>
  <si>
    <t xml:space="preserve">DR F DUMINY                        </t>
  </si>
  <si>
    <t>Sr Ronnie</t>
  </si>
  <si>
    <t xml:space="preserve">created only                  </t>
  </si>
  <si>
    <t xml:space="preserve">                                        </t>
  </si>
  <si>
    <t>Flyer Sutures-5</t>
  </si>
  <si>
    <t>BOKSB</t>
  </si>
  <si>
    <t>BOKSBURG</t>
  </si>
  <si>
    <t xml:space="preserve">Clinix Botshelong - Empilweni      </t>
  </si>
  <si>
    <t>Mduduzi</t>
  </si>
  <si>
    <t>Box Sutures-7</t>
  </si>
  <si>
    <t xml:space="preserve">Urology Hospit Pharma              </t>
  </si>
  <si>
    <t>Charmain</t>
  </si>
  <si>
    <t>0083</t>
  </si>
  <si>
    <t>Flyer Suture-1</t>
  </si>
  <si>
    <t>CHARMAIN</t>
  </si>
  <si>
    <t>SELINAH  PHARMACY</t>
  </si>
  <si>
    <t>BOX SUTURE-1</t>
  </si>
  <si>
    <t xml:space="preserve">DR RHOODIE GARRANA                 </t>
  </si>
  <si>
    <t>MARY-SUE</t>
  </si>
  <si>
    <t>sihle</t>
  </si>
  <si>
    <t>POD received from cell 0606555504 M</t>
  </si>
  <si>
    <t>ELLIS</t>
  </si>
  <si>
    <t>ELLISRAS</t>
  </si>
  <si>
    <t xml:space="preserve">Mediclinic Lephalale Pharmacy      </t>
  </si>
  <si>
    <t>ELMARIE</t>
  </si>
  <si>
    <t>Lucy west</t>
  </si>
  <si>
    <t>POD received from cell 0646228928 M</t>
  </si>
  <si>
    <t>0555</t>
  </si>
  <si>
    <t>MIDD2</t>
  </si>
  <si>
    <t>MIDDELBURG (Mpumalanga)</t>
  </si>
  <si>
    <t xml:space="preserve">Witbank Animal Hospit              </t>
  </si>
  <si>
    <t>MELANDRIE</t>
  </si>
  <si>
    <t>Zelda</t>
  </si>
  <si>
    <t>POD received from cell 0793866786 M</t>
  </si>
  <si>
    <t>TONGA</t>
  </si>
  <si>
    <t>TONGAAT</t>
  </si>
  <si>
    <t xml:space="preserve">RIBUMED BALLITO DAY HOSPITAL       </t>
  </si>
  <si>
    <t>DARNELL</t>
  </si>
  <si>
    <t>Darnell</t>
  </si>
  <si>
    <t>Late Linehaul Delayed Beyond Skynet Control</t>
  </si>
  <si>
    <t>ntm</t>
  </si>
  <si>
    <t>POD received from cell 0847863055 M</t>
  </si>
  <si>
    <t>FLYER SUTURE-1</t>
  </si>
  <si>
    <t xml:space="preserve">Netcare St Augustine s Hospita     </t>
  </si>
  <si>
    <t>CECIL</t>
  </si>
  <si>
    <t>POD received from cell 0716311909 M</t>
  </si>
  <si>
    <t>HUSHENDREE</t>
  </si>
  <si>
    <t>Timoti</t>
  </si>
  <si>
    <t>POD received from cell 0739570238 M</t>
  </si>
  <si>
    <t>SANDT</t>
  </si>
  <si>
    <t>SANDTON</t>
  </si>
  <si>
    <t xml:space="preserve">CURE DAY HOSPITAL FOURWAYS         </t>
  </si>
  <si>
    <t>thato</t>
  </si>
  <si>
    <t>POD received from cell 0735871460 M</t>
  </si>
  <si>
    <t xml:space="preserve">Netcare Femina Pharma              </t>
  </si>
  <si>
    <t>MAIN THEATRE</t>
  </si>
  <si>
    <t>LENNY</t>
  </si>
  <si>
    <t>0002</t>
  </si>
  <si>
    <t>FLYER SUTURES-5</t>
  </si>
  <si>
    <t>MELANIE</t>
  </si>
  <si>
    <t>De waal</t>
  </si>
  <si>
    <t xml:space="preserve">Disa Med Constantia Pharmacy       </t>
  </si>
  <si>
    <t>MARTIN</t>
  </si>
  <si>
    <t xml:space="preserve">Asanda                        </t>
  </si>
  <si>
    <t xml:space="preserve">POD received from cell 0813552012 M     </t>
  </si>
  <si>
    <t xml:space="preserve">Mediclinic  S ton Pharma           </t>
  </si>
  <si>
    <t>COMFORT</t>
  </si>
  <si>
    <t>Marcus</t>
  </si>
  <si>
    <t>POD received from cell 0697385380 M</t>
  </si>
  <si>
    <t>RUSTE</t>
  </si>
  <si>
    <t>RUSTENBURG</t>
  </si>
  <si>
    <t xml:space="preserve">Bergbos Dierekliniek               </t>
  </si>
  <si>
    <t>Hettie</t>
  </si>
  <si>
    <t>POD received from cell 0781730799 M</t>
  </si>
  <si>
    <t>0300</t>
  </si>
  <si>
    <t>MDUDUZI</t>
  </si>
  <si>
    <t>kgabo</t>
  </si>
  <si>
    <t>POD received from cell 0670696062 M</t>
  </si>
  <si>
    <t>BOX SUTURES-22</t>
  </si>
  <si>
    <t xml:space="preserve">NETCARE ALBERTON HOSPITAL          </t>
  </si>
  <si>
    <t>Shylock</t>
  </si>
  <si>
    <t>POD received from cell 0636608674 M</t>
  </si>
  <si>
    <t xml:space="preserve">Netcare Kuilsriver                 </t>
  </si>
  <si>
    <t>CORNEL</t>
  </si>
  <si>
    <t xml:space="preserve">Ernest                        </t>
  </si>
  <si>
    <t xml:space="preserve">ST DOMINICS DISPENSARY             </t>
  </si>
  <si>
    <t>BRETT KRIEL</t>
  </si>
  <si>
    <t>Michael</t>
  </si>
  <si>
    <t>Missed cutoff</t>
  </si>
  <si>
    <t>POD received from cell 0780568122 M</t>
  </si>
  <si>
    <t xml:space="preserve">Shimel Clinic cc                   </t>
  </si>
  <si>
    <t>SR JULIE</t>
  </si>
  <si>
    <t>R JENKES</t>
  </si>
  <si>
    <t xml:space="preserve">Life Groenkloof Hospit             </t>
  </si>
  <si>
    <t>RAKHEE</t>
  </si>
  <si>
    <t>PHUNDIE</t>
  </si>
  <si>
    <t xml:space="preserve">Netcare Greenacres Hospit          </t>
  </si>
  <si>
    <t>MAin Phy</t>
  </si>
  <si>
    <t>BRAKP</t>
  </si>
  <si>
    <t>BRAKPAN</t>
  </si>
  <si>
    <t xml:space="preserve">DALVIEW DISPENSARY                 </t>
  </si>
  <si>
    <t>Luyanda</t>
  </si>
  <si>
    <t>zama</t>
  </si>
  <si>
    <t>POD received from cell 0846301490 M</t>
  </si>
  <si>
    <t>PIET1</t>
  </si>
  <si>
    <t>PIETERMARITZBURG</t>
  </si>
  <si>
    <t xml:space="preserve">Mid - Medic Pharmacy               </t>
  </si>
  <si>
    <t>Niggi</t>
  </si>
  <si>
    <t>POD received from cell 0782274968 M</t>
  </si>
  <si>
    <t xml:space="preserve">CURE DAY HOSPITALS                 </t>
  </si>
  <si>
    <t>PAARL</t>
  </si>
  <si>
    <t xml:space="preserve">WC HEALTH PAARL Hospit             </t>
  </si>
  <si>
    <t>MRS M LUDICK</t>
  </si>
  <si>
    <t>J Van Rooyen</t>
  </si>
  <si>
    <t>POD received from cell 0671392487 M</t>
  </si>
  <si>
    <t>FLYER SUTURES-20</t>
  </si>
  <si>
    <t>GEORG</t>
  </si>
  <si>
    <t>GEORGE</t>
  </si>
  <si>
    <t xml:space="preserve">WC Health George Hospit            </t>
  </si>
  <si>
    <t>ANTOLENE</t>
  </si>
  <si>
    <t>NOKUZOLA</t>
  </si>
  <si>
    <t>BOX SUTURES-10</t>
  </si>
  <si>
    <t>MIDRA</t>
  </si>
  <si>
    <t>MIDRAND</t>
  </si>
  <si>
    <t xml:space="preserve">Blue Hills Veterinary Hospit       </t>
  </si>
  <si>
    <t>Joanne</t>
  </si>
  <si>
    <t>POD received from cell 0658308170 M</t>
  </si>
  <si>
    <t>FLYER SUTURES-6</t>
  </si>
  <si>
    <t xml:space="preserve">Netcare Akasia Hospit Phy          </t>
  </si>
  <si>
    <t>LAZARUS</t>
  </si>
  <si>
    <t>0182</t>
  </si>
  <si>
    <t>FLYER2</t>
  </si>
  <si>
    <t xml:space="preserve">Lyns Vet Supplies                  </t>
  </si>
  <si>
    <t>LYN</t>
  </si>
  <si>
    <t>lore coughan</t>
  </si>
  <si>
    <t>POD received from cell 0723748549 M</t>
  </si>
  <si>
    <t>BOX10</t>
  </si>
  <si>
    <t xml:space="preserve">Zuid Afrikaanse Hospit             </t>
  </si>
  <si>
    <t>NEL MARE</t>
  </si>
  <si>
    <t>LEHLOGONOLO  PHARMACY</t>
  </si>
  <si>
    <t>FOCHV</t>
  </si>
  <si>
    <t>FOCHVILLE</t>
  </si>
  <si>
    <t xml:space="preserve">Leslie Williams Private Hospit     </t>
  </si>
  <si>
    <t>JOHANNAH</t>
  </si>
  <si>
    <t>Louis</t>
  </si>
  <si>
    <t>POD received from cell 0798530448 M</t>
  </si>
  <si>
    <t>WILMA</t>
  </si>
  <si>
    <t>joyce</t>
  </si>
  <si>
    <t xml:space="preserve">VINDMED MEDICAL SUPPLIES           </t>
  </si>
  <si>
    <t>ADRI</t>
  </si>
  <si>
    <t>MINETTE</t>
  </si>
  <si>
    <t>0062</t>
  </si>
  <si>
    <t>BOX SUTURES-32</t>
  </si>
  <si>
    <t xml:space="preserve">DR MATILDA MPHAHLELE INC           </t>
  </si>
  <si>
    <t>refilwe</t>
  </si>
  <si>
    <t>POD received from cell 0848256515 M</t>
  </si>
  <si>
    <t xml:space="preserve">Surgical Systems                   </t>
  </si>
  <si>
    <t>ABBY</t>
  </si>
  <si>
    <t>abby</t>
  </si>
  <si>
    <t>POD received from cell 0738058187 M</t>
  </si>
  <si>
    <t>BOX  SUTURES16</t>
  </si>
  <si>
    <t>VIRGI</t>
  </si>
  <si>
    <t>VIRGINIA</t>
  </si>
  <si>
    <t xml:space="preserve">Virginia Katleho Hospital          </t>
  </si>
  <si>
    <t>Thato</t>
  </si>
  <si>
    <t>POD received from cell 0723643375 M</t>
  </si>
  <si>
    <t>BOX SUTURES-50 BOX SUTURES13</t>
  </si>
  <si>
    <t xml:space="preserve">KEDIBONE                      </t>
  </si>
  <si>
    <t>FLYER SAMPLE</t>
  </si>
  <si>
    <t>BOTSH</t>
  </si>
  <si>
    <t>BOTSHABELO</t>
  </si>
  <si>
    <t xml:space="preserve">Botshabelo Hospit                  </t>
  </si>
  <si>
    <t>illeg</t>
  </si>
  <si>
    <t>BOX SUTURES-100 BOX SUTURES-20</t>
  </si>
  <si>
    <t xml:space="preserve">Netcare Blaauwberg Pharmacy        </t>
  </si>
  <si>
    <t>Quinton</t>
  </si>
  <si>
    <t>POD received from cell 0736418208 M</t>
  </si>
  <si>
    <t>TRACEY</t>
  </si>
  <si>
    <t>PATRICIA NTONGA</t>
  </si>
  <si>
    <t>betfel</t>
  </si>
  <si>
    <t>FUE / doc</t>
  </si>
  <si>
    <t>JULIAN ISAACS</t>
  </si>
  <si>
    <t>L Marang</t>
  </si>
  <si>
    <t>POD received from cell 0659386993 M</t>
  </si>
  <si>
    <t>KEMPT</t>
  </si>
  <si>
    <t>KEMPTON PARK</t>
  </si>
  <si>
    <t xml:space="preserve">Medicare Hospital Equipment        </t>
  </si>
  <si>
    <t>tobias</t>
  </si>
  <si>
    <t>POD received from cell 0810518321 M</t>
  </si>
  <si>
    <t>nuresh</t>
  </si>
  <si>
    <t>POD received from cell 0670029554 M</t>
  </si>
  <si>
    <t xml:space="preserve">RH MATJHABENG PVT HOSPITAL PHY     </t>
  </si>
  <si>
    <t>Themba</t>
  </si>
  <si>
    <t>POD received from cell 0723646416 M</t>
  </si>
  <si>
    <t>niresh</t>
  </si>
  <si>
    <t xml:space="preserve">The Surgical Institute             </t>
  </si>
  <si>
    <t>Valencia</t>
  </si>
  <si>
    <t>Laura</t>
  </si>
  <si>
    <t>POD received from cell 0738726261 M</t>
  </si>
  <si>
    <t xml:space="preserve">CHRIS HANI BARAGWANATH HOSPITA     </t>
  </si>
  <si>
    <t>BENJAMIN</t>
  </si>
  <si>
    <t>aphiwe</t>
  </si>
  <si>
    <t>POD received from cell 0828361981 M</t>
  </si>
  <si>
    <t xml:space="preserve">MEDICROSS CAPE TOWN FORESHORE      </t>
  </si>
  <si>
    <t>Kauthar</t>
  </si>
  <si>
    <t>POD received from cell 0828579506 M</t>
  </si>
  <si>
    <t>toboho</t>
  </si>
  <si>
    <t>BAILE</t>
  </si>
  <si>
    <t xml:space="preserve">Netcare Sunninghill PHARMACY       </t>
  </si>
  <si>
    <t>bester</t>
  </si>
  <si>
    <t>POD received from cell 0720364384 M</t>
  </si>
  <si>
    <t xml:space="preserve">Netcare Linkwood Theatre           </t>
  </si>
  <si>
    <t>Irene</t>
  </si>
  <si>
    <t>mphahlele</t>
  </si>
  <si>
    <t>POD received from cell 0609545808 M</t>
  </si>
  <si>
    <t>Flyer Sutures-4</t>
  </si>
  <si>
    <t>ROBER</t>
  </si>
  <si>
    <t>ROBERTSON</t>
  </si>
  <si>
    <t xml:space="preserve">CORNERSTONE VET SERVICES           </t>
  </si>
  <si>
    <t>Janette</t>
  </si>
  <si>
    <t>POD received from cell 0662882525 M</t>
  </si>
  <si>
    <t xml:space="preserve">St Georges Hospit                  </t>
  </si>
  <si>
    <t>Loletta</t>
  </si>
  <si>
    <t>Flyer Sutures-2</t>
  </si>
  <si>
    <t xml:space="preserve">DR JA MUIRE -COD ACCOUNT           </t>
  </si>
  <si>
    <t>IKLEV</t>
  </si>
  <si>
    <t xml:space="preserve">Life Carstenhof Hoispital          </t>
  </si>
  <si>
    <t>ROSCHELLE</t>
  </si>
  <si>
    <t>nyaniso</t>
  </si>
  <si>
    <t xml:space="preserve">NEWMARKET DAY HOSPITAL             </t>
  </si>
  <si>
    <t>Polifort</t>
  </si>
  <si>
    <t xml:space="preserve">Mediclinic Stellenbosch Pharma     </t>
  </si>
  <si>
    <t>ASHLEY</t>
  </si>
  <si>
    <t>GLENDA</t>
  </si>
  <si>
    <t>CO STAMP</t>
  </si>
  <si>
    <t xml:space="preserve">Busamed                            </t>
  </si>
  <si>
    <t>RENALDO</t>
  </si>
  <si>
    <t>Consignee not available)</t>
  </si>
  <si>
    <t>cfm</t>
  </si>
  <si>
    <t>POD received from cell 0786267469 M</t>
  </si>
  <si>
    <t>BOX LINERS</t>
  </si>
  <si>
    <t>WARRE</t>
  </si>
  <si>
    <t>WARRENTON</t>
  </si>
  <si>
    <t xml:space="preserve">Taung District Hospit              </t>
  </si>
  <si>
    <t>K KESSEH</t>
  </si>
  <si>
    <t>BENON</t>
  </si>
  <si>
    <t>BENONI</t>
  </si>
  <si>
    <t xml:space="preserve">MMC BENONI DAY HOSPITAL            </t>
  </si>
  <si>
    <t>chantelle</t>
  </si>
  <si>
    <t>POD received from cell 0840403522 M</t>
  </si>
  <si>
    <t xml:space="preserve">RHC MEDICAL SUPPLIES               </t>
  </si>
  <si>
    <t>robert</t>
  </si>
  <si>
    <t xml:space="preserve">Vetscape                           </t>
  </si>
  <si>
    <t>NINA</t>
  </si>
  <si>
    <t xml:space="preserve">Maria                         </t>
  </si>
  <si>
    <t>Box Sutures-9</t>
  </si>
  <si>
    <t xml:space="preserve">National District Hosp.            </t>
  </si>
  <si>
    <t>The Pharmacist</t>
  </si>
  <si>
    <t>sebogani</t>
  </si>
  <si>
    <t>RICHA</t>
  </si>
  <si>
    <t>RICHARDS BAY</t>
  </si>
  <si>
    <t xml:space="preserve">Richards Bay Medical Institute     </t>
  </si>
  <si>
    <t>Nipho</t>
  </si>
  <si>
    <t>POD received from cell 0795550703 M</t>
  </si>
  <si>
    <t xml:space="preserve">Dept of Health Mpumalanga          </t>
  </si>
  <si>
    <t>hendry</t>
  </si>
  <si>
    <t xml:space="preserve">MMABATHO MEDICAL STORES            </t>
  </si>
  <si>
    <t>STANLEY</t>
  </si>
  <si>
    <t>abram</t>
  </si>
  <si>
    <t>POD received from cell 0637157213 M</t>
  </si>
  <si>
    <t>UPING</t>
  </si>
  <si>
    <t>UPINGTON</t>
  </si>
  <si>
    <t xml:space="preserve">Dr Harry Surtie Hospit             </t>
  </si>
  <si>
    <t>GERHARD TITIUS</t>
  </si>
  <si>
    <t xml:space="preserve">S KLAASEN                     </t>
  </si>
  <si>
    <t xml:space="preserve">POD received from cell 0782815298 M     </t>
  </si>
  <si>
    <t xml:space="preserve">Cecilia Makiwane Hospit            </t>
  </si>
  <si>
    <t>Nono</t>
  </si>
  <si>
    <t>GREYT</t>
  </si>
  <si>
    <t>GREYTOWN</t>
  </si>
  <si>
    <t xml:space="preserve">Appelsbosch Hospital               </t>
  </si>
  <si>
    <t>p zondi</t>
  </si>
  <si>
    <t>POD received from cell 0712723510 M</t>
  </si>
  <si>
    <t>JACOB  PHARMACY</t>
  </si>
  <si>
    <t xml:space="preserve">ZOUTSPANSBERG MEDICAL CENTRE       </t>
  </si>
  <si>
    <t>PRINCE</t>
  </si>
  <si>
    <t xml:space="preserve">BOX MEDI                      </t>
  </si>
  <si>
    <t xml:space="preserve">BUSAMED LOWVELD PRIVATE HOSPIT     </t>
  </si>
  <si>
    <t>LOUIS FOUCHE</t>
  </si>
  <si>
    <t>Aaron</t>
  </si>
  <si>
    <t xml:space="preserve">DURDOC PHARMACY                    </t>
  </si>
  <si>
    <t>J SINGH</t>
  </si>
  <si>
    <t>Natasha</t>
  </si>
  <si>
    <t>POD received from cell 0670405005 M</t>
  </si>
  <si>
    <t>FLYER SUTUYRES-2</t>
  </si>
  <si>
    <t>SOME2</t>
  </si>
  <si>
    <t>SOMERSET WEST</t>
  </si>
  <si>
    <t xml:space="preserve">SUMMERHILL SURGICAL CENTRE         </t>
  </si>
  <si>
    <t>AHLIAH</t>
  </si>
  <si>
    <t>Peter</t>
  </si>
  <si>
    <t>POD received from cell 0622930487 M</t>
  </si>
  <si>
    <t>joshua</t>
  </si>
  <si>
    <t>FLYER SUTURES- 1</t>
  </si>
  <si>
    <t>UITEN</t>
  </si>
  <si>
    <t>UITENHAGE</t>
  </si>
  <si>
    <t xml:space="preserve">Netcare Cuyler                     </t>
  </si>
  <si>
    <t>Maria</t>
  </si>
  <si>
    <t>POD received from cell 0793062989 M</t>
  </si>
  <si>
    <t>Joseph</t>
  </si>
  <si>
    <t xml:space="preserve">NETCARE FERNCREST                  </t>
  </si>
  <si>
    <t>tshegofatso</t>
  </si>
  <si>
    <t>POD received from cell 0647443659 M</t>
  </si>
  <si>
    <t xml:space="preserve">Cosmos Hospital Pharmacy           </t>
  </si>
  <si>
    <t>N.CALITZ</t>
  </si>
  <si>
    <t xml:space="preserve">velaphi                       </t>
  </si>
  <si>
    <t xml:space="preserve">POD received from cell 0793866786 M     </t>
  </si>
  <si>
    <t xml:space="preserve">FLORA CLINIC DISPENSARY            </t>
  </si>
  <si>
    <t>PHIA SWARTZ</t>
  </si>
  <si>
    <t>Dominic</t>
  </si>
  <si>
    <t>POD received from cell 0699944932 M</t>
  </si>
  <si>
    <t xml:space="preserve">Glynwood Dispensary                </t>
  </si>
  <si>
    <t>ANDREA FERREIARA</t>
  </si>
  <si>
    <t>Khulekani</t>
  </si>
  <si>
    <t>POD received from cell 0817257646 M</t>
  </si>
  <si>
    <t>FLYER SUTUYRES-5</t>
  </si>
  <si>
    <t>STILF</t>
  </si>
  <si>
    <t>STILFONTEIN</t>
  </si>
  <si>
    <t xml:space="preserve">Klerksdorp Dierekliniek            </t>
  </si>
  <si>
    <t>Chane</t>
  </si>
  <si>
    <t>POD received from cell 0684312636 M</t>
  </si>
  <si>
    <t>FLYER SUTURES-=4</t>
  </si>
  <si>
    <t>WORCE</t>
  </si>
  <si>
    <t>WORCESTER</t>
  </si>
  <si>
    <t xml:space="preserve">Boland Dierekliniek                </t>
  </si>
  <si>
    <t>CAROL</t>
  </si>
  <si>
    <t>ESMARELDA</t>
  </si>
  <si>
    <t>POD received from cell 0813352451 M</t>
  </si>
  <si>
    <t>BOX SUTURES-26</t>
  </si>
  <si>
    <t xml:space="preserve">Nelspruit Surgiclinic              </t>
  </si>
  <si>
    <t>KAREN</t>
  </si>
  <si>
    <t>dudu</t>
  </si>
  <si>
    <t>NGF</t>
  </si>
  <si>
    <t xml:space="preserve">Advanced Durbanville               </t>
  </si>
  <si>
    <t>ANKIA</t>
  </si>
  <si>
    <t>David</t>
  </si>
  <si>
    <t>FLYER SUTUYRES-4</t>
  </si>
  <si>
    <t xml:space="preserve">DR Roger Graham                    </t>
  </si>
  <si>
    <t>SR BETTS</t>
  </si>
  <si>
    <t xml:space="preserve">B  Snyman                     </t>
  </si>
  <si>
    <t xml:space="preserve">CAPE SPECIALIST SURGICAL           </t>
  </si>
  <si>
    <t>cassandra</t>
  </si>
  <si>
    <t>FLYER SUTURES-01</t>
  </si>
  <si>
    <t xml:space="preserve">Life Peglerae Hospit               </t>
  </si>
  <si>
    <t>S VAN DER BERG</t>
  </si>
  <si>
    <t>Johanna</t>
  </si>
  <si>
    <t>FLYER SUTURES</t>
  </si>
  <si>
    <t>A GOTYANA</t>
  </si>
  <si>
    <t>Riyaad</t>
  </si>
  <si>
    <t>FLYER SUTURES-</t>
  </si>
  <si>
    <t>SELERNA</t>
  </si>
  <si>
    <t>BOX SJUTURES-19</t>
  </si>
  <si>
    <t>RIXILE</t>
  </si>
  <si>
    <t xml:space="preserve">Bryanston Avian Exotic             </t>
  </si>
  <si>
    <t>DAELENE</t>
  </si>
  <si>
    <t>Nadine</t>
  </si>
  <si>
    <t>POD received from cell 0737168659 M</t>
  </si>
  <si>
    <t>FLYER SUTURTES-4</t>
  </si>
  <si>
    <t xml:space="preserve">Netcare Sunninghill HospitICU      </t>
  </si>
  <si>
    <t>kamo</t>
  </si>
  <si>
    <t xml:space="preserve">Arwyp Medical Cntr                 </t>
  </si>
  <si>
    <t>Colleen</t>
  </si>
  <si>
    <t>Petrus</t>
  </si>
  <si>
    <t>POD received from cell 0659348365 M</t>
  </si>
  <si>
    <t>Box Sutures-20</t>
  </si>
  <si>
    <t>L.MAGODLA</t>
  </si>
  <si>
    <t>CONSTANCE</t>
  </si>
  <si>
    <t>pule</t>
  </si>
  <si>
    <t>sivuyile</t>
  </si>
  <si>
    <t>POD received from cell 0732794033 M</t>
  </si>
  <si>
    <t xml:space="preserve">Dr S.D. Otto                       </t>
  </si>
  <si>
    <t>CATHY</t>
  </si>
  <si>
    <t>Helene</t>
  </si>
  <si>
    <t>FLYER SUTUREWS-4</t>
  </si>
  <si>
    <t xml:space="preserve">LOTUS ADVANCE                      </t>
  </si>
  <si>
    <t>KUTHLEN</t>
  </si>
  <si>
    <t>JADE</t>
  </si>
  <si>
    <t>pmo</t>
  </si>
  <si>
    <t xml:space="preserve">WC Health Helderberg Hospit        </t>
  </si>
  <si>
    <t>Marinda</t>
  </si>
  <si>
    <t>tamlyn</t>
  </si>
  <si>
    <t>KIM GRAUSO</t>
  </si>
  <si>
    <t>jam</t>
  </si>
  <si>
    <t>SR RONNIE</t>
  </si>
  <si>
    <t xml:space="preserve"> catlyn                       </t>
  </si>
  <si>
    <t>KIM GRAUSA</t>
  </si>
  <si>
    <t>RONEL D HAAN</t>
  </si>
  <si>
    <t xml:space="preserve">MC DAY THEATRE                     </t>
  </si>
  <si>
    <t>MALEEN</t>
  </si>
  <si>
    <t>Joyce Singleton</t>
  </si>
  <si>
    <t xml:space="preserve">RMC PHARMACY PTY LTD               </t>
  </si>
  <si>
    <t>max</t>
  </si>
  <si>
    <t xml:space="preserve">LIFE CARSETNHOF HOSPITAL           </t>
  </si>
  <si>
    <t xml:space="preserve">nyaniso                       </t>
  </si>
  <si>
    <t xml:space="preserve">POD received from cell 0848256515 M     </t>
  </si>
  <si>
    <t xml:space="preserve">NETCARE LINKWOOD CLINIC            </t>
  </si>
  <si>
    <t>IRENE SCHAPER</t>
  </si>
  <si>
    <t>shiluvelo</t>
  </si>
  <si>
    <t xml:space="preserve">LIFE ROSEPARK HOSP PHARM           </t>
  </si>
  <si>
    <t>LORINDA</t>
  </si>
  <si>
    <t>tshidi</t>
  </si>
  <si>
    <t xml:space="preserve">NETCARE MILPARK HOSPITAL           </t>
  </si>
  <si>
    <t>THEATRE</t>
  </si>
  <si>
    <t xml:space="preserve">sibusiso                      </t>
  </si>
  <si>
    <t xml:space="preserve">POD received from cell 0739842626 M     </t>
  </si>
  <si>
    <t xml:space="preserve">NETCARE POLOKWANE PHARM            </t>
  </si>
  <si>
    <t>MAIN PHARMACY</t>
  </si>
  <si>
    <t>mmakwena</t>
  </si>
  <si>
    <t>0700</t>
  </si>
  <si>
    <t xml:space="preserve">LYNS VET SUPPLIES                  </t>
  </si>
  <si>
    <t xml:space="preserve">PAARL MEDI CLINIC                  </t>
  </si>
  <si>
    <t>PHARMACY MANAGER</t>
  </si>
  <si>
    <t>Jesmine</t>
  </si>
  <si>
    <t>jlc</t>
  </si>
  <si>
    <t xml:space="preserve">CURE DAY HOSPITAL                  </t>
  </si>
  <si>
    <t xml:space="preserve">LIFE FARE GLEN PHY                 </t>
  </si>
  <si>
    <t>0112075208085</t>
  </si>
  <si>
    <t>0043</t>
  </si>
  <si>
    <t xml:space="preserve">MULTICARE MEDICAL                  </t>
  </si>
  <si>
    <t>CHANTELLE</t>
  </si>
  <si>
    <t>tabitha</t>
  </si>
  <si>
    <t>POD received from cell 0662478807 M</t>
  </si>
  <si>
    <t xml:space="preserve">MSC PHARMACY                       </t>
  </si>
  <si>
    <t>carina</t>
  </si>
  <si>
    <t>POD received from cell 0697486889 M</t>
  </si>
  <si>
    <t>BRIT1</t>
  </si>
  <si>
    <t>BRITS</t>
  </si>
  <si>
    <t xml:space="preserve">DISA MED PHARMACY                  </t>
  </si>
  <si>
    <t>JOHANNA</t>
  </si>
  <si>
    <t>Onicca</t>
  </si>
  <si>
    <t>POD received from cell 0790934153 M</t>
  </si>
  <si>
    <t>0250</t>
  </si>
  <si>
    <t>TRICH</t>
  </si>
  <si>
    <t>TRICHARDT</t>
  </si>
  <si>
    <t xml:space="preserve">MEDICLINIC HIGHVELD                </t>
  </si>
  <si>
    <t>MARIETJIE</t>
  </si>
  <si>
    <t xml:space="preserve">M gows                        </t>
  </si>
  <si>
    <t xml:space="preserve">POD received from cell 0827140210 M     </t>
  </si>
  <si>
    <t xml:space="preserve">FOURWAYS HOSPITAL PHY              </t>
  </si>
  <si>
    <t>CHIDO</t>
  </si>
  <si>
    <t>vusi</t>
  </si>
  <si>
    <t>POD received from cell 0734288184 M</t>
  </si>
  <si>
    <t xml:space="preserve">LIFE BAYVIEW PVT HOSP              </t>
  </si>
  <si>
    <t>TANIA</t>
  </si>
  <si>
    <t>JULIAN</t>
  </si>
  <si>
    <t>QUINTON</t>
  </si>
  <si>
    <t>PHIA</t>
  </si>
  <si>
    <t xml:space="preserve">Domanic                       </t>
  </si>
  <si>
    <t xml:space="preserve">POD received from cell 0699944932 M     </t>
  </si>
  <si>
    <t xml:space="preserve">LIFE BRENTHURST HOSPITAL           </t>
  </si>
  <si>
    <t xml:space="preserve">Millicent                     </t>
  </si>
  <si>
    <t xml:space="preserve">Netcare Montana Hospit             </t>
  </si>
  <si>
    <t>ANDRIES</t>
  </si>
  <si>
    <t>AMOS</t>
  </si>
  <si>
    <t>NIRESH</t>
  </si>
  <si>
    <t xml:space="preserve">MED LINE                      </t>
  </si>
  <si>
    <t>IVAN</t>
  </si>
  <si>
    <t>POD received from cell 0682690407 M</t>
  </si>
  <si>
    <t xml:space="preserve">Tecmed Africa Midr                 </t>
  </si>
  <si>
    <t>CIENTHA CHETTY</t>
  </si>
  <si>
    <t>Pearl</t>
  </si>
  <si>
    <t>thami</t>
  </si>
  <si>
    <t>mmd</t>
  </si>
  <si>
    <t>Charmaine</t>
  </si>
  <si>
    <t>KENNETH  PHARMACY</t>
  </si>
  <si>
    <t>pim</t>
  </si>
  <si>
    <t>Box Suture-1</t>
  </si>
  <si>
    <t>raeeze</t>
  </si>
  <si>
    <t>Ashley</t>
  </si>
  <si>
    <t>NAZREEN</t>
  </si>
  <si>
    <t xml:space="preserve">Multicare Medical                  </t>
  </si>
  <si>
    <t>TABITHA</t>
  </si>
  <si>
    <t>taj</t>
  </si>
  <si>
    <t>FLYER SUTURE-6</t>
  </si>
  <si>
    <t xml:space="preserve">nina                          </t>
  </si>
  <si>
    <t>JLC</t>
  </si>
  <si>
    <t xml:space="preserve">DR A G KEPLER                      </t>
  </si>
  <si>
    <t>LEE-ANNE</t>
  </si>
  <si>
    <t xml:space="preserve">fatima                        </t>
  </si>
  <si>
    <t xml:space="preserve">POD received from cell 0645575004 M     </t>
  </si>
  <si>
    <t>FLYER SUTURE-3</t>
  </si>
  <si>
    <t>Adri</t>
  </si>
  <si>
    <t>Box Suture-13</t>
  </si>
  <si>
    <t>STAND</t>
  </si>
  <si>
    <t>STANDERTON</t>
  </si>
  <si>
    <t xml:space="preserve">STANDERTON ANIMAL HOSPITAL         </t>
  </si>
  <si>
    <t>WILNA MULLER</t>
  </si>
  <si>
    <t>lynette</t>
  </si>
  <si>
    <t>POD received from cell 0763671009 M</t>
  </si>
  <si>
    <t xml:space="preserve">Clinix - Tshepo Themba Dispens     </t>
  </si>
  <si>
    <t>GLADNESS</t>
  </si>
  <si>
    <t xml:space="preserve">TEBOGO                        </t>
  </si>
  <si>
    <t xml:space="preserve">Paarl Medi Clinic                  </t>
  </si>
  <si>
    <t>Deon</t>
  </si>
  <si>
    <t>BESSIE POSATUMUS</t>
  </si>
  <si>
    <t>ANDREW</t>
  </si>
  <si>
    <t>Late linehaul</t>
  </si>
  <si>
    <t>ATH</t>
  </si>
  <si>
    <t>TYREEQ</t>
  </si>
  <si>
    <t xml:space="preserve">DR MA HENRY AND ASSOCIATED NO1     </t>
  </si>
  <si>
    <t>AZIZA</t>
  </si>
  <si>
    <t>Aziza</t>
  </si>
  <si>
    <t>POD received from cell 0735647467 M</t>
  </si>
  <si>
    <t>mduduzi</t>
  </si>
  <si>
    <t>nch</t>
  </si>
  <si>
    <t xml:space="preserve">Westville Hospital Phy             </t>
  </si>
  <si>
    <t>ANUSHA</t>
  </si>
  <si>
    <t>Christopher</t>
  </si>
  <si>
    <t>POD received from cell 0710947808 M</t>
  </si>
  <si>
    <t>FLYER SUTURE-2</t>
  </si>
  <si>
    <t xml:space="preserve">MEDICLINIC GENEVA                  </t>
  </si>
  <si>
    <t>LIEZEL</t>
  </si>
  <si>
    <t xml:space="preserve">Bulelani                      </t>
  </si>
  <si>
    <t xml:space="preserve">POD received from cell 0849215600 M     </t>
  </si>
  <si>
    <t>FLYER SAUTURES-2</t>
  </si>
  <si>
    <t xml:space="preserve">Life Rosepark Hospital Phy         </t>
  </si>
  <si>
    <t>L CLOETYE</t>
  </si>
  <si>
    <t xml:space="preserve">THUANI                        </t>
  </si>
  <si>
    <t>BOTS1</t>
  </si>
  <si>
    <t>BOTSWANA (GABARONE)</t>
  </si>
  <si>
    <t xml:space="preserve">LIFE GABERONE PRIVATE HOSPITAL     </t>
  </si>
  <si>
    <t>ICP</t>
  </si>
  <si>
    <t>K MOGOTSI</t>
  </si>
  <si>
    <t>mkh</t>
  </si>
  <si>
    <t>IFL / Ndc / doc</t>
  </si>
  <si>
    <t>GABO</t>
  </si>
  <si>
    <t>TZANE</t>
  </si>
  <si>
    <t>TZANEEN</t>
  </si>
  <si>
    <t xml:space="preserve">Tzaneen Animal Clinic              </t>
  </si>
  <si>
    <t>DR PIETERE CORDIER</t>
  </si>
  <si>
    <t>jana</t>
  </si>
  <si>
    <t>Outlying delivery location</t>
  </si>
  <si>
    <t>liv</t>
  </si>
  <si>
    <t>POD received from cell 0712423614 M</t>
  </si>
  <si>
    <t>0850</t>
  </si>
  <si>
    <t>Wilma Jana</t>
  </si>
  <si>
    <t>Box Suture-14</t>
  </si>
  <si>
    <t>Niel</t>
  </si>
  <si>
    <t>Sam</t>
  </si>
  <si>
    <t>Box Sutures-1</t>
  </si>
  <si>
    <t xml:space="preserve">MILNERS DENTAL SUPPLIES            </t>
  </si>
  <si>
    <t>liezel</t>
  </si>
  <si>
    <t>POD received from cell 0602280558 M</t>
  </si>
  <si>
    <t>VERUL</t>
  </si>
  <si>
    <t>VERULAM</t>
  </si>
  <si>
    <t xml:space="preserve">KWAMASHU CHC                       </t>
  </si>
  <si>
    <t xml:space="preserve">Nomcebo                       </t>
  </si>
  <si>
    <t xml:space="preserve">POD received from cell 0635249895 M     </t>
  </si>
  <si>
    <t xml:space="preserve">Netcare UCT Private Academic H     </t>
  </si>
  <si>
    <t>SIBULELE TOTO</t>
  </si>
  <si>
    <t>Margaret</t>
  </si>
  <si>
    <t>POD received from cell 0633442020 M</t>
  </si>
  <si>
    <t>CHARL</t>
  </si>
  <si>
    <t>Juan</t>
  </si>
  <si>
    <t>POD received from cell 0697291136 M</t>
  </si>
  <si>
    <t xml:space="preserve">MED EQIU                      </t>
  </si>
  <si>
    <t xml:space="preserve">LIFE BAYVIEW PRIVATE HOSPITAL      </t>
  </si>
  <si>
    <t>JOHAN JANSEN VAN RENSBURG</t>
  </si>
  <si>
    <t>MOKONE</t>
  </si>
  <si>
    <t>KRUGE</t>
  </si>
  <si>
    <t>KRUGERSDORP</t>
  </si>
  <si>
    <t xml:space="preserve">Netcare Pinehaven                  </t>
  </si>
  <si>
    <t>ERIC RATSELA</t>
  </si>
  <si>
    <t>Eric</t>
  </si>
  <si>
    <t>POD received from cell 0644108519 M</t>
  </si>
  <si>
    <t xml:space="preserve">FLYER ME                      </t>
  </si>
  <si>
    <t xml:space="preserve">illeg                         </t>
  </si>
  <si>
    <t xml:space="preserve">Dr M Hannah                        </t>
  </si>
  <si>
    <t>DR HANNAH</t>
  </si>
  <si>
    <t xml:space="preserve">L HELEN                       </t>
  </si>
  <si>
    <t xml:space="preserve">Netcare Pretoria East PHY          </t>
  </si>
  <si>
    <t>CHRISTINA</t>
  </si>
  <si>
    <t>0009115653082</t>
  </si>
  <si>
    <t>BOX SUTURE-20</t>
  </si>
  <si>
    <t xml:space="preserve">Upington Mediclinic                </t>
  </si>
  <si>
    <t>FERICKA</t>
  </si>
  <si>
    <t>Victoria</t>
  </si>
  <si>
    <t>POD received from cell 0799240541 M</t>
  </si>
  <si>
    <t>FLYER SUTURE-4</t>
  </si>
  <si>
    <t xml:space="preserve">Nelson Mandela Childrens Hospi     </t>
  </si>
  <si>
    <t>EPHRAIM</t>
  </si>
  <si>
    <t>likotso</t>
  </si>
  <si>
    <t>POD received from cell 0739842626 M</t>
  </si>
  <si>
    <t>SWELL</t>
  </si>
  <si>
    <t>SWELLENDAM</t>
  </si>
  <si>
    <t xml:space="preserve">WC Health Swellendam Hospit        </t>
  </si>
  <si>
    <t>BOKWANA</t>
  </si>
  <si>
    <t>Lee-Andreo</t>
  </si>
  <si>
    <t xml:space="preserve">Northrand Animal Clinic            </t>
  </si>
  <si>
    <t>SR KATE SMITH</t>
  </si>
  <si>
    <t>lena</t>
  </si>
  <si>
    <t>POD received from cell 0605335750 M</t>
  </si>
  <si>
    <t xml:space="preserve">Fourways Hospital Phy              </t>
  </si>
  <si>
    <t>CHIDO CHAUKE</t>
  </si>
  <si>
    <t>keisha</t>
  </si>
  <si>
    <t>BOX SUTURE-11</t>
  </si>
  <si>
    <t xml:space="preserve">Morningside Medi Clinic Pharma     </t>
  </si>
  <si>
    <t>CONRAD VAN DER MESHT</t>
  </si>
  <si>
    <t>Rich</t>
  </si>
  <si>
    <t>POD received from cell 0621762616 M</t>
  </si>
  <si>
    <t>LOLETTA STANDER</t>
  </si>
  <si>
    <t>Dino</t>
  </si>
  <si>
    <t xml:space="preserve">Stella                        </t>
  </si>
  <si>
    <t xml:space="preserve">POD received from cell 0684312636 M     </t>
  </si>
  <si>
    <t>RANDB</t>
  </si>
  <si>
    <t>RANDBURG</t>
  </si>
  <si>
    <t xml:space="preserve">Fernridge Veterinary Clinic        </t>
  </si>
  <si>
    <t>MARINA GOMERSALL</t>
  </si>
  <si>
    <t>anri</t>
  </si>
  <si>
    <t xml:space="preserve">DR ELEANOR MACGREGOR               </t>
  </si>
  <si>
    <t>CHARLENE</t>
  </si>
  <si>
    <t>E MACGREGOR</t>
  </si>
  <si>
    <t>BOX SUTURE-15</t>
  </si>
  <si>
    <t>ANITA SEEGER</t>
  </si>
  <si>
    <t>SOLOMON</t>
  </si>
  <si>
    <t>FLYER SUTUIRE-3</t>
  </si>
  <si>
    <t>LORINDA CLOETE</t>
  </si>
  <si>
    <t>thulani</t>
  </si>
  <si>
    <t>SANRIKA NAIDOO</t>
  </si>
  <si>
    <t>FLYER SUTURE-5</t>
  </si>
  <si>
    <t xml:space="preserve">Dr Paul Betts                      </t>
  </si>
  <si>
    <t>CELESTE</t>
  </si>
  <si>
    <t>terry</t>
  </si>
  <si>
    <t xml:space="preserve">Botshilu Private Hospit            </t>
  </si>
  <si>
    <t>COLLEN</t>
  </si>
  <si>
    <t>botlhale</t>
  </si>
  <si>
    <t>Vehicle breakdown</t>
  </si>
  <si>
    <t>abm</t>
  </si>
  <si>
    <t>0152</t>
  </si>
  <si>
    <t>Megan</t>
  </si>
  <si>
    <t>POD received from cell 0787647917 M</t>
  </si>
  <si>
    <t>FLYER SUTURES1</t>
  </si>
  <si>
    <t xml:space="preserve">Milnerton Medi Clinic Pharma       </t>
  </si>
  <si>
    <t>Sarah</t>
  </si>
  <si>
    <t>songezo</t>
  </si>
  <si>
    <t>JUH</t>
  </si>
  <si>
    <t>MARTRIN</t>
  </si>
  <si>
    <t>S VAN FDER BERG</t>
  </si>
  <si>
    <t xml:space="preserve">Johanna                       </t>
  </si>
  <si>
    <t xml:space="preserve">POD received from cell 0781730799 M     </t>
  </si>
  <si>
    <t>RIA</t>
  </si>
  <si>
    <t>FLYER SUTURE-REPAIRS</t>
  </si>
  <si>
    <t xml:space="preserve">GABLER  MEDICAL                    </t>
  </si>
  <si>
    <t>PREETHUM  MAGNLAL</t>
  </si>
  <si>
    <t>PREETHUM</t>
  </si>
  <si>
    <t>Hold for Collection</t>
  </si>
  <si>
    <t>col</t>
  </si>
  <si>
    <t xml:space="preserve">KLAAT  HOSPITAL                    </t>
  </si>
  <si>
    <t>PONTSO</t>
  </si>
  <si>
    <t>POD received from cell 0818425952 M</t>
  </si>
  <si>
    <t xml:space="preserve">LIFE  PEGLERAE                     </t>
  </si>
  <si>
    <t>HERMANN</t>
  </si>
  <si>
    <t>Tiaan</t>
  </si>
  <si>
    <t>MICHELLE  FICK</t>
  </si>
  <si>
    <t>Jeffrey</t>
  </si>
  <si>
    <t xml:space="preserve">MEDICLINIC  BRITS                  </t>
  </si>
  <si>
    <t>ZORILE</t>
  </si>
  <si>
    <t>Andre</t>
  </si>
  <si>
    <t xml:space="preserve">Kalafong Hospit                    </t>
  </si>
  <si>
    <t>Returned to sender on waybill</t>
  </si>
  <si>
    <t>Returned to sender on waybill number RGA</t>
  </si>
  <si>
    <t>0008</t>
  </si>
  <si>
    <t xml:space="preserve">Paardevlei Specialist Medical      </t>
  </si>
  <si>
    <t>JEFFREY</t>
  </si>
  <si>
    <t>Frederick Sym</t>
  </si>
  <si>
    <t xml:space="preserve">W.P Fasteners                      </t>
  </si>
  <si>
    <t>Dinah Huma</t>
  </si>
  <si>
    <t>lucky</t>
  </si>
  <si>
    <t xml:space="preserve">Tshepong Klerksdorp Hospital P     </t>
  </si>
  <si>
    <t>Tshidi</t>
  </si>
  <si>
    <t>iss</t>
  </si>
  <si>
    <t>POD received from cell 0795552352 M</t>
  </si>
  <si>
    <t xml:space="preserve">Steve Biko Academic Hospit         </t>
  </si>
  <si>
    <t xml:space="preserve">Greys Hospit                       </t>
  </si>
  <si>
    <t>GABNSEN</t>
  </si>
  <si>
    <t>T N Govender</t>
  </si>
  <si>
    <t>POD received from cell 0784468189 M</t>
  </si>
  <si>
    <t>CHARMINE</t>
  </si>
  <si>
    <t xml:space="preserve">Disa Med Durbanville Pharmacy      </t>
  </si>
  <si>
    <t>JOSEPH LUDORF</t>
  </si>
  <si>
    <t>RENE</t>
  </si>
  <si>
    <t>ANANDI</t>
  </si>
  <si>
    <t xml:space="preserve">Shirnel Clinic cc                  </t>
  </si>
  <si>
    <t>SR JULIE COLEMAN</t>
  </si>
  <si>
    <t>rowena</t>
  </si>
  <si>
    <t xml:space="preserve">LIFE CHATSMED GARDEN  PHY          </t>
  </si>
  <si>
    <t>VENUSHA NAIDU</t>
  </si>
  <si>
    <t>chadley</t>
  </si>
  <si>
    <t>POD received from cell 0602200445 M</t>
  </si>
  <si>
    <t>minnie</t>
  </si>
  <si>
    <t xml:space="preserve">LENMED - ZAMOKUHLE PHARMACY        </t>
  </si>
  <si>
    <t>Connie</t>
  </si>
  <si>
    <t>POD received from cell 0795195736 M</t>
  </si>
  <si>
    <t>Judel</t>
  </si>
  <si>
    <t>POD received from cell 0736330154 M</t>
  </si>
  <si>
    <t xml:space="preserve">LENMED - AHMED KATHRADA            </t>
  </si>
  <si>
    <t xml:space="preserve">JUDY                          </t>
  </si>
  <si>
    <t xml:space="preserve">RMC PHARMACY (PTY) LTD             </t>
  </si>
  <si>
    <t>kevin</t>
  </si>
  <si>
    <t>BOX SUTURE-9</t>
  </si>
  <si>
    <t>OTTO PLOOG</t>
  </si>
  <si>
    <t>MELISSA</t>
  </si>
  <si>
    <t>thapelo</t>
  </si>
  <si>
    <t xml:space="preserve">GABLER MEDICAL PTY LTD             </t>
  </si>
  <si>
    <t>MINETTE MONIQUE</t>
  </si>
  <si>
    <t>FLYER SUTURES   SAMP</t>
  </si>
  <si>
    <t>MAIN STORES</t>
  </si>
  <si>
    <t>aqeelah</t>
  </si>
  <si>
    <t xml:space="preserve">MANAPO Hospit                      </t>
  </si>
  <si>
    <t>ZANELE</t>
  </si>
  <si>
    <t>BOX SUTURES-20</t>
  </si>
  <si>
    <t>NEIL</t>
  </si>
  <si>
    <t>BOX SUTURE-10</t>
  </si>
  <si>
    <t>Dale</t>
  </si>
  <si>
    <t>POD received from cell 0737385729 M</t>
  </si>
  <si>
    <t xml:space="preserve">WC Health Stellenbosch Hosp        </t>
  </si>
  <si>
    <t>ZOLANI</t>
  </si>
  <si>
    <t xml:space="preserve">NETCARE POLOKWANE                  </t>
  </si>
  <si>
    <t>Metsa</t>
  </si>
  <si>
    <t>POD received from cell 0795513816 M</t>
  </si>
  <si>
    <t xml:space="preserve">THE CROMPTON HOSPITAL PHY          </t>
  </si>
  <si>
    <t>HAZEL PILLAY</t>
  </si>
  <si>
    <t>sahil</t>
  </si>
  <si>
    <t>POD received from cell 0620101330 M</t>
  </si>
  <si>
    <t xml:space="preserve">SANELE                        </t>
  </si>
  <si>
    <t xml:space="preserve">POD received from cell 0784953533 M     </t>
  </si>
  <si>
    <t xml:space="preserve">GOBLER MEDICAL                     </t>
  </si>
  <si>
    <t>NEED TO BE AT THE DEPOT 13 NOV 2025 TO COLLECT</t>
  </si>
  <si>
    <t>RONEL DE HAAN</t>
  </si>
  <si>
    <t>RONEL</t>
  </si>
  <si>
    <t xml:space="preserve">AUBERT PIPE   PROFILE SOLUTION     </t>
  </si>
  <si>
    <t>EUGENE DE JAGER</t>
  </si>
  <si>
    <t>NOLUTHANDO MTSHALI</t>
  </si>
  <si>
    <t>Nomcebo</t>
  </si>
  <si>
    <t>POD received from cell 0607603696 M</t>
  </si>
  <si>
    <t xml:space="preserve">Onderstepoort Veterinary           </t>
  </si>
  <si>
    <t>AMANDA</t>
  </si>
  <si>
    <t>0110</t>
  </si>
  <si>
    <t xml:space="preserve">Pelonomi Hospit                    </t>
  </si>
  <si>
    <t>Pharmacy</t>
  </si>
  <si>
    <t>Tebogo</t>
  </si>
  <si>
    <t>POD received from cell 0833639682 M</t>
  </si>
  <si>
    <t xml:space="preserve">Phekolong Hospit                   </t>
  </si>
  <si>
    <t>A SCHNEIDER</t>
  </si>
  <si>
    <t>peter</t>
  </si>
  <si>
    <t>AGREEMENT</t>
  </si>
  <si>
    <t>POD received from cell 0762500778 M</t>
  </si>
  <si>
    <t>GELUK</t>
  </si>
  <si>
    <t>GELUKWAARTS</t>
  </si>
  <si>
    <t xml:space="preserve">NETCARE KROON Hospit               </t>
  </si>
  <si>
    <t>DOREEN</t>
  </si>
  <si>
    <t>VALECIA</t>
  </si>
  <si>
    <t>Theresa</t>
  </si>
  <si>
    <t xml:space="preserve">Mediclinic Sandton Pharmacy        </t>
  </si>
  <si>
    <t>COMFORT-PHARMACY</t>
  </si>
  <si>
    <t>tyreeq</t>
  </si>
  <si>
    <t>juh</t>
  </si>
  <si>
    <t>Brett Kriel</t>
  </si>
  <si>
    <t>Flyer Suture-2</t>
  </si>
  <si>
    <t>Mrs M.Ludick</t>
  </si>
  <si>
    <t>lawrencia</t>
  </si>
  <si>
    <t>POD received from cell 0844433687 M</t>
  </si>
  <si>
    <t>Flyer Suture-4</t>
  </si>
  <si>
    <t>rethabile</t>
  </si>
  <si>
    <t xml:space="preserve">Netcare Park Lane Pharmacy         </t>
  </si>
  <si>
    <t>ntokozo</t>
  </si>
  <si>
    <t xml:space="preserve">Royal Hospit   Heart Cntr          </t>
  </si>
  <si>
    <t>YOLANDA</t>
  </si>
  <si>
    <t>ROGER</t>
  </si>
  <si>
    <t>Martin</t>
  </si>
  <si>
    <t>POD received from cell 0813552012 M</t>
  </si>
  <si>
    <t xml:space="preserve">Rados   ta Morton   Partners       </t>
  </si>
  <si>
    <t>NAJWAH</t>
  </si>
  <si>
    <t>Massood</t>
  </si>
  <si>
    <t>POD received from cell 0720194745 M</t>
  </si>
  <si>
    <t>BOX SUTURES-16</t>
  </si>
  <si>
    <t xml:space="preserve">BEDFORD DENTAL                     </t>
  </si>
  <si>
    <t>LEIGH</t>
  </si>
  <si>
    <t>Leigh</t>
  </si>
  <si>
    <t>POD received from cell 0733906271 M</t>
  </si>
  <si>
    <t>ABEY</t>
  </si>
  <si>
    <t>CHARMAINE</t>
  </si>
  <si>
    <t xml:space="preserve">MICHELLE  PHARMACY            </t>
  </si>
  <si>
    <t>BOX SUTRURES-1</t>
  </si>
  <si>
    <t>emelda</t>
  </si>
  <si>
    <t>NEWCA</t>
  </si>
  <si>
    <t>NEWCASTLE</t>
  </si>
  <si>
    <t xml:space="preserve">MEDICLINIC NEWCASTLE               </t>
  </si>
  <si>
    <t>INNOCENT</t>
  </si>
  <si>
    <t>innocent</t>
  </si>
  <si>
    <t>POD received from cell 0826848550 M</t>
  </si>
  <si>
    <t>0046</t>
  </si>
  <si>
    <t>MR MARIUSDELPORT</t>
  </si>
  <si>
    <t>KARABELO</t>
  </si>
  <si>
    <t>PHARMACY J COMBRINK</t>
  </si>
  <si>
    <t xml:space="preserve">MUCCPP MANGUANG                    </t>
  </si>
  <si>
    <t>POD received from cell 0826076201 M</t>
  </si>
  <si>
    <t>HASRECH 0132839000</t>
  </si>
  <si>
    <t xml:space="preserve">jeone                         </t>
  </si>
  <si>
    <t>nns</t>
  </si>
  <si>
    <t>BOX SUTURE-8</t>
  </si>
  <si>
    <t xml:space="preserve">Noordheuwel Animal Clinic          </t>
  </si>
  <si>
    <t>JANINE</t>
  </si>
  <si>
    <t>hugo</t>
  </si>
  <si>
    <t>POD received from cell 0794524703 M</t>
  </si>
  <si>
    <t>BOX SUTURE-12</t>
  </si>
  <si>
    <t>Richs</t>
  </si>
  <si>
    <t>GLADNESS PHARMACY</t>
  </si>
  <si>
    <t>MATHAPELO</t>
  </si>
  <si>
    <t>JMA</t>
  </si>
  <si>
    <t>FLYER STATIONERY</t>
  </si>
  <si>
    <t>Box Sutures-196 Box Sutures-44</t>
  </si>
  <si>
    <t>Lydia</t>
  </si>
  <si>
    <t>EMMA</t>
  </si>
  <si>
    <t>Mariam</t>
  </si>
  <si>
    <t xml:space="preserve">Pietersburg Hospital(Polokwane     </t>
  </si>
  <si>
    <t>MOLEPO m</t>
  </si>
  <si>
    <t>POD received from cell 0791933005 M</t>
  </si>
  <si>
    <t>KGOTSEMANG</t>
  </si>
  <si>
    <t>SIBOLEKE</t>
  </si>
  <si>
    <t>HEILB</t>
  </si>
  <si>
    <t>HEILBRON</t>
  </si>
  <si>
    <t xml:space="preserve">Tokollo Hospit                     </t>
  </si>
  <si>
    <t>MFUTHA</t>
  </si>
  <si>
    <t>POD received from cell 0791680092 M</t>
  </si>
  <si>
    <t xml:space="preserve">WC Health Worcester Hospit         </t>
  </si>
  <si>
    <t>garaldine</t>
  </si>
  <si>
    <t>DENNI</t>
  </si>
  <si>
    <t>DENNILTON</t>
  </si>
  <si>
    <t xml:space="preserve">Philadelphia Hospit                </t>
  </si>
  <si>
    <t>Moholola</t>
  </si>
  <si>
    <t>POD received from cell 0814779673 M</t>
  </si>
  <si>
    <t xml:space="preserve">PHOENIX CHC                        </t>
  </si>
  <si>
    <t>nozipho</t>
  </si>
  <si>
    <t>POD received from cell 0698085401 M</t>
  </si>
  <si>
    <t xml:space="preserve">Wentworth Hospit                   </t>
  </si>
  <si>
    <t>B SITHOLE</t>
  </si>
  <si>
    <t>BRUCE</t>
  </si>
  <si>
    <t>POD received from cell 0661437222 M</t>
  </si>
  <si>
    <t>SPRI3</t>
  </si>
  <si>
    <t>SPRINGS</t>
  </si>
  <si>
    <t xml:space="preserve">Far East Rand Hospital             </t>
  </si>
  <si>
    <t>dennis</t>
  </si>
  <si>
    <t>THE PHARMACIST</t>
  </si>
  <si>
    <t>lothano</t>
  </si>
  <si>
    <t>ayanda</t>
  </si>
  <si>
    <t>POD received from cell 0642984653 M</t>
  </si>
  <si>
    <t>neo</t>
  </si>
  <si>
    <t xml:space="preserve">SAM                           </t>
  </si>
  <si>
    <t xml:space="preserve">Netcare N17 Pharma                 </t>
  </si>
  <si>
    <t>HANTIE</t>
  </si>
  <si>
    <t>FRAN1</t>
  </si>
  <si>
    <t>FRANKFORT</t>
  </si>
  <si>
    <t xml:space="preserve">Frankfort Hospit                   </t>
  </si>
  <si>
    <t>naledi</t>
  </si>
  <si>
    <t>ern</t>
  </si>
  <si>
    <t>BOX SUTURE-17</t>
  </si>
  <si>
    <t xml:space="preserve">KENNETH                       </t>
  </si>
  <si>
    <t>BOX SUTURES-1</t>
  </si>
  <si>
    <t xml:space="preserve">DISA MED PHARMACY BRITS            </t>
  </si>
  <si>
    <t>Hilton</t>
  </si>
  <si>
    <t>POD received from cell 0761265903 M</t>
  </si>
  <si>
    <t>Ernest</t>
  </si>
  <si>
    <t>POD received from cell 0749349281 M</t>
  </si>
  <si>
    <t>L CLOETE</t>
  </si>
  <si>
    <t>nicole</t>
  </si>
  <si>
    <t xml:space="preserve">Kilner Park Day Clinic             </t>
  </si>
  <si>
    <t>ANNETTE PIENAAR</t>
  </si>
  <si>
    <t>0606025924089</t>
  </si>
  <si>
    <t xml:space="preserve">Citivet Bothasig                   </t>
  </si>
  <si>
    <t>DEE</t>
  </si>
  <si>
    <t xml:space="preserve">DR LECHTAPE GRUTER                 </t>
  </si>
  <si>
    <t>LFUKA</t>
  </si>
  <si>
    <t>BOX SUTURE-13</t>
  </si>
  <si>
    <t xml:space="preserve">Zwartkop Animal Clionic            </t>
  </si>
  <si>
    <t>FRANSIE</t>
  </si>
  <si>
    <t>GAIL</t>
  </si>
  <si>
    <t xml:space="preserve">VETS   PETS VET CLINIC             </t>
  </si>
  <si>
    <t>jackie</t>
  </si>
  <si>
    <t>BOX SUTURE-18</t>
  </si>
  <si>
    <t>R THaker</t>
  </si>
  <si>
    <t>MASEMOLA</t>
  </si>
  <si>
    <t>PPM</t>
  </si>
  <si>
    <t>HEID2</t>
  </si>
  <si>
    <t>HEIDELBERG (TVL)</t>
  </si>
  <si>
    <t xml:space="preserve">SUIKERBOSRAND PHARMACY             </t>
  </si>
  <si>
    <t>C BEYERS</t>
  </si>
  <si>
    <t>anita</t>
  </si>
  <si>
    <t>POD received from cell 0751236651 M</t>
  </si>
  <si>
    <t xml:space="preserve">Cintocare                          </t>
  </si>
  <si>
    <t>GIFT HLARAKA</t>
  </si>
  <si>
    <t>GIFT HLAKARA</t>
  </si>
  <si>
    <t>FLYER MEDICAL EQUIPM</t>
  </si>
  <si>
    <t>jon sherry</t>
  </si>
  <si>
    <t xml:space="preserve">merry                         </t>
  </si>
  <si>
    <t xml:space="preserve">POD received from cell 0798215033 M     </t>
  </si>
  <si>
    <t>MONIQUE SKEA</t>
  </si>
  <si>
    <t>BOX SUTURES-27</t>
  </si>
  <si>
    <t xml:space="preserve">St Georges Hospital DISPENSARY     </t>
  </si>
  <si>
    <t xml:space="preserve">Dale Automation                    </t>
  </si>
  <si>
    <t>Rendani Mashamba</t>
  </si>
  <si>
    <t>CSH / FUE / DOC</t>
  </si>
  <si>
    <t>LANGE</t>
  </si>
  <si>
    <t>LANGEBAAN</t>
  </si>
  <si>
    <t xml:space="preserve">LANGEBAAN DAY HOPSITAL             </t>
  </si>
  <si>
    <t>FARIDA AHMED</t>
  </si>
  <si>
    <t xml:space="preserve">FARIDA                        </t>
  </si>
  <si>
    <t xml:space="preserve">INKOSI ALBERT LUTHULI CENTRAL      </t>
  </si>
  <si>
    <t>NHLAKANIPHO</t>
  </si>
  <si>
    <t xml:space="preserve">BOX MED                       </t>
  </si>
  <si>
    <t>GOITSEMANG</t>
  </si>
  <si>
    <t>Alex</t>
  </si>
  <si>
    <t xml:space="preserve">Box Line                      </t>
  </si>
  <si>
    <t>MAPHOSA</t>
  </si>
  <si>
    <t xml:space="preserve">Flyer Su                      </t>
  </si>
  <si>
    <t xml:space="preserve">Apex Surgi Centre                  </t>
  </si>
  <si>
    <t>Jane Nyakoe</t>
  </si>
  <si>
    <t>portia</t>
  </si>
  <si>
    <t xml:space="preserve">LERATONG HOSPITAL                  </t>
  </si>
  <si>
    <t>RHUDZANI</t>
  </si>
  <si>
    <t xml:space="preserve">Helen Joseph Hospit                </t>
  </si>
  <si>
    <t>STORESW</t>
  </si>
  <si>
    <t>Nokwanda</t>
  </si>
  <si>
    <t>POD received from cell 0715578102 M</t>
  </si>
  <si>
    <t xml:space="preserve">BOZX SUT                      </t>
  </si>
  <si>
    <t xml:space="preserve">Newcastle Provincial Hospit        </t>
  </si>
  <si>
    <t>S KUBHEKE</t>
  </si>
  <si>
    <t>S M Thabede</t>
  </si>
  <si>
    <t>CEDAR</t>
  </si>
  <si>
    <t>CEDARVILLE</t>
  </si>
  <si>
    <t xml:space="preserve">UMPHUMULO HOSPITAL                 </t>
  </si>
  <si>
    <t>ndwalane</t>
  </si>
  <si>
    <t>sefo</t>
  </si>
  <si>
    <t>tes</t>
  </si>
  <si>
    <t>HENNIE</t>
  </si>
  <si>
    <t xml:space="preserve">Wilgeheuwel Hospital Pharmacy      </t>
  </si>
  <si>
    <t>MARION PUTTERILL</t>
  </si>
  <si>
    <t>dominic</t>
  </si>
  <si>
    <t>POD received from cell 0768853023 M</t>
  </si>
  <si>
    <t xml:space="preserve">Life Eugene Marais Hospit          </t>
  </si>
  <si>
    <t>FERNANDO WILLIAMS</t>
  </si>
  <si>
    <t>VALENCIA</t>
  </si>
  <si>
    <t>Estelle</t>
  </si>
  <si>
    <t xml:space="preserve">Thembisa                      </t>
  </si>
  <si>
    <t xml:space="preserve">POD received from cell 0814739791 M     </t>
  </si>
  <si>
    <t>BELINDA VAN ROOYEN</t>
  </si>
  <si>
    <t>richs</t>
  </si>
  <si>
    <t>Agreement</t>
  </si>
  <si>
    <t>POD received from cell 0676482921 M</t>
  </si>
  <si>
    <t xml:space="preserve">Mediclinic Highveld                </t>
  </si>
  <si>
    <t>MARIETJIE SCHIZZAROTTO</t>
  </si>
  <si>
    <t xml:space="preserve">M Gouws                       </t>
  </si>
  <si>
    <t xml:space="preserve">Old Chapel Vet Clinic              </t>
  </si>
  <si>
    <t>ANTHONY</t>
  </si>
  <si>
    <t>BOX SUTUIRES-21</t>
  </si>
  <si>
    <t>Hana</t>
  </si>
  <si>
    <t>asisipho</t>
  </si>
  <si>
    <t>S NAIDOO</t>
  </si>
  <si>
    <t xml:space="preserve">simphiwe                      </t>
  </si>
  <si>
    <t xml:space="preserve">POD received from cell 0834186909 M     </t>
  </si>
  <si>
    <t>PHARMACXY</t>
  </si>
  <si>
    <t>P KHUMALO</t>
  </si>
  <si>
    <t xml:space="preserve">CURE DAY HOSPITALS PAARL           </t>
  </si>
  <si>
    <t>Lesley Dawn</t>
  </si>
  <si>
    <t>LEE ANNE</t>
  </si>
  <si>
    <t>Ann Lee</t>
  </si>
  <si>
    <t>POD received from cell 0645575004 M</t>
  </si>
  <si>
    <t>FLYER SUTRURES-1</t>
  </si>
  <si>
    <t>Alfred</t>
  </si>
  <si>
    <t>judel</t>
  </si>
  <si>
    <t>POD received from cell 0670612858 M</t>
  </si>
  <si>
    <t>Diane</t>
  </si>
  <si>
    <t>BOX SUTURES-24</t>
  </si>
  <si>
    <t xml:space="preserve">abby                          </t>
  </si>
  <si>
    <t xml:space="preserve">POD received from cell 0738058187 M     </t>
  </si>
  <si>
    <t>Asanda</t>
  </si>
  <si>
    <t>MAIN THEATRREW</t>
  </si>
  <si>
    <t xml:space="preserve">PHUTI                         </t>
  </si>
  <si>
    <t>FL;YER SUTURES-2</t>
  </si>
  <si>
    <t>R THAKER</t>
  </si>
  <si>
    <t xml:space="preserve">Life Brenthurst Hospital Phy       </t>
  </si>
  <si>
    <t xml:space="preserve">George                        </t>
  </si>
  <si>
    <t>ZASTR</t>
  </si>
  <si>
    <t>ZASTRON</t>
  </si>
  <si>
    <t xml:space="preserve">ZASTRON HOSPITAL                   </t>
  </si>
  <si>
    <t>BONGANI</t>
  </si>
  <si>
    <t>POD received from cell 0790644652 M</t>
  </si>
  <si>
    <t>C AHAUKE</t>
  </si>
  <si>
    <t>FLYER SUTUIRES-3</t>
  </si>
  <si>
    <t>coatzee</t>
  </si>
  <si>
    <t>the</t>
  </si>
  <si>
    <t xml:space="preserve">SKYNET  DEPOT                      </t>
  </si>
  <si>
    <t>STEFAN</t>
  </si>
  <si>
    <t>RONEL BDE  HAAN</t>
  </si>
  <si>
    <t>bassie</t>
  </si>
  <si>
    <t xml:space="preserve">GABLER MEDICAL SUITE 7             </t>
  </si>
  <si>
    <t>KIM BERNAN</t>
  </si>
  <si>
    <t>MONIQUE MOSTER</t>
  </si>
  <si>
    <t>KIM</t>
  </si>
  <si>
    <t xml:space="preserve">GABLER MEDICAL CPT                 </t>
  </si>
  <si>
    <t>ALEX BUYS</t>
  </si>
  <si>
    <t>KEDIBONE</t>
  </si>
  <si>
    <t xml:space="preserve">DORA NGINZA HOSPITAL               </t>
  </si>
  <si>
    <t>DELIVER IN NEONATAL DEPARTMENT</t>
  </si>
  <si>
    <t>MATRON JEZILE</t>
  </si>
  <si>
    <t>N V Jezile</t>
  </si>
  <si>
    <t>POD received from cell 0731166215 M</t>
  </si>
  <si>
    <t>PREETHUM MAGANIAL</t>
  </si>
  <si>
    <t>PATRICIA NTHOGA</t>
  </si>
  <si>
    <t>P Magamal</t>
  </si>
  <si>
    <t>ikh</t>
  </si>
  <si>
    <t>coetzee</t>
  </si>
  <si>
    <t xml:space="preserve">GALDER MEDICAL                     </t>
  </si>
  <si>
    <t>LEVENE KALLOORAM</t>
  </si>
  <si>
    <t xml:space="preserve">Levene                        </t>
  </si>
  <si>
    <t>ZANELE MPINGWANE</t>
  </si>
  <si>
    <t>POD received from cell 0649482691 M</t>
  </si>
  <si>
    <t xml:space="preserve">Netcare Kroon Pharma               </t>
  </si>
  <si>
    <t>REFILOE</t>
  </si>
  <si>
    <t xml:space="preserve">Life Springs Parkland Hospital     </t>
  </si>
  <si>
    <t>ANITA TALJAARD</t>
  </si>
  <si>
    <t>Lwazi</t>
  </si>
  <si>
    <t>POD received from cell 0609039667 M</t>
  </si>
  <si>
    <t xml:space="preserve">ORAL   DENTAL HOSPITAL -UP         </t>
  </si>
  <si>
    <t>RAKUNAMA</t>
  </si>
  <si>
    <t>WILMA JANA</t>
  </si>
  <si>
    <t>Richard</t>
  </si>
  <si>
    <t>GLADNESS{PHARMACY}</t>
  </si>
  <si>
    <t>matapelo</t>
  </si>
  <si>
    <t>VICTORIA</t>
  </si>
  <si>
    <t>FLYER-3</t>
  </si>
  <si>
    <t>alex</t>
  </si>
  <si>
    <t>MDU</t>
  </si>
  <si>
    <t>Dylan</t>
  </si>
  <si>
    <t xml:space="preserve">TSHIDI                        </t>
  </si>
  <si>
    <t>Andrew</t>
  </si>
  <si>
    <t>anzio</t>
  </si>
  <si>
    <t xml:space="preserve">MEDICAL HOSPITAL OF LEBOWAKGOM     </t>
  </si>
  <si>
    <t>BELLE</t>
  </si>
  <si>
    <t>christabel</t>
  </si>
  <si>
    <t>HND / NDC / FUE / DOC</t>
  </si>
  <si>
    <t>0737</t>
  </si>
  <si>
    <t xml:space="preserve">CLINIX - DR SK MATSEKE MEMI HO     </t>
  </si>
  <si>
    <t>LEE</t>
  </si>
  <si>
    <t xml:space="preserve">NETCARE ST AUGUSTINES HOSPITAL     </t>
  </si>
  <si>
    <t>FAARQA</t>
  </si>
  <si>
    <t>lev</t>
  </si>
  <si>
    <t>P SWARTZ</t>
  </si>
  <si>
    <t>RANDF</t>
  </si>
  <si>
    <t>RANDFONTEIN</t>
  </si>
  <si>
    <t xml:space="preserve">Robinson Private Hospit            </t>
  </si>
  <si>
    <t>OLIVIA</t>
  </si>
  <si>
    <t>hope</t>
  </si>
  <si>
    <t>POD received from cell 0679017498 M</t>
  </si>
  <si>
    <t xml:space="preserve">BUSAMED BRAM FISHER INT AIRPOR     </t>
  </si>
  <si>
    <t>renaldo</t>
  </si>
  <si>
    <t>NOKWANDA</t>
  </si>
  <si>
    <t>HLUHL</t>
  </si>
  <si>
    <t>HLUHLUWE</t>
  </si>
  <si>
    <t xml:space="preserve">OTHOBOTHINI CHC                    </t>
  </si>
  <si>
    <t xml:space="preserve">lp mthembu                    </t>
  </si>
  <si>
    <t xml:space="preserve">POD received from cell 0796682679 M     </t>
  </si>
  <si>
    <t xml:space="preserve">Gravity Medical                    </t>
  </si>
  <si>
    <t>l sibley</t>
  </si>
  <si>
    <t>POD received from cell 0842084217 M</t>
  </si>
  <si>
    <t xml:space="preserve">Durdoc Clinic                      </t>
  </si>
  <si>
    <t>SUJETH</t>
  </si>
  <si>
    <t>jerna</t>
  </si>
  <si>
    <t>LEV</t>
  </si>
  <si>
    <t>POD received from cell 0820669074 M</t>
  </si>
  <si>
    <t xml:space="preserve">Impala Platinum Mines              </t>
  </si>
  <si>
    <t>LINDA</t>
  </si>
  <si>
    <t>LEONARD</t>
  </si>
  <si>
    <t xml:space="preserve">RIXILE                        </t>
  </si>
  <si>
    <t>POTGI</t>
  </si>
  <si>
    <t>POTGIETERSRUS</t>
  </si>
  <si>
    <t xml:space="preserve">Mokopane Hospit                    </t>
  </si>
  <si>
    <t>Dlamini</t>
  </si>
  <si>
    <t>POD received from cell 0815633627 M</t>
  </si>
  <si>
    <t>0601</t>
  </si>
  <si>
    <t xml:space="preserve">Netcare St Annes Hospit            </t>
  </si>
  <si>
    <t>SELWYN VAN WYK</t>
  </si>
  <si>
    <t>Ntokozo</t>
  </si>
  <si>
    <t>TRACEY  COETZEE</t>
  </si>
  <si>
    <t>INNOCENT  GUMBI</t>
  </si>
  <si>
    <t>Ferdi</t>
  </si>
  <si>
    <t>IBC</t>
  </si>
  <si>
    <t>LIFE GABORONE  PVT HOSP</t>
  </si>
  <si>
    <t>JEFFERY JACOBUS</t>
  </si>
  <si>
    <t>DITSHUPO</t>
  </si>
  <si>
    <t>CDC</t>
  </si>
  <si>
    <t xml:space="preserve">Jeffrey                       </t>
  </si>
  <si>
    <t xml:space="preserve">POD received from cell 0659386993 M     </t>
  </si>
  <si>
    <t>BOX SUTURES-196 BOX SUTURES-100 BOX SUTURES-24</t>
  </si>
  <si>
    <t xml:space="preserve">SKYNET  DURBAN                     </t>
  </si>
  <si>
    <t>KIM BERNON</t>
  </si>
  <si>
    <t>PERCY NDLOVU</t>
  </si>
  <si>
    <t>LAYLA</t>
  </si>
  <si>
    <t>VEREE</t>
  </si>
  <si>
    <t>VEREENIGING</t>
  </si>
  <si>
    <t xml:space="preserve">CLINIX - DR PHAKISA MOKHESI PV     </t>
  </si>
  <si>
    <t>ZUKISWA</t>
  </si>
  <si>
    <t>ANDRE DE BEER</t>
  </si>
  <si>
    <t>FLYER RETURN SAMPLE</t>
  </si>
  <si>
    <t>siyabonga</t>
  </si>
  <si>
    <t>SYSTEM</t>
  </si>
  <si>
    <t>CERES</t>
  </si>
  <si>
    <t xml:space="preserve">Ceres Vet Hospit                   </t>
  </si>
  <si>
    <t>DR WIUM</t>
  </si>
  <si>
    <t>driedri</t>
  </si>
  <si>
    <t>POD received from cell 0797182636 M</t>
  </si>
  <si>
    <t xml:space="preserve">Intercare Day Hospit Century       </t>
  </si>
  <si>
    <t>FRANCHESTE</t>
  </si>
  <si>
    <t>Tania Labuschagne</t>
  </si>
  <si>
    <t>Flyer Suture-3</t>
  </si>
  <si>
    <t>BENNY</t>
  </si>
  <si>
    <t>jma</t>
  </si>
  <si>
    <t xml:space="preserve">Valley Farm Animal Hospit          </t>
  </si>
  <si>
    <t>LEBOGANG</t>
  </si>
  <si>
    <t>Lena</t>
  </si>
  <si>
    <t>RANIA</t>
  </si>
  <si>
    <t>POD received from cell 0625092893 M</t>
  </si>
  <si>
    <t>londiwe</t>
  </si>
  <si>
    <t>POD received from cell 0658104511 M</t>
  </si>
  <si>
    <t>hilda</t>
  </si>
  <si>
    <t xml:space="preserve">RASLOUW HOSPITAL PHARMACY          </t>
  </si>
  <si>
    <t>ISAC NDLOVU</t>
  </si>
  <si>
    <t>ZANDILE</t>
  </si>
  <si>
    <t>ppm</t>
  </si>
  <si>
    <t>0309045536088</t>
  </si>
  <si>
    <t>BOX SUTURE-14</t>
  </si>
  <si>
    <t>SR BETS</t>
  </si>
  <si>
    <t>B Snyman</t>
  </si>
  <si>
    <t>QUEEN</t>
  </si>
  <si>
    <t>QUEENSTOWN</t>
  </si>
  <si>
    <t xml:space="preserve">DISA MNED PHARMACY QUEENSTOWN      </t>
  </si>
  <si>
    <t>X MEHLALA</t>
  </si>
  <si>
    <t xml:space="preserve">sine                          </t>
  </si>
  <si>
    <t xml:space="preserve">Chartwell Equine Clinic            </t>
  </si>
  <si>
    <t>G Burger</t>
  </si>
  <si>
    <t>R Dhani</t>
  </si>
  <si>
    <t xml:space="preserve">Wilgers Hospit                     </t>
  </si>
  <si>
    <t>JACQUELINE</t>
  </si>
  <si>
    <t>PIM</t>
  </si>
  <si>
    <t>0081</t>
  </si>
  <si>
    <t>Flyer Medicall</t>
  </si>
  <si>
    <t>althea</t>
  </si>
  <si>
    <t>FLYEWR SUTURES-3</t>
  </si>
  <si>
    <t>dlamini</t>
  </si>
  <si>
    <t>POD received from cell 0633843469 M</t>
  </si>
  <si>
    <t xml:space="preserve">New Paradigm Electronics           </t>
  </si>
  <si>
    <t>ILLENEY</t>
  </si>
  <si>
    <t>UMTAT</t>
  </si>
  <si>
    <t>UMTATA</t>
  </si>
  <si>
    <t xml:space="preserve">HEROLIM PRIVATE HOSPITAL           </t>
  </si>
  <si>
    <t>SIZIPHIWE</t>
  </si>
  <si>
    <t>qadirah</t>
  </si>
  <si>
    <t xml:space="preserve">RIXELE                        </t>
  </si>
  <si>
    <t>nelisiwe gama</t>
  </si>
  <si>
    <t xml:space="preserve">The Cupboard Group                 </t>
  </si>
  <si>
    <t>Delia</t>
  </si>
  <si>
    <t>Golden</t>
  </si>
  <si>
    <t>POD received from cell 0837323487 M</t>
  </si>
  <si>
    <t xml:space="preserve">Box Medi                      </t>
  </si>
  <si>
    <t xml:space="preserve">PRETORIA EAST HOSPITAL             </t>
  </si>
  <si>
    <t>P MHLONGO</t>
  </si>
  <si>
    <t>PHILANI</t>
  </si>
  <si>
    <t>0044</t>
  </si>
  <si>
    <t xml:space="preserve">Sunninghill HospitICU              </t>
  </si>
  <si>
    <t>PAULINES</t>
  </si>
  <si>
    <t>phindi</t>
  </si>
  <si>
    <t>POD received from cell 0732219682 M</t>
  </si>
  <si>
    <t>Katlego</t>
  </si>
  <si>
    <t>POD received from cell 0672567076 M</t>
  </si>
  <si>
    <t xml:space="preserve">Mediclinic Newcastle Hospital      </t>
  </si>
  <si>
    <t>MONIQUE DIEDERICKS</t>
  </si>
  <si>
    <t>Innocent Gumbi</t>
  </si>
  <si>
    <t>0169</t>
  </si>
  <si>
    <t xml:space="preserve">King Edward Hospit                 </t>
  </si>
  <si>
    <t>N.KUNENE</t>
  </si>
  <si>
    <t>NKOSIE</t>
  </si>
  <si>
    <t xml:space="preserve">King Dinuzulu Hospit               </t>
  </si>
  <si>
    <t>THABILE</t>
  </si>
  <si>
    <t xml:space="preserve">ARRABON DISTRIBUTIONS              </t>
  </si>
  <si>
    <t>REUBEN</t>
  </si>
  <si>
    <t xml:space="preserve">MEDICAL                       </t>
  </si>
  <si>
    <t xml:space="preserve">Lizelle                       </t>
  </si>
  <si>
    <t xml:space="preserve">POD received from cell 0646029635 M     </t>
  </si>
  <si>
    <t xml:space="preserve">Murchison Hospit                   </t>
  </si>
  <si>
    <t>ZINHLE</t>
  </si>
  <si>
    <t>pinky</t>
  </si>
  <si>
    <t>POD received from cell 0730752722 M</t>
  </si>
  <si>
    <t xml:space="preserve">MILLNERS DENTAL SUPPLIERS          </t>
  </si>
  <si>
    <t>RASHIED FREDERICKS</t>
  </si>
  <si>
    <t>Sanrika NaIDOO</t>
  </si>
  <si>
    <t>promise londiwe</t>
  </si>
  <si>
    <t>mdm</t>
  </si>
  <si>
    <t>POD received from cell 0766388726 M</t>
  </si>
  <si>
    <t>OLIVIA MOTSI</t>
  </si>
  <si>
    <t>LIEZL</t>
  </si>
  <si>
    <t>BAFANA</t>
  </si>
  <si>
    <t xml:space="preserve">Med Pak cc TA                      </t>
  </si>
  <si>
    <t>KYLE 031 7006764</t>
  </si>
  <si>
    <t>Zamani</t>
  </si>
  <si>
    <t>POD received from cell 0671865619 M</t>
  </si>
  <si>
    <t>PETRUS</t>
  </si>
  <si>
    <t>odwa</t>
  </si>
  <si>
    <t xml:space="preserve">MMED DISTRIBUTION PTY LTD          </t>
  </si>
  <si>
    <t>Matimbu</t>
  </si>
  <si>
    <t>POD received from cell 0736404152 M</t>
  </si>
  <si>
    <t>kabelo</t>
  </si>
  <si>
    <t xml:space="preserve">Citivet Monte Vista                </t>
  </si>
  <si>
    <t>Sharon</t>
  </si>
  <si>
    <t>VINOLAIH</t>
  </si>
  <si>
    <t>THABO</t>
  </si>
  <si>
    <t xml:space="preserve">DR YUSUF JADWAT COD ACCOUNT        </t>
  </si>
  <si>
    <t>NATASJA</t>
  </si>
  <si>
    <t>Kayleen</t>
  </si>
  <si>
    <t>POD received from cell 0822621815 M</t>
  </si>
  <si>
    <t xml:space="preserve">DR LIANA VOLKWYN                   </t>
  </si>
  <si>
    <t>DR VOLKWYN</t>
  </si>
  <si>
    <t>0011</t>
  </si>
  <si>
    <t xml:space="preserve">Durbanville Vet                    </t>
  </si>
  <si>
    <t>SR JANET</t>
  </si>
  <si>
    <t>Mareye</t>
  </si>
  <si>
    <t>DR PIETER CORDIER</t>
  </si>
  <si>
    <t>elaine</t>
  </si>
  <si>
    <t>mar</t>
  </si>
  <si>
    <t xml:space="preserve">Netcare Jakaranda Hospital         </t>
  </si>
  <si>
    <t>MIAN THEATHE</t>
  </si>
  <si>
    <t>LIPSON  PHARMACY</t>
  </si>
  <si>
    <t>MIAN THEATRE</t>
  </si>
  <si>
    <t xml:space="preserve">SIBUSISO                      </t>
  </si>
  <si>
    <t>FAUR1</t>
  </si>
  <si>
    <t>FAURE</t>
  </si>
  <si>
    <t xml:space="preserve">WC HEALTH Eerste River             </t>
  </si>
  <si>
    <t xml:space="preserve">Hillary                       </t>
  </si>
  <si>
    <t xml:space="preserve">POD received from cell 0637746166 M     </t>
  </si>
  <si>
    <t>ANUSHA BHANA</t>
  </si>
  <si>
    <t>Wiseman</t>
  </si>
  <si>
    <t xml:space="preserve">ADVANCED HARBOUR BAY               </t>
  </si>
  <si>
    <t>CLAUDE</t>
  </si>
  <si>
    <t>Malcolm</t>
  </si>
  <si>
    <t>POD received from cell 0834604438 M</t>
  </si>
  <si>
    <t>SIVUYILE</t>
  </si>
  <si>
    <t xml:space="preserve">thato                         </t>
  </si>
  <si>
    <t xml:space="preserve">POD received from cell 0735871460 M     </t>
  </si>
  <si>
    <t>Nhlakanipho</t>
  </si>
  <si>
    <t>POD received from cell 0817091316 M</t>
  </si>
  <si>
    <t>ellen</t>
  </si>
  <si>
    <t xml:space="preserve">Netcare St Anne s Hospital         </t>
  </si>
  <si>
    <t xml:space="preserve">kING EDWARD VIII Hospit            </t>
  </si>
  <si>
    <t>N KARTHY</t>
  </si>
  <si>
    <t>MODUSE</t>
  </si>
  <si>
    <t>CHARLENE CHETTY</t>
  </si>
  <si>
    <t>NIPHO</t>
  </si>
  <si>
    <t xml:space="preserve">MUELMED HOSPITAL PHY               </t>
  </si>
  <si>
    <t>MARIA</t>
  </si>
  <si>
    <t xml:space="preserve">Mediclinic Vergelegen Pharmacy     </t>
  </si>
  <si>
    <t>William</t>
  </si>
  <si>
    <t xml:space="preserve">DR C DOMAN -PIA                    </t>
  </si>
  <si>
    <t>IRENE</t>
  </si>
  <si>
    <t>BEKKER</t>
  </si>
  <si>
    <t>0133</t>
  </si>
  <si>
    <t>rathabile</t>
  </si>
  <si>
    <t>POD received from cell 0716046173 M</t>
  </si>
  <si>
    <t>ZANE</t>
  </si>
  <si>
    <t>BOX SUTURE-7</t>
  </si>
  <si>
    <t>SAINT</t>
  </si>
  <si>
    <t xml:space="preserve">max                           </t>
  </si>
  <si>
    <t>baile</t>
  </si>
  <si>
    <t>NELMARE</t>
  </si>
  <si>
    <t>TUMISO  PHARMACY</t>
  </si>
  <si>
    <t xml:space="preserve">Netcare Plokwane Pharmacy          </t>
  </si>
  <si>
    <t>conny</t>
  </si>
  <si>
    <t xml:space="preserve">MATHAPELO                     </t>
  </si>
  <si>
    <t xml:space="preserve">minnie                        </t>
  </si>
  <si>
    <t xml:space="preserve">POD received from cell 0780568122 M     </t>
  </si>
  <si>
    <t xml:space="preserve">MIDMED HOSPITAL PHARMACY           </t>
  </si>
  <si>
    <t>HANNES CLAPTON</t>
  </si>
  <si>
    <t>joseph</t>
  </si>
  <si>
    <t>POD received from cell 0629697187 M</t>
  </si>
  <si>
    <t xml:space="preserve">ASPIRATA  PORTION 5  GAZELLE C     </t>
  </si>
  <si>
    <t>DANIEL HALL</t>
  </si>
  <si>
    <t>mokete</t>
  </si>
  <si>
    <t>DOC / FUE</t>
  </si>
  <si>
    <t>POD received from cell 0833616148 M</t>
  </si>
  <si>
    <t xml:space="preserve">Vacuum Services                    </t>
  </si>
  <si>
    <t>Truck collection due to the weight</t>
  </si>
  <si>
    <t>Michelle Vilar Da Mota</t>
  </si>
  <si>
    <t>GERHARD TITUS</t>
  </si>
  <si>
    <t>STORES STANLEY</t>
  </si>
  <si>
    <t xml:space="preserve">WC HEALTH Mosselbay                </t>
  </si>
  <si>
    <t>M  MZAMANE</t>
  </si>
  <si>
    <t>MICHEAL</t>
  </si>
  <si>
    <t xml:space="preserve">HARRY GWALA REGIONAL HOSPITAL      </t>
  </si>
  <si>
    <t xml:space="preserve">INKOSI ALBERT LUTHULI HOSPITAL     </t>
  </si>
  <si>
    <t xml:space="preserve">Unitas Hospit                      </t>
  </si>
  <si>
    <t>JONH VAN GUND</t>
  </si>
  <si>
    <t>VUSI</t>
  </si>
  <si>
    <t xml:space="preserve">Linmed Hospit                      </t>
  </si>
  <si>
    <t>CINDY BOTHA</t>
  </si>
  <si>
    <t xml:space="preserve">BETHLEHEM  DIHLABENG REGIONAL      </t>
  </si>
  <si>
    <t>LICHT</t>
  </si>
  <si>
    <t>LICHTENBURG</t>
  </si>
  <si>
    <t xml:space="preserve">Lichtenburg Animal Hospit          </t>
  </si>
  <si>
    <t>MINNY</t>
  </si>
  <si>
    <t xml:space="preserve">PETRO                         </t>
  </si>
  <si>
    <t>ABIE</t>
  </si>
  <si>
    <t>violet</t>
  </si>
  <si>
    <t>DUNDE</t>
  </si>
  <si>
    <t>DUNDEE</t>
  </si>
  <si>
    <t xml:space="preserve">POMEROY CHC                        </t>
  </si>
  <si>
    <t>ANDILE</t>
  </si>
  <si>
    <t>sicebi</t>
  </si>
  <si>
    <t>ANNAH  PHARMACY</t>
  </si>
  <si>
    <t>BOX SUTURE-3</t>
  </si>
  <si>
    <t>kgaugelo</t>
  </si>
  <si>
    <t>POD received from cell 0790239816 M</t>
  </si>
  <si>
    <t>MARINDA ZWICK</t>
  </si>
  <si>
    <t>mrs p</t>
  </si>
  <si>
    <t>MARIETIE SCHIZZAROTTO</t>
  </si>
  <si>
    <t>M Gouws</t>
  </si>
  <si>
    <t>POD received from cell 0827140210 M</t>
  </si>
  <si>
    <t>MED EQUIPMENT</t>
  </si>
  <si>
    <t xml:space="preserve">DR EL JANARI - PIA                 </t>
  </si>
  <si>
    <t>debra</t>
  </si>
  <si>
    <t xml:space="preserve">Christopher                   </t>
  </si>
  <si>
    <t xml:space="preserve">POD received from cell 0710947808 M     </t>
  </si>
  <si>
    <t>cornet</t>
  </si>
  <si>
    <t>POD received from cell 0735980209 M</t>
  </si>
  <si>
    <t>NINETTE CALITZ</t>
  </si>
  <si>
    <t>Velaphi</t>
  </si>
  <si>
    <t>Osia</t>
  </si>
  <si>
    <t>LUYANDA MAGODLA</t>
  </si>
  <si>
    <t>selma</t>
  </si>
  <si>
    <t>POD received from cell 0828358925 M</t>
  </si>
  <si>
    <t xml:space="preserve">Netcare Universitas Hospit         </t>
  </si>
  <si>
    <t>TUMELO</t>
  </si>
  <si>
    <t>Thabo</t>
  </si>
  <si>
    <t xml:space="preserve">PROF GU MOHANGI -SPECIALIST PE     </t>
  </si>
  <si>
    <t>Caretaker</t>
  </si>
  <si>
    <t>MEDICAL EQUIPMENT</t>
  </si>
  <si>
    <t>KNYSN</t>
  </si>
  <si>
    <t>KNYSNA</t>
  </si>
  <si>
    <t xml:space="preserve">WC HEALTH KNYSNA Hospit            </t>
  </si>
  <si>
    <t>B KITCHING</t>
  </si>
  <si>
    <t>THAMIE</t>
  </si>
  <si>
    <t xml:space="preserve">Netcare The Bay Hospit             </t>
  </si>
  <si>
    <t>Cindy</t>
  </si>
  <si>
    <t>Abby</t>
  </si>
  <si>
    <t>Box Sutures-19</t>
  </si>
  <si>
    <t>P SwaRTS</t>
  </si>
  <si>
    <t>sthembile</t>
  </si>
  <si>
    <t>N CALITZ</t>
  </si>
  <si>
    <t xml:space="preserve"> mzi                          </t>
  </si>
  <si>
    <t xml:space="preserve">MEDICLINIC                         </t>
  </si>
  <si>
    <t>MARIAAN  MOLL</t>
  </si>
  <si>
    <t>Errol</t>
  </si>
  <si>
    <t xml:space="preserve">SA Spring Manufacturing            </t>
  </si>
  <si>
    <t>Penwell Magagula</t>
  </si>
  <si>
    <t xml:space="preserve">Letaba Hospit                      </t>
  </si>
  <si>
    <t>Vetscapevhh</t>
  </si>
  <si>
    <t>SPRI1</t>
  </si>
  <si>
    <t>SPRINGBOK</t>
  </si>
  <si>
    <t xml:space="preserve">SPRINGBOK HOSPITAL                 </t>
  </si>
  <si>
    <t>ELIZE VENTURA</t>
  </si>
  <si>
    <t>ELIZE</t>
  </si>
  <si>
    <t>HAMMA</t>
  </si>
  <si>
    <t>HAMMANSKRAAL</t>
  </si>
  <si>
    <t xml:space="preserve">LEGAE PTIVATE CLINIC               </t>
  </si>
  <si>
    <t>MRS MBATHA</t>
  </si>
  <si>
    <t>0190</t>
  </si>
  <si>
    <t>AMANZ</t>
  </si>
  <si>
    <t>AMANZIMTOTI</t>
  </si>
  <si>
    <t xml:space="preserve">Kingsway Hospit                    </t>
  </si>
  <si>
    <t>GARY LLOYD</t>
  </si>
  <si>
    <t>Sr Julie Coleman</t>
  </si>
  <si>
    <t>Ashleigh</t>
  </si>
  <si>
    <t xml:space="preserve">KIMBERLEY MEDI CLINIC              </t>
  </si>
  <si>
    <t>FRANS THOMPSON</t>
  </si>
  <si>
    <t>ali</t>
  </si>
  <si>
    <t xml:space="preserve">Plumstead Animal Hospit            </t>
  </si>
  <si>
    <t>Duncan</t>
  </si>
  <si>
    <t xml:space="preserve">V Ryan                        </t>
  </si>
  <si>
    <t xml:space="preserve">POD received from cell 0792230061 M     </t>
  </si>
  <si>
    <t xml:space="preserve">Job Shimankana Tabane              </t>
  </si>
  <si>
    <t>TEMBELIHLE</t>
  </si>
  <si>
    <t>Paulina</t>
  </si>
  <si>
    <t>BOX SUTURES-9</t>
  </si>
  <si>
    <t>SARAH</t>
  </si>
  <si>
    <t>chantal</t>
  </si>
  <si>
    <t>philile</t>
  </si>
  <si>
    <t>STELLA  PHARMACY</t>
  </si>
  <si>
    <t xml:space="preserve">J Kriel                       </t>
  </si>
  <si>
    <t xml:space="preserve">POD received from cell 0662882525 M     </t>
  </si>
  <si>
    <t>rich</t>
  </si>
  <si>
    <t>SONIQUE VAN DER BERG</t>
  </si>
  <si>
    <t xml:space="preserve">MORELAND PHARMACY                  </t>
  </si>
  <si>
    <t>PRISANTHA MOODLEY</t>
  </si>
  <si>
    <t>COLLEEN</t>
  </si>
  <si>
    <t>raymond</t>
  </si>
  <si>
    <t>THANDI</t>
  </si>
  <si>
    <t xml:space="preserve">MOKOPANE HOSPIT                    </t>
  </si>
  <si>
    <t>DOC / DOC / FUE / INS</t>
  </si>
  <si>
    <t>BOX SUTURE-70</t>
  </si>
  <si>
    <t xml:space="preserve">NETCARE HOSPITAL                   </t>
  </si>
  <si>
    <t>MRS VAN PLETSEN</t>
  </si>
  <si>
    <t>GROBL</t>
  </si>
  <si>
    <t>GROBLERSDAL</t>
  </si>
  <si>
    <t xml:space="preserve">ST RITAS HOPITAL                   </t>
  </si>
  <si>
    <t xml:space="preserve">Alphen Vet Hospit                  </t>
  </si>
  <si>
    <t>JESICA</t>
  </si>
  <si>
    <t xml:space="preserve">WC HEALTH GROOTE SCHUUR HOSPIT     </t>
  </si>
  <si>
    <t>RANDY-JADE SNYMAN</t>
  </si>
  <si>
    <t xml:space="preserve">Panorama Veterinary                </t>
  </si>
  <si>
    <t>Monique</t>
  </si>
  <si>
    <t>Med Equipment</t>
  </si>
  <si>
    <t>CHRISTINE</t>
  </si>
  <si>
    <t xml:space="preserve">Advanced MFT (PTY)LTD              </t>
  </si>
  <si>
    <t>YOLANDE  PHARMACY</t>
  </si>
  <si>
    <t>BOX SUTURE-2</t>
  </si>
  <si>
    <t>FLYER SAMPLE-1</t>
  </si>
  <si>
    <t>SONIQUE</t>
  </si>
  <si>
    <t>SAMPLE FLYER-11</t>
  </si>
  <si>
    <t xml:space="preserve">EXOTIC VET CENTURY CITY            </t>
  </si>
  <si>
    <t>FLYER SUTURE-7</t>
  </si>
  <si>
    <t xml:space="preserve">SKYNET DURBAN                      </t>
  </si>
  <si>
    <t>JULIAN ISAAC</t>
  </si>
  <si>
    <t>LIEVENE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</si>
</sst>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A2BE-1895-465D-A624-CB5004D02438}">
  <dimension ref="A1:CN665"/>
  <sheetViews>
    <sheetView tabSelected="1" topLeftCell="A655" workbookViewId="0">
      <selection activeCell="A666" sqref="A666:XFD1039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"GAB2029474"</f>
        <v>GAB2029474</v>
      </c>
      <c r="F2" s="3">
        <v>45964</v>
      </c>
      <c r="G2">
        <v>202608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"invoice 00122312 CT097959     "</f>
        <v xml:space="preserve">invoice 00122312 CT097959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61.08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11.8</v>
      </c>
      <c r="BJ2">
        <v>24.9</v>
      </c>
      <c r="BK2">
        <v>25</v>
      </c>
      <c r="BL2">
        <v>199.73</v>
      </c>
      <c r="BM2">
        <v>29.96</v>
      </c>
      <c r="BN2">
        <v>229.69</v>
      </c>
      <c r="BO2">
        <v>229.69</v>
      </c>
      <c r="BQ2" t="s">
        <v>83</v>
      </c>
      <c r="BR2" t="s">
        <v>84</v>
      </c>
      <c r="BS2" s="3">
        <v>45966</v>
      </c>
      <c r="BT2" s="4">
        <v>0.38333333333333336</v>
      </c>
      <c r="BU2" t="s">
        <v>85</v>
      </c>
      <c r="BV2" t="s">
        <v>86</v>
      </c>
      <c r="BY2">
        <v>124337.43</v>
      </c>
      <c r="CA2">
        <v>8601266266086</v>
      </c>
      <c r="CC2" t="s">
        <v>80</v>
      </c>
      <c r="CD2" s="5" t="s">
        <v>87</v>
      </c>
      <c r="CE2" t="s">
        <v>88</v>
      </c>
      <c r="CF2" s="3">
        <v>45966</v>
      </c>
      <c r="CI2">
        <v>3</v>
      </c>
      <c r="CJ2">
        <v>2</v>
      </c>
      <c r="CK2">
        <v>41</v>
      </c>
      <c r="CL2" t="s">
        <v>89</v>
      </c>
    </row>
    <row r="3" spans="1:92" x14ac:dyDescent="0.3">
      <c r="A3" t="s">
        <v>72</v>
      </c>
      <c r="B3" t="s">
        <v>73</v>
      </c>
      <c r="C3" t="s">
        <v>74</v>
      </c>
      <c r="E3" t="str">
        <f>"GAB2029475"</f>
        <v>GAB2029475</v>
      </c>
      <c r="F3" s="3">
        <v>45964</v>
      </c>
      <c r="G3">
        <v>202608</v>
      </c>
      <c r="H3" t="s">
        <v>75</v>
      </c>
      <c r="I3" t="s">
        <v>76</v>
      </c>
      <c r="J3" t="s">
        <v>77</v>
      </c>
      <c r="K3" t="s">
        <v>78</v>
      </c>
      <c r="L3" t="s">
        <v>90</v>
      </c>
      <c r="M3" t="s">
        <v>91</v>
      </c>
      <c r="N3" t="s">
        <v>92</v>
      </c>
      <c r="O3" t="s">
        <v>82</v>
      </c>
      <c r="P3" t="str">
        <f>"invoice 00041006 ORDGS037059  "</f>
        <v xml:space="preserve">invoice 00041006 ORDGS037059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5.87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119.98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4</v>
      </c>
      <c r="BI3">
        <v>25.7</v>
      </c>
      <c r="BJ3">
        <v>57.7</v>
      </c>
      <c r="BK3">
        <v>58</v>
      </c>
      <c r="BL3">
        <v>386.67</v>
      </c>
      <c r="BM3">
        <v>58</v>
      </c>
      <c r="BN3">
        <v>444.67</v>
      </c>
      <c r="BO3">
        <v>444.67</v>
      </c>
      <c r="BQ3" t="s">
        <v>93</v>
      </c>
      <c r="BR3" t="s">
        <v>84</v>
      </c>
      <c r="BS3" s="3">
        <v>45966</v>
      </c>
      <c r="BT3" s="4">
        <v>0.49791666666666667</v>
      </c>
      <c r="BU3" t="s">
        <v>94</v>
      </c>
      <c r="BV3" t="s">
        <v>86</v>
      </c>
      <c r="BY3">
        <v>288547.8</v>
      </c>
      <c r="CA3" t="s">
        <v>95</v>
      </c>
      <c r="CC3" t="s">
        <v>91</v>
      </c>
      <c r="CD3">
        <v>4001</v>
      </c>
      <c r="CE3" t="s">
        <v>96</v>
      </c>
      <c r="CF3" s="3">
        <v>45966</v>
      </c>
      <c r="CI3">
        <v>3</v>
      </c>
      <c r="CJ3">
        <v>2</v>
      </c>
      <c r="CK3">
        <v>41</v>
      </c>
      <c r="CL3" t="s">
        <v>89</v>
      </c>
    </row>
    <row r="4" spans="1:92" x14ac:dyDescent="0.3">
      <c r="A4" t="s">
        <v>72</v>
      </c>
      <c r="B4" t="s">
        <v>73</v>
      </c>
      <c r="C4" t="s">
        <v>74</v>
      </c>
      <c r="E4" t="str">
        <f>"GAB2029478"</f>
        <v>GAB2029478</v>
      </c>
      <c r="F4" s="3">
        <v>45964</v>
      </c>
      <c r="G4">
        <v>202608</v>
      </c>
      <c r="H4" t="s">
        <v>75</v>
      </c>
      <c r="I4" t="s">
        <v>76</v>
      </c>
      <c r="J4" t="s">
        <v>77</v>
      </c>
      <c r="K4" t="s">
        <v>78</v>
      </c>
      <c r="L4" t="s">
        <v>97</v>
      </c>
      <c r="M4" t="s">
        <v>98</v>
      </c>
      <c r="N4" t="s">
        <v>99</v>
      </c>
      <c r="O4" t="s">
        <v>82</v>
      </c>
      <c r="P4" t="str">
        <f>"INVOICE 00122341 CT098016     "</f>
        <v xml:space="preserve">INVOICE 00122341 CT098016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5.87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43.23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5.2</v>
      </c>
      <c r="BJ4">
        <v>12.2</v>
      </c>
      <c r="BK4">
        <v>13</v>
      </c>
      <c r="BL4">
        <v>143.08000000000001</v>
      </c>
      <c r="BM4">
        <v>21.46</v>
      </c>
      <c r="BN4">
        <v>164.54</v>
      </c>
      <c r="BO4">
        <v>164.54</v>
      </c>
      <c r="BQ4" t="s">
        <v>100</v>
      </c>
      <c r="BR4" t="s">
        <v>84</v>
      </c>
      <c r="BS4" s="3">
        <v>45966</v>
      </c>
      <c r="BT4" s="4">
        <v>0.51944444444444449</v>
      </c>
      <c r="BU4" t="s">
        <v>101</v>
      </c>
      <c r="BV4" t="s">
        <v>86</v>
      </c>
      <c r="BY4">
        <v>61063.8</v>
      </c>
      <c r="CA4" t="s">
        <v>102</v>
      </c>
      <c r="CC4" t="s">
        <v>98</v>
      </c>
      <c r="CD4">
        <v>3610</v>
      </c>
      <c r="CE4" t="s">
        <v>103</v>
      </c>
      <c r="CF4" s="3">
        <v>45966</v>
      </c>
      <c r="CI4">
        <v>3</v>
      </c>
      <c r="CJ4">
        <v>2</v>
      </c>
      <c r="CK4">
        <v>41</v>
      </c>
      <c r="CL4" t="s">
        <v>89</v>
      </c>
    </row>
    <row r="5" spans="1:92" x14ac:dyDescent="0.3">
      <c r="A5" t="s">
        <v>72</v>
      </c>
      <c r="B5" t="s">
        <v>73</v>
      </c>
      <c r="C5" t="s">
        <v>74</v>
      </c>
      <c r="E5" t="str">
        <f>"GAB2029491"</f>
        <v>GAB2029491</v>
      </c>
      <c r="F5" s="3">
        <v>45964</v>
      </c>
      <c r="G5">
        <v>202608</v>
      </c>
      <c r="H5" t="s">
        <v>75</v>
      </c>
      <c r="I5" t="s">
        <v>76</v>
      </c>
      <c r="J5" t="s">
        <v>77</v>
      </c>
      <c r="K5" t="s">
        <v>78</v>
      </c>
      <c r="L5" t="s">
        <v>90</v>
      </c>
      <c r="M5" t="s">
        <v>91</v>
      </c>
      <c r="N5" t="s">
        <v>104</v>
      </c>
      <c r="O5" t="s">
        <v>82</v>
      </c>
      <c r="P5" t="str">
        <f>"INVOICES 00122320 CT098000    "</f>
        <v xml:space="preserve">INVOICES 00122320 CT098000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5.87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64.650000000000006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2</v>
      </c>
      <c r="BI5">
        <v>9.3000000000000007</v>
      </c>
      <c r="BJ5">
        <v>26.5</v>
      </c>
      <c r="BK5">
        <v>27</v>
      </c>
      <c r="BL5">
        <v>211.06</v>
      </c>
      <c r="BM5">
        <v>31.66</v>
      </c>
      <c r="BN5">
        <v>242.72</v>
      </c>
      <c r="BO5">
        <v>242.72</v>
      </c>
      <c r="BQ5" t="s">
        <v>105</v>
      </c>
      <c r="BR5" t="s">
        <v>84</v>
      </c>
      <c r="BS5" s="3">
        <v>45966</v>
      </c>
      <c r="BT5" s="4">
        <v>0.43402777777777779</v>
      </c>
      <c r="BU5" t="s">
        <v>106</v>
      </c>
      <c r="BV5" t="s">
        <v>86</v>
      </c>
      <c r="BY5">
        <v>132505.04999999999</v>
      </c>
      <c r="CA5" t="s">
        <v>107</v>
      </c>
      <c r="CC5" t="s">
        <v>91</v>
      </c>
      <c r="CD5">
        <v>4001</v>
      </c>
      <c r="CE5" t="s">
        <v>108</v>
      </c>
      <c r="CF5" s="3">
        <v>45966</v>
      </c>
      <c r="CI5">
        <v>3</v>
      </c>
      <c r="CJ5">
        <v>2</v>
      </c>
      <c r="CK5">
        <v>41</v>
      </c>
      <c r="CL5" t="s">
        <v>89</v>
      </c>
    </row>
    <row r="6" spans="1:92" x14ac:dyDescent="0.3">
      <c r="A6" t="s">
        <v>72</v>
      </c>
      <c r="B6" t="s">
        <v>73</v>
      </c>
      <c r="C6" t="s">
        <v>74</v>
      </c>
      <c r="E6" t="str">
        <f>"GAB2029492"</f>
        <v>GAB2029492</v>
      </c>
      <c r="F6" s="3">
        <v>45964</v>
      </c>
      <c r="G6">
        <v>202608</v>
      </c>
      <c r="H6" t="s">
        <v>75</v>
      </c>
      <c r="I6" t="s">
        <v>76</v>
      </c>
      <c r="J6" t="s">
        <v>77</v>
      </c>
      <c r="K6" t="s">
        <v>78</v>
      </c>
      <c r="L6" t="s">
        <v>109</v>
      </c>
      <c r="M6" t="s">
        <v>110</v>
      </c>
      <c r="N6" t="s">
        <v>111</v>
      </c>
      <c r="O6" t="s">
        <v>82</v>
      </c>
      <c r="P6" t="str">
        <f>"INVOICE 00122324 CT097998     "</f>
        <v xml:space="preserve">INVOICE 00122324 CT097998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43.23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4</v>
      </c>
      <c r="BJ6">
        <v>12.8</v>
      </c>
      <c r="BK6">
        <v>13</v>
      </c>
      <c r="BL6">
        <v>143.08000000000001</v>
      </c>
      <c r="BM6">
        <v>21.46</v>
      </c>
      <c r="BN6">
        <v>164.54</v>
      </c>
      <c r="BO6">
        <v>164.54</v>
      </c>
      <c r="BR6" t="s">
        <v>84</v>
      </c>
      <c r="BS6" s="3">
        <v>45966</v>
      </c>
      <c r="BT6" s="4">
        <v>0.43680555555555556</v>
      </c>
      <c r="BU6" t="s">
        <v>112</v>
      </c>
      <c r="BV6" t="s">
        <v>86</v>
      </c>
      <c r="BY6">
        <v>64180.2</v>
      </c>
      <c r="CA6" t="s">
        <v>113</v>
      </c>
      <c r="CC6" t="s">
        <v>110</v>
      </c>
      <c r="CD6">
        <v>4133</v>
      </c>
      <c r="CE6" t="s">
        <v>114</v>
      </c>
      <c r="CF6" s="3">
        <v>45966</v>
      </c>
      <c r="CI6">
        <v>3</v>
      </c>
      <c r="CJ6">
        <v>2</v>
      </c>
      <c r="CK6">
        <v>41</v>
      </c>
      <c r="CL6" t="s">
        <v>89</v>
      </c>
    </row>
    <row r="7" spans="1:92" x14ac:dyDescent="0.3">
      <c r="A7" t="s">
        <v>72</v>
      </c>
      <c r="B7" t="s">
        <v>73</v>
      </c>
      <c r="C7" t="s">
        <v>74</v>
      </c>
      <c r="E7" t="str">
        <f>"GAB2029509"</f>
        <v>GAB2029509</v>
      </c>
      <c r="F7" s="3">
        <v>45964</v>
      </c>
      <c r="G7">
        <v>202608</v>
      </c>
      <c r="H7" t="s">
        <v>75</v>
      </c>
      <c r="I7" t="s">
        <v>76</v>
      </c>
      <c r="J7" t="s">
        <v>77</v>
      </c>
      <c r="K7" t="s">
        <v>78</v>
      </c>
      <c r="L7" t="s">
        <v>115</v>
      </c>
      <c r="M7" t="s">
        <v>116</v>
      </c>
      <c r="N7" t="s">
        <v>117</v>
      </c>
      <c r="O7" t="s">
        <v>82</v>
      </c>
      <c r="P7" t="str">
        <f>"INVOICE 00122329 CT097989     "</f>
        <v xml:space="preserve">INVOICE 00122329 CT097989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5.87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60.97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1.9</v>
      </c>
      <c r="BJ7">
        <v>6.6</v>
      </c>
      <c r="BK7">
        <v>7</v>
      </c>
      <c r="BL7">
        <v>199.39</v>
      </c>
      <c r="BM7">
        <v>29.91</v>
      </c>
      <c r="BN7">
        <v>229.3</v>
      </c>
      <c r="BO7">
        <v>229.3</v>
      </c>
      <c r="BQ7" t="s">
        <v>118</v>
      </c>
      <c r="BR7" t="s">
        <v>84</v>
      </c>
      <c r="BS7" s="3">
        <v>45966</v>
      </c>
      <c r="BT7" s="4">
        <v>0.49791666666666667</v>
      </c>
      <c r="BU7" t="s">
        <v>119</v>
      </c>
      <c r="BV7" t="s">
        <v>86</v>
      </c>
      <c r="BY7">
        <v>32760</v>
      </c>
      <c r="CA7" t="s">
        <v>120</v>
      </c>
      <c r="CC7" t="s">
        <v>116</v>
      </c>
      <c r="CD7">
        <v>3100</v>
      </c>
      <c r="CE7" t="s">
        <v>103</v>
      </c>
      <c r="CF7" s="3">
        <v>45967</v>
      </c>
      <c r="CI7">
        <v>3</v>
      </c>
      <c r="CJ7">
        <v>2</v>
      </c>
      <c r="CK7">
        <v>43</v>
      </c>
      <c r="CL7" t="s">
        <v>89</v>
      </c>
    </row>
    <row r="8" spans="1:92" x14ac:dyDescent="0.3">
      <c r="A8" t="s">
        <v>72</v>
      </c>
      <c r="B8" t="s">
        <v>73</v>
      </c>
      <c r="C8" t="s">
        <v>74</v>
      </c>
      <c r="E8" t="str">
        <f>"GAB2029477"</f>
        <v>GAB2029477</v>
      </c>
      <c r="F8" s="3">
        <v>45964</v>
      </c>
      <c r="G8">
        <v>202608</v>
      </c>
      <c r="H8" t="s">
        <v>75</v>
      </c>
      <c r="I8" t="s">
        <v>76</v>
      </c>
      <c r="J8" t="s">
        <v>77</v>
      </c>
      <c r="K8" t="s">
        <v>78</v>
      </c>
      <c r="L8" t="s">
        <v>121</v>
      </c>
      <c r="M8" t="s">
        <v>122</v>
      </c>
      <c r="N8" t="s">
        <v>123</v>
      </c>
      <c r="O8" t="s">
        <v>124</v>
      </c>
      <c r="P8" t="str">
        <f>"INVOICE 00122296 CT097983     "</f>
        <v xml:space="preserve">INVOICE 00122296 CT097983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27.94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0.3</v>
      </c>
      <c r="BJ8">
        <v>2.1</v>
      </c>
      <c r="BK8">
        <v>2.5</v>
      </c>
      <c r="BL8">
        <v>88.68</v>
      </c>
      <c r="BM8">
        <v>13.3</v>
      </c>
      <c r="BN8">
        <v>101.98</v>
      </c>
      <c r="BO8">
        <v>101.98</v>
      </c>
      <c r="BR8" t="s">
        <v>84</v>
      </c>
      <c r="BS8" s="3">
        <v>45966</v>
      </c>
      <c r="BT8" s="4">
        <v>0.43402777777777779</v>
      </c>
      <c r="BU8" t="s">
        <v>125</v>
      </c>
      <c r="BV8" t="s">
        <v>86</v>
      </c>
      <c r="BY8">
        <v>10294.9</v>
      </c>
      <c r="BZ8" t="s">
        <v>126</v>
      </c>
      <c r="CA8" t="s">
        <v>127</v>
      </c>
      <c r="CC8" t="s">
        <v>122</v>
      </c>
      <c r="CD8">
        <v>1200</v>
      </c>
      <c r="CE8" t="s">
        <v>128</v>
      </c>
      <c r="CF8" s="3">
        <v>45966</v>
      </c>
      <c r="CI8">
        <v>2</v>
      </c>
      <c r="CJ8">
        <v>2</v>
      </c>
      <c r="CK8">
        <v>21</v>
      </c>
      <c r="CL8" t="s">
        <v>89</v>
      </c>
    </row>
    <row r="9" spans="1:92" x14ac:dyDescent="0.3">
      <c r="A9" t="s">
        <v>72</v>
      </c>
      <c r="B9" t="s">
        <v>73</v>
      </c>
      <c r="C9" t="s">
        <v>74</v>
      </c>
      <c r="E9" t="str">
        <f>"GAB2029479"</f>
        <v>GAB2029479</v>
      </c>
      <c r="F9" s="3">
        <v>45964</v>
      </c>
      <c r="G9">
        <v>202608</v>
      </c>
      <c r="H9" t="s">
        <v>75</v>
      </c>
      <c r="I9" t="s">
        <v>76</v>
      </c>
      <c r="J9" t="s">
        <v>77</v>
      </c>
      <c r="K9" t="s">
        <v>78</v>
      </c>
      <c r="L9" t="s">
        <v>129</v>
      </c>
      <c r="M9" t="s">
        <v>130</v>
      </c>
      <c r="N9" t="s">
        <v>131</v>
      </c>
      <c r="O9" t="s">
        <v>124</v>
      </c>
      <c r="P9" t="str">
        <f>"INVOICE 00122342 CT098019     "</f>
        <v xml:space="preserve">INVOICE 00122342 CT098019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22.36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0.9</v>
      </c>
      <c r="BJ9">
        <v>1.6</v>
      </c>
      <c r="BK9">
        <v>2</v>
      </c>
      <c r="BL9">
        <v>70.959999999999994</v>
      </c>
      <c r="BM9">
        <v>10.64</v>
      </c>
      <c r="BN9">
        <v>81.599999999999994</v>
      </c>
      <c r="BO9">
        <v>81.599999999999994</v>
      </c>
      <c r="BQ9" t="s">
        <v>132</v>
      </c>
      <c r="BR9" t="s">
        <v>84</v>
      </c>
      <c r="BS9" s="3">
        <v>45966</v>
      </c>
      <c r="BT9" s="4">
        <v>0.41458333333333336</v>
      </c>
      <c r="BU9" t="s">
        <v>133</v>
      </c>
      <c r="BV9" t="s">
        <v>86</v>
      </c>
      <c r="BY9">
        <v>8167.5</v>
      </c>
      <c r="BZ9" t="s">
        <v>126</v>
      </c>
      <c r="CA9" t="s">
        <v>134</v>
      </c>
      <c r="CC9" t="s">
        <v>130</v>
      </c>
      <c r="CD9" s="5" t="s">
        <v>135</v>
      </c>
      <c r="CE9" t="s">
        <v>136</v>
      </c>
      <c r="CF9" s="3">
        <v>45966</v>
      </c>
      <c r="CI9">
        <v>2</v>
      </c>
      <c r="CJ9">
        <v>2</v>
      </c>
      <c r="CK9">
        <v>21</v>
      </c>
      <c r="CL9" t="s">
        <v>89</v>
      </c>
    </row>
    <row r="10" spans="1:92" x14ac:dyDescent="0.3">
      <c r="A10" t="s">
        <v>72</v>
      </c>
      <c r="B10" t="s">
        <v>73</v>
      </c>
      <c r="C10" t="s">
        <v>74</v>
      </c>
      <c r="E10" t="str">
        <f>"GAB2029480"</f>
        <v>GAB2029480</v>
      </c>
      <c r="F10" s="3">
        <v>45964</v>
      </c>
      <c r="G10">
        <v>202608</v>
      </c>
      <c r="H10" t="s">
        <v>75</v>
      </c>
      <c r="I10" t="s">
        <v>76</v>
      </c>
      <c r="J10" t="s">
        <v>77</v>
      </c>
      <c r="K10" t="s">
        <v>78</v>
      </c>
      <c r="L10" t="s">
        <v>137</v>
      </c>
      <c r="M10" t="s">
        <v>138</v>
      </c>
      <c r="N10" t="s">
        <v>139</v>
      </c>
      <c r="O10" t="s">
        <v>124</v>
      </c>
      <c r="P10" t="str">
        <f>"INVOICE 00122343 CT098022     "</f>
        <v xml:space="preserve">INVOICE 00122343 CT098022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43.31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0.3</v>
      </c>
      <c r="BJ10">
        <v>1.8</v>
      </c>
      <c r="BK10">
        <v>2</v>
      </c>
      <c r="BL10">
        <v>137.47</v>
      </c>
      <c r="BM10">
        <v>20.62</v>
      </c>
      <c r="BN10">
        <v>158.09</v>
      </c>
      <c r="BO10">
        <v>158.09</v>
      </c>
      <c r="BR10" t="s">
        <v>84</v>
      </c>
      <c r="BS10" s="3">
        <v>45966</v>
      </c>
      <c r="BT10" s="4">
        <v>0.54166666666666663</v>
      </c>
      <c r="BU10" t="s">
        <v>140</v>
      </c>
      <c r="BV10" t="s">
        <v>86</v>
      </c>
      <c r="BY10">
        <v>8940.75</v>
      </c>
      <c r="BZ10" t="s">
        <v>126</v>
      </c>
      <c r="CA10" t="s">
        <v>141</v>
      </c>
      <c r="CC10" t="s">
        <v>138</v>
      </c>
      <c r="CD10" s="5" t="s">
        <v>142</v>
      </c>
      <c r="CE10" t="s">
        <v>128</v>
      </c>
      <c r="CF10" s="3">
        <v>45966</v>
      </c>
      <c r="CI10">
        <v>2</v>
      </c>
      <c r="CJ10">
        <v>2</v>
      </c>
      <c r="CK10">
        <v>23</v>
      </c>
      <c r="CL10" t="s">
        <v>89</v>
      </c>
    </row>
    <row r="11" spans="1:92" x14ac:dyDescent="0.3">
      <c r="A11" t="s">
        <v>72</v>
      </c>
      <c r="B11" t="s">
        <v>73</v>
      </c>
      <c r="C11" t="s">
        <v>74</v>
      </c>
      <c r="E11" t="str">
        <f>"GAB2029481"</f>
        <v>GAB2029481</v>
      </c>
      <c r="F11" s="3">
        <v>45964</v>
      </c>
      <c r="G11">
        <v>202608</v>
      </c>
      <c r="H11" t="s">
        <v>75</v>
      </c>
      <c r="I11" t="s">
        <v>76</v>
      </c>
      <c r="J11" t="s">
        <v>77</v>
      </c>
      <c r="K11" t="s">
        <v>78</v>
      </c>
      <c r="L11" t="s">
        <v>143</v>
      </c>
      <c r="M11" t="s">
        <v>144</v>
      </c>
      <c r="N11" t="s">
        <v>145</v>
      </c>
      <c r="O11" t="s">
        <v>124</v>
      </c>
      <c r="P11" t="str">
        <f>"INVOICE 00122344 CT098018     "</f>
        <v xml:space="preserve">INVOICE 00122344 CT098018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17.46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0.3</v>
      </c>
      <c r="BJ11">
        <v>3</v>
      </c>
      <c r="BK11">
        <v>3</v>
      </c>
      <c r="BL11">
        <v>55.42</v>
      </c>
      <c r="BM11">
        <v>8.31</v>
      </c>
      <c r="BN11">
        <v>63.73</v>
      </c>
      <c r="BO11">
        <v>63.73</v>
      </c>
      <c r="BQ11" t="s">
        <v>146</v>
      </c>
      <c r="BR11" t="s">
        <v>84</v>
      </c>
      <c r="BS11" s="3">
        <v>45965</v>
      </c>
      <c r="BT11" s="4">
        <v>0.41249999999999998</v>
      </c>
      <c r="BU11" t="s">
        <v>147</v>
      </c>
      <c r="BV11" t="s">
        <v>86</v>
      </c>
      <c r="BY11">
        <v>14903.46</v>
      </c>
      <c r="BZ11" t="s">
        <v>126</v>
      </c>
      <c r="CA11" t="s">
        <v>148</v>
      </c>
      <c r="CC11" t="s">
        <v>144</v>
      </c>
      <c r="CD11">
        <v>7600</v>
      </c>
      <c r="CE11" t="s">
        <v>149</v>
      </c>
      <c r="CF11" s="3">
        <v>45966</v>
      </c>
      <c r="CI11">
        <v>1</v>
      </c>
      <c r="CJ11">
        <v>1</v>
      </c>
      <c r="CK11">
        <v>22</v>
      </c>
      <c r="CL11" t="s">
        <v>89</v>
      </c>
    </row>
    <row r="12" spans="1:92" x14ac:dyDescent="0.3">
      <c r="A12" t="s">
        <v>72</v>
      </c>
      <c r="B12" t="s">
        <v>73</v>
      </c>
      <c r="C12" t="s">
        <v>74</v>
      </c>
      <c r="E12" t="str">
        <f>"GAB2029482"</f>
        <v>GAB2029482</v>
      </c>
      <c r="F12" s="3">
        <v>45964</v>
      </c>
      <c r="G12">
        <v>202608</v>
      </c>
      <c r="H12" t="s">
        <v>75</v>
      </c>
      <c r="I12" t="s">
        <v>76</v>
      </c>
      <c r="J12" t="s">
        <v>77</v>
      </c>
      <c r="K12" t="s">
        <v>78</v>
      </c>
      <c r="L12" t="s">
        <v>75</v>
      </c>
      <c r="M12" t="s">
        <v>76</v>
      </c>
      <c r="N12" t="s">
        <v>150</v>
      </c>
      <c r="O12" t="s">
        <v>124</v>
      </c>
      <c r="P12" t="str">
        <f>"INVOICE 00041038 ORDGS037746  "</f>
        <v xml:space="preserve">INVOICE 00041038 ORDGS037746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17.46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0.2</v>
      </c>
      <c r="BJ12">
        <v>2.4</v>
      </c>
      <c r="BK12">
        <v>3</v>
      </c>
      <c r="BL12">
        <v>55.42</v>
      </c>
      <c r="BM12">
        <v>8.31</v>
      </c>
      <c r="BN12">
        <v>63.73</v>
      </c>
      <c r="BO12">
        <v>63.73</v>
      </c>
      <c r="BQ12" t="s">
        <v>151</v>
      </c>
      <c r="BR12" t="s">
        <v>84</v>
      </c>
      <c r="BS12" s="3">
        <v>45965</v>
      </c>
      <c r="BT12" s="4">
        <v>0.42222222222222222</v>
      </c>
      <c r="BU12" t="s">
        <v>152</v>
      </c>
      <c r="BV12" t="s">
        <v>86</v>
      </c>
      <c r="BY12">
        <v>12230.4</v>
      </c>
      <c r="BZ12" t="s">
        <v>126</v>
      </c>
      <c r="CA12" t="s">
        <v>153</v>
      </c>
      <c r="CC12" t="s">
        <v>76</v>
      </c>
      <c r="CD12">
        <v>7735</v>
      </c>
      <c r="CE12" t="s">
        <v>154</v>
      </c>
      <c r="CF12" s="3">
        <v>45966</v>
      </c>
      <c r="CI12">
        <v>1</v>
      </c>
      <c r="CJ12">
        <v>1</v>
      </c>
      <c r="CK12">
        <v>22</v>
      </c>
      <c r="CL12" t="s">
        <v>89</v>
      </c>
    </row>
    <row r="13" spans="1:92" x14ac:dyDescent="0.3">
      <c r="A13" t="s">
        <v>72</v>
      </c>
      <c r="B13" t="s">
        <v>73</v>
      </c>
      <c r="C13" t="s">
        <v>74</v>
      </c>
      <c r="E13" t="str">
        <f>"GAB2029483"</f>
        <v>GAB2029483</v>
      </c>
      <c r="F13" s="3">
        <v>45964</v>
      </c>
      <c r="G13">
        <v>202608</v>
      </c>
      <c r="H13" t="s">
        <v>75</v>
      </c>
      <c r="I13" t="s">
        <v>76</v>
      </c>
      <c r="J13" t="s">
        <v>77</v>
      </c>
      <c r="K13" t="s">
        <v>78</v>
      </c>
      <c r="L13" t="s">
        <v>155</v>
      </c>
      <c r="M13" t="s">
        <v>156</v>
      </c>
      <c r="N13" t="s">
        <v>157</v>
      </c>
      <c r="O13" t="s">
        <v>124</v>
      </c>
      <c r="P13" t="str">
        <f>"INVOICE 00041037 ORDGS037747  "</f>
        <v xml:space="preserve">INVOICE 00041037 ORDGS037747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27.94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0.2</v>
      </c>
      <c r="BJ13">
        <v>2.1</v>
      </c>
      <c r="BK13">
        <v>2.5</v>
      </c>
      <c r="BL13">
        <v>88.68</v>
      </c>
      <c r="BM13">
        <v>13.3</v>
      </c>
      <c r="BN13">
        <v>101.98</v>
      </c>
      <c r="BO13">
        <v>101.98</v>
      </c>
      <c r="BQ13" t="s">
        <v>158</v>
      </c>
      <c r="BR13" t="s">
        <v>84</v>
      </c>
      <c r="BS13" s="3">
        <v>45965</v>
      </c>
      <c r="BT13" s="4">
        <v>0.32500000000000001</v>
      </c>
      <c r="BU13" t="s">
        <v>159</v>
      </c>
      <c r="BV13" t="s">
        <v>86</v>
      </c>
      <c r="BY13">
        <v>10255.56</v>
      </c>
      <c r="BZ13" t="s">
        <v>126</v>
      </c>
      <c r="CA13" t="s">
        <v>160</v>
      </c>
      <c r="CC13" t="s">
        <v>156</v>
      </c>
      <c r="CD13">
        <v>1416</v>
      </c>
      <c r="CE13" t="s">
        <v>161</v>
      </c>
      <c r="CF13" s="3">
        <v>45966</v>
      </c>
      <c r="CI13">
        <v>1</v>
      </c>
      <c r="CJ13">
        <v>1</v>
      </c>
      <c r="CK13">
        <v>21</v>
      </c>
      <c r="CL13" t="s">
        <v>89</v>
      </c>
    </row>
    <row r="14" spans="1:92" x14ac:dyDescent="0.3">
      <c r="A14" t="s">
        <v>72</v>
      </c>
      <c r="B14" t="s">
        <v>73</v>
      </c>
      <c r="C14" t="s">
        <v>74</v>
      </c>
      <c r="E14" t="str">
        <f>"GAB2029484"</f>
        <v>GAB2029484</v>
      </c>
      <c r="F14" s="3">
        <v>45964</v>
      </c>
      <c r="G14">
        <v>202608</v>
      </c>
      <c r="H14" t="s">
        <v>75</v>
      </c>
      <c r="I14" t="s">
        <v>76</v>
      </c>
      <c r="J14" t="s">
        <v>77</v>
      </c>
      <c r="K14" t="s">
        <v>78</v>
      </c>
      <c r="L14" t="s">
        <v>162</v>
      </c>
      <c r="M14" t="s">
        <v>163</v>
      </c>
      <c r="N14" t="s">
        <v>164</v>
      </c>
      <c r="O14" t="s">
        <v>124</v>
      </c>
      <c r="P14" t="str">
        <f>"INVOICE 00041036 ORDGS037751  "</f>
        <v xml:space="preserve">INVOICE 00041036 ORDGS037751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27.94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0.2</v>
      </c>
      <c r="BJ14">
        <v>2.4</v>
      </c>
      <c r="BK14">
        <v>2.5</v>
      </c>
      <c r="BL14">
        <v>88.68</v>
      </c>
      <c r="BM14">
        <v>13.3</v>
      </c>
      <c r="BN14">
        <v>101.98</v>
      </c>
      <c r="BO14">
        <v>101.98</v>
      </c>
      <c r="BQ14" t="s">
        <v>165</v>
      </c>
      <c r="BR14" t="s">
        <v>84</v>
      </c>
      <c r="BS14" s="3">
        <v>45965</v>
      </c>
      <c r="BT14" s="4">
        <v>0.37569444444444444</v>
      </c>
      <c r="BU14" t="s">
        <v>166</v>
      </c>
      <c r="BV14" t="s">
        <v>86</v>
      </c>
      <c r="BY14">
        <v>11956.32</v>
      </c>
      <c r="BZ14" t="s">
        <v>126</v>
      </c>
      <c r="CA14" t="s">
        <v>167</v>
      </c>
      <c r="CC14" t="s">
        <v>163</v>
      </c>
      <c r="CD14">
        <v>6045</v>
      </c>
      <c r="CE14" t="s">
        <v>168</v>
      </c>
      <c r="CF14" s="3">
        <v>45965</v>
      </c>
      <c r="CI14">
        <v>2</v>
      </c>
      <c r="CJ14">
        <v>1</v>
      </c>
      <c r="CK14">
        <v>21</v>
      </c>
      <c r="CL14" t="s">
        <v>89</v>
      </c>
    </row>
    <row r="15" spans="1:92" x14ac:dyDescent="0.3">
      <c r="A15" t="s">
        <v>72</v>
      </c>
      <c r="B15" t="s">
        <v>73</v>
      </c>
      <c r="C15" t="s">
        <v>74</v>
      </c>
      <c r="E15" t="str">
        <f>"GAB2029485"</f>
        <v>GAB2029485</v>
      </c>
      <c r="F15" s="3">
        <v>45964</v>
      </c>
      <c r="G15">
        <v>202608</v>
      </c>
      <c r="H15" t="s">
        <v>75</v>
      </c>
      <c r="I15" t="s">
        <v>76</v>
      </c>
      <c r="J15" t="s">
        <v>77</v>
      </c>
      <c r="K15" t="s">
        <v>78</v>
      </c>
      <c r="L15" t="s">
        <v>169</v>
      </c>
      <c r="M15" t="s">
        <v>170</v>
      </c>
      <c r="N15" t="s">
        <v>171</v>
      </c>
      <c r="O15" t="s">
        <v>124</v>
      </c>
      <c r="P15" t="str">
        <f>"INVOICE 00041009 ORDGS037719  "</f>
        <v xml:space="preserve">INVOICE 00041009 ORDGS037719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27.94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0.2</v>
      </c>
      <c r="BJ15">
        <v>2.1</v>
      </c>
      <c r="BK15">
        <v>2.5</v>
      </c>
      <c r="BL15">
        <v>88.68</v>
      </c>
      <c r="BM15">
        <v>13.3</v>
      </c>
      <c r="BN15">
        <v>101.98</v>
      </c>
      <c r="BO15">
        <v>101.98</v>
      </c>
      <c r="BQ15" t="s">
        <v>172</v>
      </c>
      <c r="BR15" t="s">
        <v>84</v>
      </c>
      <c r="BS15" s="3">
        <v>45965</v>
      </c>
      <c r="BT15" s="4">
        <v>0.38472222222222224</v>
      </c>
      <c r="BU15" t="s">
        <v>173</v>
      </c>
      <c r="BV15" t="s">
        <v>86</v>
      </c>
      <c r="BY15">
        <v>10381.049999999999</v>
      </c>
      <c r="BZ15" t="s">
        <v>126</v>
      </c>
      <c r="CA15" t="s">
        <v>174</v>
      </c>
      <c r="CC15" t="s">
        <v>170</v>
      </c>
      <c r="CD15">
        <v>2007</v>
      </c>
      <c r="CE15" t="s">
        <v>154</v>
      </c>
      <c r="CF15" s="3">
        <v>45965</v>
      </c>
      <c r="CI15">
        <v>1</v>
      </c>
      <c r="CJ15">
        <v>1</v>
      </c>
      <c r="CK15">
        <v>21</v>
      </c>
      <c r="CL15" t="s">
        <v>89</v>
      </c>
    </row>
    <row r="16" spans="1:92" x14ac:dyDescent="0.3">
      <c r="A16" t="s">
        <v>72</v>
      </c>
      <c r="B16" t="s">
        <v>73</v>
      </c>
      <c r="C16" t="s">
        <v>74</v>
      </c>
      <c r="E16" t="str">
        <f>"GAB2029486"</f>
        <v>GAB2029486</v>
      </c>
      <c r="F16" s="3">
        <v>45964</v>
      </c>
      <c r="G16">
        <v>202608</v>
      </c>
      <c r="H16" t="s">
        <v>75</v>
      </c>
      <c r="I16" t="s">
        <v>76</v>
      </c>
      <c r="J16" t="s">
        <v>77</v>
      </c>
      <c r="K16" t="s">
        <v>78</v>
      </c>
      <c r="L16" t="s">
        <v>175</v>
      </c>
      <c r="M16" t="s">
        <v>176</v>
      </c>
      <c r="N16" t="s">
        <v>177</v>
      </c>
      <c r="O16" t="s">
        <v>124</v>
      </c>
      <c r="P16" t="str">
        <f>"INVOICE 00122310 CT097990     "</f>
        <v xml:space="preserve">INVOICE 00122310 CT097990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62.87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16.739999999999998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0.4</v>
      </c>
      <c r="BJ16">
        <v>2.8</v>
      </c>
      <c r="BK16">
        <v>3</v>
      </c>
      <c r="BL16">
        <v>216.29</v>
      </c>
      <c r="BM16">
        <v>32.44</v>
      </c>
      <c r="BN16">
        <v>248.73</v>
      </c>
      <c r="BO16">
        <v>248.73</v>
      </c>
      <c r="BQ16" t="s">
        <v>178</v>
      </c>
      <c r="BR16" t="s">
        <v>84</v>
      </c>
      <c r="BS16" s="3">
        <v>45966</v>
      </c>
      <c r="BT16" s="4">
        <v>0.36319444444444443</v>
      </c>
      <c r="BU16" t="s">
        <v>179</v>
      </c>
      <c r="BV16" t="s">
        <v>86</v>
      </c>
      <c r="BY16">
        <v>13987.43</v>
      </c>
      <c r="BZ16" t="s">
        <v>180</v>
      </c>
      <c r="CC16" t="s">
        <v>176</v>
      </c>
      <c r="CD16">
        <v>2745</v>
      </c>
      <c r="CE16" t="s">
        <v>181</v>
      </c>
      <c r="CF16" s="3">
        <v>45967</v>
      </c>
      <c r="CI16">
        <v>2</v>
      </c>
      <c r="CJ16">
        <v>2</v>
      </c>
      <c r="CK16">
        <v>23</v>
      </c>
      <c r="CL16" t="s">
        <v>89</v>
      </c>
    </row>
    <row r="17" spans="1:90" x14ac:dyDescent="0.3">
      <c r="A17" t="s">
        <v>72</v>
      </c>
      <c r="B17" t="s">
        <v>73</v>
      </c>
      <c r="C17" t="s">
        <v>74</v>
      </c>
      <c r="E17" t="str">
        <f>"GAB2029487"</f>
        <v>GAB2029487</v>
      </c>
      <c r="F17" s="3">
        <v>45964</v>
      </c>
      <c r="G17">
        <v>202608</v>
      </c>
      <c r="H17" t="s">
        <v>75</v>
      </c>
      <c r="I17" t="s">
        <v>76</v>
      </c>
      <c r="J17" t="s">
        <v>77</v>
      </c>
      <c r="K17" t="s">
        <v>78</v>
      </c>
      <c r="L17" t="s">
        <v>182</v>
      </c>
      <c r="M17" t="s">
        <v>183</v>
      </c>
      <c r="N17" t="s">
        <v>184</v>
      </c>
      <c r="O17" t="s">
        <v>124</v>
      </c>
      <c r="P17" t="str">
        <f>"INVOICE 00122311 CT097495     "</f>
        <v xml:space="preserve">INVOICE 00122311 CT097495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43.31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16.739999999999998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0.8</v>
      </c>
      <c r="BJ17">
        <v>1.7</v>
      </c>
      <c r="BK17">
        <v>2</v>
      </c>
      <c r="BL17">
        <v>154.21</v>
      </c>
      <c r="BM17">
        <v>23.13</v>
      </c>
      <c r="BN17">
        <v>177.34</v>
      </c>
      <c r="BO17">
        <v>177.34</v>
      </c>
      <c r="BQ17" t="s">
        <v>185</v>
      </c>
      <c r="BR17" t="s">
        <v>84</v>
      </c>
      <c r="BS17" s="3">
        <v>45966</v>
      </c>
      <c r="BT17" s="4">
        <v>0.75763888888888886</v>
      </c>
      <c r="BU17" t="s">
        <v>186</v>
      </c>
      <c r="BV17" t="s">
        <v>86</v>
      </c>
      <c r="BY17">
        <v>8438.6</v>
      </c>
      <c r="BZ17" t="s">
        <v>180</v>
      </c>
      <c r="CA17" t="s">
        <v>187</v>
      </c>
      <c r="CC17" t="s">
        <v>183</v>
      </c>
      <c r="CD17">
        <v>9866</v>
      </c>
      <c r="CE17" t="s">
        <v>188</v>
      </c>
      <c r="CF17" s="3">
        <v>45967</v>
      </c>
      <c r="CI17">
        <v>2</v>
      </c>
      <c r="CJ17">
        <v>2</v>
      </c>
      <c r="CK17">
        <v>23</v>
      </c>
      <c r="CL17" t="s">
        <v>89</v>
      </c>
    </row>
    <row r="18" spans="1:90" x14ac:dyDescent="0.3">
      <c r="A18" t="s">
        <v>72</v>
      </c>
      <c r="B18" t="s">
        <v>73</v>
      </c>
      <c r="C18" t="s">
        <v>74</v>
      </c>
      <c r="E18" t="str">
        <f>"GAB2029488"</f>
        <v>GAB2029488</v>
      </c>
      <c r="F18" s="3">
        <v>45964</v>
      </c>
      <c r="G18">
        <v>202608</v>
      </c>
      <c r="H18" t="s">
        <v>75</v>
      </c>
      <c r="I18" t="s">
        <v>76</v>
      </c>
      <c r="J18" t="s">
        <v>77</v>
      </c>
      <c r="K18" t="s">
        <v>78</v>
      </c>
      <c r="L18" t="s">
        <v>189</v>
      </c>
      <c r="M18" t="s">
        <v>190</v>
      </c>
      <c r="N18" t="s">
        <v>191</v>
      </c>
      <c r="O18" t="s">
        <v>124</v>
      </c>
      <c r="P18" t="str">
        <f>"INVOICE 00122317 CT098009     "</f>
        <v xml:space="preserve">INVOICE 00122317 CT098009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43.31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0.3</v>
      </c>
      <c r="BJ18">
        <v>1.8</v>
      </c>
      <c r="BK18">
        <v>2</v>
      </c>
      <c r="BL18">
        <v>137.47</v>
      </c>
      <c r="BM18">
        <v>20.62</v>
      </c>
      <c r="BN18">
        <v>158.09</v>
      </c>
      <c r="BO18">
        <v>158.09</v>
      </c>
      <c r="BQ18" t="s">
        <v>192</v>
      </c>
      <c r="BR18" t="s">
        <v>84</v>
      </c>
      <c r="BS18" s="3">
        <v>45965</v>
      </c>
      <c r="BT18" s="4">
        <v>0.59305555555555556</v>
      </c>
      <c r="BU18" t="s">
        <v>193</v>
      </c>
      <c r="BV18" t="s">
        <v>86</v>
      </c>
      <c r="BY18">
        <v>9126.6</v>
      </c>
      <c r="BZ18" t="s">
        <v>126</v>
      </c>
      <c r="CA18" t="s">
        <v>194</v>
      </c>
      <c r="CC18" t="s">
        <v>190</v>
      </c>
      <c r="CD18">
        <v>6500</v>
      </c>
      <c r="CE18" t="s">
        <v>128</v>
      </c>
      <c r="CF18" s="3">
        <v>45966</v>
      </c>
      <c r="CI18">
        <v>1</v>
      </c>
      <c r="CJ18">
        <v>1</v>
      </c>
      <c r="CK18">
        <v>23</v>
      </c>
      <c r="CL18" t="s">
        <v>89</v>
      </c>
    </row>
    <row r="19" spans="1:90" x14ac:dyDescent="0.3">
      <c r="A19" t="s">
        <v>72</v>
      </c>
      <c r="B19" t="s">
        <v>73</v>
      </c>
      <c r="C19" t="s">
        <v>74</v>
      </c>
      <c r="E19" t="str">
        <f>"GAB2029489"</f>
        <v>GAB2029489</v>
      </c>
      <c r="F19" s="3">
        <v>45964</v>
      </c>
      <c r="G19">
        <v>202608</v>
      </c>
      <c r="H19" t="s">
        <v>75</v>
      </c>
      <c r="I19" t="s">
        <v>76</v>
      </c>
      <c r="J19" t="s">
        <v>77</v>
      </c>
      <c r="K19" t="s">
        <v>78</v>
      </c>
      <c r="L19" t="s">
        <v>195</v>
      </c>
      <c r="M19" t="s">
        <v>196</v>
      </c>
      <c r="N19" t="s">
        <v>197</v>
      </c>
      <c r="O19" t="s">
        <v>124</v>
      </c>
      <c r="P19" t="str">
        <f>"INVOICE 00122315 CT098006     "</f>
        <v xml:space="preserve">INVOICE 00122315 CT098006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22.36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0.2</v>
      </c>
      <c r="BJ19">
        <v>2</v>
      </c>
      <c r="BK19">
        <v>2</v>
      </c>
      <c r="BL19">
        <v>70.959999999999994</v>
      </c>
      <c r="BM19">
        <v>10.64</v>
      </c>
      <c r="BN19">
        <v>81.599999999999994</v>
      </c>
      <c r="BO19">
        <v>81.599999999999994</v>
      </c>
      <c r="BR19" t="s">
        <v>84</v>
      </c>
      <c r="BS19" s="3">
        <v>45965</v>
      </c>
      <c r="BT19" s="4">
        <v>0.4236111111111111</v>
      </c>
      <c r="BU19" t="s">
        <v>198</v>
      </c>
      <c r="BV19" t="s">
        <v>86</v>
      </c>
      <c r="BY19">
        <v>10039.120000000001</v>
      </c>
      <c r="BZ19" t="s">
        <v>126</v>
      </c>
      <c r="CA19" t="s">
        <v>199</v>
      </c>
      <c r="CC19" t="s">
        <v>196</v>
      </c>
      <c r="CD19">
        <v>1725</v>
      </c>
      <c r="CE19" t="s">
        <v>128</v>
      </c>
      <c r="CF19" s="3">
        <v>45965</v>
      </c>
      <c r="CI19">
        <v>1</v>
      </c>
      <c r="CJ19">
        <v>1</v>
      </c>
      <c r="CK19">
        <v>21</v>
      </c>
      <c r="CL19" t="s">
        <v>89</v>
      </c>
    </row>
    <row r="20" spans="1:90" x14ac:dyDescent="0.3">
      <c r="A20" t="s">
        <v>72</v>
      </c>
      <c r="B20" t="s">
        <v>73</v>
      </c>
      <c r="C20" t="s">
        <v>74</v>
      </c>
      <c r="E20" t="str">
        <f>"GAB2029490"</f>
        <v>GAB2029490</v>
      </c>
      <c r="F20" s="3">
        <v>45964</v>
      </c>
      <c r="G20">
        <v>202608</v>
      </c>
      <c r="H20" t="s">
        <v>75</v>
      </c>
      <c r="I20" t="s">
        <v>76</v>
      </c>
      <c r="J20" t="s">
        <v>77</v>
      </c>
      <c r="K20" t="s">
        <v>78</v>
      </c>
      <c r="L20" t="s">
        <v>200</v>
      </c>
      <c r="M20" t="s">
        <v>201</v>
      </c>
      <c r="N20" t="s">
        <v>202</v>
      </c>
      <c r="O20" t="s">
        <v>124</v>
      </c>
      <c r="P20" t="str">
        <f>"INVOICE 00122313 CT098013     "</f>
        <v xml:space="preserve">INVOICE 00122313 CT098013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62.87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0.2</v>
      </c>
      <c r="BJ20">
        <v>2.7</v>
      </c>
      <c r="BK20">
        <v>3</v>
      </c>
      <c r="BL20">
        <v>199.55</v>
      </c>
      <c r="BM20">
        <v>29.93</v>
      </c>
      <c r="BN20">
        <v>229.48</v>
      </c>
      <c r="BO20">
        <v>229.48</v>
      </c>
      <c r="BQ20" t="s">
        <v>203</v>
      </c>
      <c r="BR20" t="s">
        <v>84</v>
      </c>
      <c r="BS20" s="3">
        <v>45965</v>
      </c>
      <c r="BT20" s="4">
        <v>0.375</v>
      </c>
      <c r="BU20" t="s">
        <v>204</v>
      </c>
      <c r="BV20" t="s">
        <v>86</v>
      </c>
      <c r="BY20">
        <v>13261.68</v>
      </c>
      <c r="BZ20" t="s">
        <v>126</v>
      </c>
      <c r="CA20" t="s">
        <v>205</v>
      </c>
      <c r="CC20" t="s">
        <v>201</v>
      </c>
      <c r="CD20">
        <v>1900</v>
      </c>
      <c r="CE20" t="s">
        <v>206</v>
      </c>
      <c r="CF20" s="3">
        <v>45965</v>
      </c>
      <c r="CI20">
        <v>1</v>
      </c>
      <c r="CJ20">
        <v>1</v>
      </c>
      <c r="CK20">
        <v>23</v>
      </c>
      <c r="CL20" t="s">
        <v>89</v>
      </c>
    </row>
    <row r="21" spans="1:90" x14ac:dyDescent="0.3">
      <c r="A21" t="s">
        <v>72</v>
      </c>
      <c r="B21" t="s">
        <v>73</v>
      </c>
      <c r="C21" t="s">
        <v>74</v>
      </c>
      <c r="E21" t="str">
        <f>"GAB2029497"</f>
        <v>GAB2029497</v>
      </c>
      <c r="F21" s="3">
        <v>45964</v>
      </c>
      <c r="G21">
        <v>202608</v>
      </c>
      <c r="H21" t="s">
        <v>75</v>
      </c>
      <c r="I21" t="s">
        <v>76</v>
      </c>
      <c r="J21" t="s">
        <v>77</v>
      </c>
      <c r="K21" t="s">
        <v>78</v>
      </c>
      <c r="L21" t="s">
        <v>207</v>
      </c>
      <c r="M21" t="s">
        <v>208</v>
      </c>
      <c r="N21" t="s">
        <v>209</v>
      </c>
      <c r="O21" t="s">
        <v>124</v>
      </c>
      <c r="P21" t="str">
        <f>"INVOICE 00122328 CT098012     "</f>
        <v xml:space="preserve">INVOICE 00122328 CT098012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27.94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0.2</v>
      </c>
      <c r="BJ21">
        <v>2.4</v>
      </c>
      <c r="BK21">
        <v>2.5</v>
      </c>
      <c r="BL21">
        <v>88.68</v>
      </c>
      <c r="BM21">
        <v>13.3</v>
      </c>
      <c r="BN21">
        <v>101.98</v>
      </c>
      <c r="BO21">
        <v>101.98</v>
      </c>
      <c r="BQ21" t="s">
        <v>210</v>
      </c>
      <c r="BR21" t="s">
        <v>84</v>
      </c>
      <c r="BS21" s="3">
        <v>45965</v>
      </c>
      <c r="BT21" s="4">
        <v>0.56458333333333333</v>
      </c>
      <c r="BU21" t="s">
        <v>211</v>
      </c>
      <c r="BV21" t="s">
        <v>86</v>
      </c>
      <c r="BY21">
        <v>12200.63</v>
      </c>
      <c r="BZ21" t="s">
        <v>126</v>
      </c>
      <c r="CC21" t="s">
        <v>208</v>
      </c>
      <c r="CD21">
        <v>8301</v>
      </c>
      <c r="CE21" t="s">
        <v>154</v>
      </c>
      <c r="CF21" s="3">
        <v>45966</v>
      </c>
      <c r="CI21">
        <v>2</v>
      </c>
      <c r="CJ21">
        <v>1</v>
      </c>
      <c r="CK21">
        <v>21</v>
      </c>
      <c r="CL21" t="s">
        <v>89</v>
      </c>
    </row>
    <row r="22" spans="1:90" x14ac:dyDescent="0.3">
      <c r="A22" t="s">
        <v>72</v>
      </c>
      <c r="B22" t="s">
        <v>73</v>
      </c>
      <c r="C22" t="s">
        <v>74</v>
      </c>
      <c r="E22" t="str">
        <f>"GAB2029501"</f>
        <v>GAB2029501</v>
      </c>
      <c r="F22" s="3">
        <v>45964</v>
      </c>
      <c r="G22">
        <v>202608</v>
      </c>
      <c r="H22" t="s">
        <v>75</v>
      </c>
      <c r="I22" t="s">
        <v>76</v>
      </c>
      <c r="J22" t="s">
        <v>77</v>
      </c>
      <c r="K22" t="s">
        <v>78</v>
      </c>
      <c r="L22" t="s">
        <v>212</v>
      </c>
      <c r="M22" t="s">
        <v>213</v>
      </c>
      <c r="N22" t="s">
        <v>214</v>
      </c>
      <c r="O22" t="s">
        <v>124</v>
      </c>
      <c r="P22" t="str">
        <f>"INVOICE 00122326 CT098010     "</f>
        <v xml:space="preserve">INVOICE 00122326 CT098010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27.94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0.4</v>
      </c>
      <c r="BJ22">
        <v>2.5</v>
      </c>
      <c r="BK22">
        <v>2.5</v>
      </c>
      <c r="BL22">
        <v>88.68</v>
      </c>
      <c r="BM22">
        <v>13.3</v>
      </c>
      <c r="BN22">
        <v>101.98</v>
      </c>
      <c r="BO22">
        <v>101.98</v>
      </c>
      <c r="BR22" t="s">
        <v>84</v>
      </c>
      <c r="BS22" s="3">
        <v>45965</v>
      </c>
      <c r="BT22" s="4">
        <v>0.44236111111111109</v>
      </c>
      <c r="BU22" t="s">
        <v>215</v>
      </c>
      <c r="BV22" t="s">
        <v>89</v>
      </c>
      <c r="BW22" t="s">
        <v>216</v>
      </c>
      <c r="BX22" t="s">
        <v>217</v>
      </c>
      <c r="BY22">
        <v>12390.28</v>
      </c>
      <c r="BZ22" t="s">
        <v>126</v>
      </c>
      <c r="CA22" t="s">
        <v>218</v>
      </c>
      <c r="CC22" t="s">
        <v>213</v>
      </c>
      <c r="CD22">
        <v>5200</v>
      </c>
      <c r="CE22" t="s">
        <v>181</v>
      </c>
      <c r="CF22" s="3">
        <v>45965</v>
      </c>
      <c r="CI22">
        <v>1</v>
      </c>
      <c r="CJ22">
        <v>1</v>
      </c>
      <c r="CK22">
        <v>21</v>
      </c>
      <c r="CL22" t="s">
        <v>89</v>
      </c>
    </row>
    <row r="23" spans="1:90" x14ac:dyDescent="0.3">
      <c r="A23" t="s">
        <v>72</v>
      </c>
      <c r="B23" t="s">
        <v>73</v>
      </c>
      <c r="C23" t="s">
        <v>74</v>
      </c>
      <c r="E23" t="str">
        <f>"GAB2029505"</f>
        <v>GAB2029505</v>
      </c>
      <c r="F23" s="3">
        <v>45964</v>
      </c>
      <c r="G23">
        <v>202608</v>
      </c>
      <c r="H23" t="s">
        <v>75</v>
      </c>
      <c r="I23" t="s">
        <v>76</v>
      </c>
      <c r="J23" t="s">
        <v>77</v>
      </c>
      <c r="K23" t="s">
        <v>78</v>
      </c>
      <c r="L23" t="s">
        <v>75</v>
      </c>
      <c r="M23" t="s">
        <v>76</v>
      </c>
      <c r="N23" t="s">
        <v>219</v>
      </c>
      <c r="O23" t="s">
        <v>124</v>
      </c>
      <c r="P23" t="str">
        <f>"INVOICE 00122348 CT098025     "</f>
        <v xml:space="preserve">INVOICE 00122348 CT098025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17.46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0.7</v>
      </c>
      <c r="BJ23">
        <v>1.7</v>
      </c>
      <c r="BK23">
        <v>2</v>
      </c>
      <c r="BL23">
        <v>55.42</v>
      </c>
      <c r="BM23">
        <v>8.31</v>
      </c>
      <c r="BN23">
        <v>63.73</v>
      </c>
      <c r="BO23">
        <v>63.73</v>
      </c>
      <c r="BQ23" t="s">
        <v>220</v>
      </c>
      <c r="BR23" t="s">
        <v>84</v>
      </c>
      <c r="BS23" s="3">
        <v>45965</v>
      </c>
      <c r="BT23" s="4">
        <v>0.35625000000000001</v>
      </c>
      <c r="BU23" t="s">
        <v>221</v>
      </c>
      <c r="BV23" t="s">
        <v>86</v>
      </c>
      <c r="BY23">
        <v>8681.39</v>
      </c>
      <c r="BZ23" t="s">
        <v>126</v>
      </c>
      <c r="CA23" t="s">
        <v>222</v>
      </c>
      <c r="CC23" t="s">
        <v>76</v>
      </c>
      <c r="CD23">
        <v>7530</v>
      </c>
      <c r="CE23" t="s">
        <v>223</v>
      </c>
      <c r="CF23" s="3">
        <v>45966</v>
      </c>
      <c r="CI23">
        <v>1</v>
      </c>
      <c r="CJ23">
        <v>1</v>
      </c>
      <c r="CK23">
        <v>22</v>
      </c>
      <c r="CL23" t="s">
        <v>89</v>
      </c>
    </row>
    <row r="24" spans="1:90" x14ac:dyDescent="0.3">
      <c r="A24" t="s">
        <v>72</v>
      </c>
      <c r="B24" t="s">
        <v>73</v>
      </c>
      <c r="C24" t="s">
        <v>74</v>
      </c>
      <c r="E24" t="str">
        <f>"GAB2029506"</f>
        <v>GAB2029506</v>
      </c>
      <c r="F24" s="3">
        <v>45964</v>
      </c>
      <c r="G24">
        <v>202608</v>
      </c>
      <c r="H24" t="s">
        <v>75</v>
      </c>
      <c r="I24" t="s">
        <v>76</v>
      </c>
      <c r="J24" t="s">
        <v>77</v>
      </c>
      <c r="K24" t="s">
        <v>78</v>
      </c>
      <c r="L24" t="s">
        <v>224</v>
      </c>
      <c r="M24" t="s">
        <v>225</v>
      </c>
      <c r="N24" t="s">
        <v>226</v>
      </c>
      <c r="O24" t="s">
        <v>124</v>
      </c>
      <c r="P24" t="str">
        <f>"INVOICE 00122349 CT098024     "</f>
        <v xml:space="preserve">INVOICE 00122349 CT098024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43.31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0.6</v>
      </c>
      <c r="BJ24">
        <v>1.8</v>
      </c>
      <c r="BK24">
        <v>2</v>
      </c>
      <c r="BL24">
        <v>137.47</v>
      </c>
      <c r="BM24">
        <v>20.62</v>
      </c>
      <c r="BN24">
        <v>158.09</v>
      </c>
      <c r="BO24">
        <v>158.09</v>
      </c>
      <c r="BQ24" t="s">
        <v>227</v>
      </c>
      <c r="BR24" t="s">
        <v>84</v>
      </c>
      <c r="BS24" s="3">
        <v>45965</v>
      </c>
      <c r="BT24" s="4">
        <v>0.43611111111111112</v>
      </c>
      <c r="BU24" t="s">
        <v>228</v>
      </c>
      <c r="BV24" t="s">
        <v>86</v>
      </c>
      <c r="BY24">
        <v>9157.0499999999993</v>
      </c>
      <c r="BZ24" t="s">
        <v>126</v>
      </c>
      <c r="CA24" t="s">
        <v>229</v>
      </c>
      <c r="CC24" t="s">
        <v>225</v>
      </c>
      <c r="CD24">
        <v>9700</v>
      </c>
      <c r="CE24" t="s">
        <v>136</v>
      </c>
      <c r="CF24" s="3">
        <v>45966</v>
      </c>
      <c r="CI24">
        <v>2</v>
      </c>
      <c r="CJ24">
        <v>1</v>
      </c>
      <c r="CK24">
        <v>23</v>
      </c>
      <c r="CL24" t="s">
        <v>89</v>
      </c>
    </row>
    <row r="25" spans="1:90" x14ac:dyDescent="0.3">
      <c r="A25" t="s">
        <v>72</v>
      </c>
      <c r="B25" t="s">
        <v>73</v>
      </c>
      <c r="C25" t="s">
        <v>74</v>
      </c>
      <c r="E25" t="str">
        <f>"GAB2029507"</f>
        <v>GAB2029507</v>
      </c>
      <c r="F25" s="3">
        <v>45964</v>
      </c>
      <c r="G25">
        <v>202608</v>
      </c>
      <c r="H25" t="s">
        <v>75</v>
      </c>
      <c r="I25" t="s">
        <v>76</v>
      </c>
      <c r="J25" t="s">
        <v>77</v>
      </c>
      <c r="K25" t="s">
        <v>78</v>
      </c>
      <c r="L25" t="s">
        <v>230</v>
      </c>
      <c r="M25" t="s">
        <v>231</v>
      </c>
      <c r="N25" t="s">
        <v>232</v>
      </c>
      <c r="O25" t="s">
        <v>124</v>
      </c>
      <c r="P25" t="str">
        <f>"INVOICE 00041052 ORDGS037736  "</f>
        <v xml:space="preserve">INVOICE 00041052 ORDGS037736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27.94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0.4</v>
      </c>
      <c r="BJ25">
        <v>2.2999999999999998</v>
      </c>
      <c r="BK25">
        <v>2.5</v>
      </c>
      <c r="BL25">
        <v>88.68</v>
      </c>
      <c r="BM25">
        <v>13.3</v>
      </c>
      <c r="BN25">
        <v>101.98</v>
      </c>
      <c r="BO25">
        <v>101.98</v>
      </c>
      <c r="BQ25" t="s">
        <v>233</v>
      </c>
      <c r="BR25" t="s">
        <v>84</v>
      </c>
      <c r="BS25" s="3">
        <v>45965</v>
      </c>
      <c r="BT25" s="4">
        <v>0.31388888888888888</v>
      </c>
      <c r="BU25" t="s">
        <v>234</v>
      </c>
      <c r="BV25" t="s">
        <v>86</v>
      </c>
      <c r="BY25">
        <v>11529.39</v>
      </c>
      <c r="BZ25" t="s">
        <v>126</v>
      </c>
      <c r="CA25">
        <v>8102155384080</v>
      </c>
      <c r="CC25" t="s">
        <v>231</v>
      </c>
      <c r="CD25" s="5" t="s">
        <v>235</v>
      </c>
      <c r="CE25" t="s">
        <v>181</v>
      </c>
      <c r="CF25" s="3">
        <v>45965</v>
      </c>
      <c r="CI25">
        <v>1</v>
      </c>
      <c r="CJ25">
        <v>1</v>
      </c>
      <c r="CK25">
        <v>21</v>
      </c>
      <c r="CL25" t="s">
        <v>89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"009945158409"</f>
        <v>009945158409</v>
      </c>
      <c r="F26" s="3">
        <v>45965</v>
      </c>
      <c r="G26">
        <v>202608</v>
      </c>
      <c r="H26" t="s">
        <v>230</v>
      </c>
      <c r="I26" t="s">
        <v>231</v>
      </c>
      <c r="J26" t="s">
        <v>236</v>
      </c>
      <c r="K26" t="s">
        <v>78</v>
      </c>
      <c r="L26" t="s">
        <v>237</v>
      </c>
      <c r="M26" t="s">
        <v>238</v>
      </c>
      <c r="N26" t="s">
        <v>239</v>
      </c>
      <c r="O26" t="s">
        <v>124</v>
      </c>
      <c r="P26" t="str">
        <f>"NO REF                        "</f>
        <v xml:space="preserve">NO REF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53.09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16.739999999999998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2</v>
      </c>
      <c r="BJ26">
        <v>2.4</v>
      </c>
      <c r="BK26">
        <v>2.5</v>
      </c>
      <c r="BL26">
        <v>185.25</v>
      </c>
      <c r="BM26">
        <v>27.79</v>
      </c>
      <c r="BN26">
        <v>213.04</v>
      </c>
      <c r="BO26">
        <v>213.04</v>
      </c>
      <c r="BQ26" t="s">
        <v>240</v>
      </c>
      <c r="BR26" t="s">
        <v>241</v>
      </c>
      <c r="BS26" s="3">
        <v>45967</v>
      </c>
      <c r="BT26" s="4">
        <v>0.35416666666666669</v>
      </c>
      <c r="BU26" t="s">
        <v>242</v>
      </c>
      <c r="BV26" t="s">
        <v>86</v>
      </c>
      <c r="BY26">
        <v>12000</v>
      </c>
      <c r="BZ26" t="s">
        <v>243</v>
      </c>
      <c r="CA26" t="s">
        <v>244</v>
      </c>
      <c r="CC26" t="s">
        <v>238</v>
      </c>
      <c r="CD26">
        <v>3867</v>
      </c>
      <c r="CE26" t="s">
        <v>245</v>
      </c>
      <c r="CF26" s="3">
        <v>45967</v>
      </c>
      <c r="CI26">
        <v>5</v>
      </c>
      <c r="CJ26">
        <v>2</v>
      </c>
      <c r="CK26">
        <v>23</v>
      </c>
      <c r="CL26" t="s">
        <v>89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"009945158410"</f>
        <v>009945158410</v>
      </c>
      <c r="F27" s="3">
        <v>45965</v>
      </c>
      <c r="G27">
        <v>202608</v>
      </c>
      <c r="H27" t="s">
        <v>230</v>
      </c>
      <c r="I27" t="s">
        <v>231</v>
      </c>
      <c r="J27" t="s">
        <v>236</v>
      </c>
      <c r="K27" t="s">
        <v>78</v>
      </c>
      <c r="L27" t="s">
        <v>246</v>
      </c>
      <c r="M27" t="s">
        <v>247</v>
      </c>
      <c r="N27" t="s">
        <v>236</v>
      </c>
      <c r="O27" t="s">
        <v>124</v>
      </c>
      <c r="P27" t="str">
        <f>"NO REF                        "</f>
        <v xml:space="preserve">NO REF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22.36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70.959999999999994</v>
      </c>
      <c r="BM27">
        <v>10.64</v>
      </c>
      <c r="BN27">
        <v>81.599999999999994</v>
      </c>
      <c r="BO27">
        <v>81.599999999999994</v>
      </c>
      <c r="BQ27" t="s">
        <v>248</v>
      </c>
      <c r="BR27" t="s">
        <v>241</v>
      </c>
      <c r="BS27" s="3">
        <v>45966</v>
      </c>
      <c r="BT27" s="4">
        <v>0.5</v>
      </c>
      <c r="BU27" t="s">
        <v>249</v>
      </c>
      <c r="BV27" t="s">
        <v>89</v>
      </c>
      <c r="BY27">
        <v>1200</v>
      </c>
      <c r="BZ27" t="s">
        <v>126</v>
      </c>
      <c r="CC27" t="s">
        <v>247</v>
      </c>
      <c r="CD27">
        <v>9300</v>
      </c>
      <c r="CE27" t="s">
        <v>245</v>
      </c>
      <c r="CF27" s="3">
        <v>45967</v>
      </c>
      <c r="CI27">
        <v>1</v>
      </c>
      <c r="CJ27">
        <v>1</v>
      </c>
      <c r="CK27">
        <v>21</v>
      </c>
      <c r="CL27" t="s">
        <v>89</v>
      </c>
    </row>
    <row r="28" spans="1:90" x14ac:dyDescent="0.3">
      <c r="A28" t="s">
        <v>72</v>
      </c>
      <c r="B28" t="s">
        <v>73</v>
      </c>
      <c r="C28" t="s">
        <v>74</v>
      </c>
      <c r="E28" t="str">
        <f>"gab2029547"</f>
        <v>gab2029547</v>
      </c>
      <c r="F28" s="3">
        <v>45965</v>
      </c>
      <c r="G28">
        <v>202608</v>
      </c>
      <c r="H28" t="s">
        <v>75</v>
      </c>
      <c r="I28" t="s">
        <v>76</v>
      </c>
      <c r="J28" t="s">
        <v>236</v>
      </c>
      <c r="K28" t="s">
        <v>78</v>
      </c>
      <c r="L28" t="s">
        <v>175</v>
      </c>
      <c r="M28" t="s">
        <v>176</v>
      </c>
      <c r="N28" t="s">
        <v>250</v>
      </c>
      <c r="O28" t="s">
        <v>124</v>
      </c>
      <c r="P28" t="str">
        <f t="shared" ref="P28:P40" si="0">"CT                            "</f>
        <v xml:space="preserve">CT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53.09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16.739999999999998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0.4</v>
      </c>
      <c r="BJ28">
        <v>2.2999999999999998</v>
      </c>
      <c r="BK28">
        <v>2.5</v>
      </c>
      <c r="BL28">
        <v>185.25</v>
      </c>
      <c r="BM28">
        <v>27.79</v>
      </c>
      <c r="BN28">
        <v>213.04</v>
      </c>
      <c r="BO28">
        <v>213.04</v>
      </c>
      <c r="BQ28" t="s">
        <v>251</v>
      </c>
      <c r="BR28" t="s">
        <v>252</v>
      </c>
      <c r="BS28" s="3">
        <v>45967</v>
      </c>
      <c r="BT28" s="4">
        <v>0.41666666666666669</v>
      </c>
      <c r="BU28" t="s">
        <v>179</v>
      </c>
      <c r="BV28" t="s">
        <v>86</v>
      </c>
      <c r="BY28">
        <v>11396</v>
      </c>
      <c r="BZ28" t="s">
        <v>180</v>
      </c>
      <c r="CC28" t="s">
        <v>176</v>
      </c>
      <c r="CD28">
        <v>2745</v>
      </c>
      <c r="CE28" t="s">
        <v>245</v>
      </c>
      <c r="CF28" s="3">
        <v>45968</v>
      </c>
      <c r="CI28">
        <v>2</v>
      </c>
      <c r="CJ28">
        <v>2</v>
      </c>
      <c r="CK28">
        <v>23</v>
      </c>
      <c r="CL28" t="s">
        <v>89</v>
      </c>
    </row>
    <row r="29" spans="1:90" x14ac:dyDescent="0.3">
      <c r="A29" t="s">
        <v>72</v>
      </c>
      <c r="B29" t="s">
        <v>73</v>
      </c>
      <c r="C29" t="s">
        <v>74</v>
      </c>
      <c r="E29" t="str">
        <f>"gab2029545"</f>
        <v>gab2029545</v>
      </c>
      <c r="F29" s="3">
        <v>45965</v>
      </c>
      <c r="G29">
        <v>202608</v>
      </c>
      <c r="H29" t="s">
        <v>75</v>
      </c>
      <c r="I29" t="s">
        <v>76</v>
      </c>
      <c r="J29" t="s">
        <v>236</v>
      </c>
      <c r="K29" t="s">
        <v>78</v>
      </c>
      <c r="L29" t="s">
        <v>162</v>
      </c>
      <c r="M29" t="s">
        <v>163</v>
      </c>
      <c r="N29" t="s">
        <v>253</v>
      </c>
      <c r="O29" t="s">
        <v>124</v>
      </c>
      <c r="P29" t="str">
        <f t="shared" si="0"/>
        <v xml:space="preserve">CT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22.36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0.2</v>
      </c>
      <c r="BJ29">
        <v>1.8</v>
      </c>
      <c r="BK29">
        <v>2</v>
      </c>
      <c r="BL29">
        <v>70.959999999999994</v>
      </c>
      <c r="BM29">
        <v>10.64</v>
      </c>
      <c r="BN29">
        <v>81.599999999999994</v>
      </c>
      <c r="BO29">
        <v>81.599999999999994</v>
      </c>
      <c r="BQ29" t="s">
        <v>254</v>
      </c>
      <c r="BR29" t="s">
        <v>252</v>
      </c>
      <c r="BS29" s="3">
        <v>45967</v>
      </c>
      <c r="BT29" s="4">
        <v>0.41666666666666669</v>
      </c>
      <c r="BU29" t="s">
        <v>255</v>
      </c>
      <c r="BV29" t="s">
        <v>86</v>
      </c>
      <c r="BY29">
        <v>8968.23</v>
      </c>
      <c r="BZ29" t="s">
        <v>126</v>
      </c>
      <c r="CA29" t="s">
        <v>167</v>
      </c>
      <c r="CC29" t="s">
        <v>163</v>
      </c>
      <c r="CD29">
        <v>6001</v>
      </c>
      <c r="CE29" t="s">
        <v>245</v>
      </c>
      <c r="CF29" s="3">
        <v>45967</v>
      </c>
      <c r="CI29">
        <v>2</v>
      </c>
      <c r="CJ29">
        <v>2</v>
      </c>
      <c r="CK29">
        <v>21</v>
      </c>
      <c r="CL29" t="s">
        <v>89</v>
      </c>
    </row>
    <row r="30" spans="1:90" x14ac:dyDescent="0.3">
      <c r="A30" t="s">
        <v>72</v>
      </c>
      <c r="B30" t="s">
        <v>73</v>
      </c>
      <c r="C30" t="s">
        <v>74</v>
      </c>
      <c r="E30" t="str">
        <f>"gab2029531"</f>
        <v>gab2029531</v>
      </c>
      <c r="F30" s="3">
        <v>45965</v>
      </c>
      <c r="G30">
        <v>202608</v>
      </c>
      <c r="H30" t="s">
        <v>75</v>
      </c>
      <c r="I30" t="s">
        <v>76</v>
      </c>
      <c r="J30" t="s">
        <v>236</v>
      </c>
      <c r="K30" t="s">
        <v>78</v>
      </c>
      <c r="L30" t="s">
        <v>200</v>
      </c>
      <c r="M30" t="s">
        <v>201</v>
      </c>
      <c r="N30" t="s">
        <v>256</v>
      </c>
      <c r="O30" t="s">
        <v>82</v>
      </c>
      <c r="P30" t="str">
        <f t="shared" si="0"/>
        <v xml:space="preserve">CT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5.87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60.97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1.6</v>
      </c>
      <c r="BJ30">
        <v>6.1</v>
      </c>
      <c r="BK30">
        <v>7</v>
      </c>
      <c r="BL30">
        <v>199.39</v>
      </c>
      <c r="BM30">
        <v>29.91</v>
      </c>
      <c r="BN30">
        <v>229.3</v>
      </c>
      <c r="BO30">
        <v>229.3</v>
      </c>
      <c r="BQ30" t="s">
        <v>257</v>
      </c>
      <c r="BR30" t="s">
        <v>252</v>
      </c>
      <c r="BS30" s="3">
        <v>45967</v>
      </c>
      <c r="BT30" s="4">
        <v>0.36458333333333331</v>
      </c>
      <c r="BU30" t="s">
        <v>258</v>
      </c>
      <c r="BV30" t="s">
        <v>86</v>
      </c>
      <c r="BY30">
        <v>30466.799999999999</v>
      </c>
      <c r="CA30" t="s">
        <v>205</v>
      </c>
      <c r="CC30" t="s">
        <v>201</v>
      </c>
      <c r="CD30">
        <v>1911</v>
      </c>
      <c r="CE30" t="s">
        <v>245</v>
      </c>
      <c r="CF30" s="3">
        <v>45967</v>
      </c>
      <c r="CI30">
        <v>2</v>
      </c>
      <c r="CJ30">
        <v>2</v>
      </c>
      <c r="CK30">
        <v>43</v>
      </c>
      <c r="CL30" t="s">
        <v>89</v>
      </c>
    </row>
    <row r="31" spans="1:90" x14ac:dyDescent="0.3">
      <c r="A31" t="s">
        <v>72</v>
      </c>
      <c r="B31" t="s">
        <v>73</v>
      </c>
      <c r="C31" t="s">
        <v>74</v>
      </c>
      <c r="E31" t="str">
        <f>"gab2029529"</f>
        <v>gab2029529</v>
      </c>
      <c r="F31" s="3">
        <v>45965</v>
      </c>
      <c r="G31">
        <v>202608</v>
      </c>
      <c r="H31" t="s">
        <v>75</v>
      </c>
      <c r="I31" t="s">
        <v>76</v>
      </c>
      <c r="J31" t="s">
        <v>236</v>
      </c>
      <c r="K31" t="s">
        <v>78</v>
      </c>
      <c r="L31" t="s">
        <v>137</v>
      </c>
      <c r="M31" t="s">
        <v>138</v>
      </c>
      <c r="N31" t="s">
        <v>259</v>
      </c>
      <c r="O31" t="s">
        <v>82</v>
      </c>
      <c r="P31" t="str">
        <f t="shared" si="0"/>
        <v xml:space="preserve">CT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5.87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60.97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0.7</v>
      </c>
      <c r="BJ31">
        <v>2.2999999999999998</v>
      </c>
      <c r="BK31">
        <v>3</v>
      </c>
      <c r="BL31">
        <v>199.39</v>
      </c>
      <c r="BM31">
        <v>29.91</v>
      </c>
      <c r="BN31">
        <v>229.3</v>
      </c>
      <c r="BO31">
        <v>229.3</v>
      </c>
      <c r="BQ31" t="s">
        <v>254</v>
      </c>
      <c r="BR31" t="s">
        <v>252</v>
      </c>
      <c r="BS31" s="3">
        <v>45968</v>
      </c>
      <c r="BT31" s="4">
        <v>0.60138888888888886</v>
      </c>
      <c r="BU31" t="s">
        <v>140</v>
      </c>
      <c r="BV31" t="s">
        <v>86</v>
      </c>
      <c r="BY31">
        <v>11477.62</v>
      </c>
      <c r="CA31" t="s">
        <v>141</v>
      </c>
      <c r="CC31" t="s">
        <v>138</v>
      </c>
      <c r="CD31" s="5" t="s">
        <v>142</v>
      </c>
      <c r="CE31" t="s">
        <v>245</v>
      </c>
      <c r="CF31" s="3">
        <v>45968</v>
      </c>
      <c r="CI31">
        <v>3</v>
      </c>
      <c r="CJ31">
        <v>3</v>
      </c>
      <c r="CK31">
        <v>43</v>
      </c>
      <c r="CL31" t="s">
        <v>89</v>
      </c>
    </row>
    <row r="32" spans="1:90" x14ac:dyDescent="0.3">
      <c r="A32" t="s">
        <v>72</v>
      </c>
      <c r="B32" t="s">
        <v>73</v>
      </c>
      <c r="C32" t="s">
        <v>74</v>
      </c>
      <c r="E32" t="str">
        <f>"gab2029522"</f>
        <v>gab2029522</v>
      </c>
      <c r="F32" s="3">
        <v>45965</v>
      </c>
      <c r="G32">
        <v>202608</v>
      </c>
      <c r="H32" t="s">
        <v>75</v>
      </c>
      <c r="I32" t="s">
        <v>76</v>
      </c>
      <c r="J32" t="s">
        <v>236</v>
      </c>
      <c r="K32" t="s">
        <v>78</v>
      </c>
      <c r="L32" t="s">
        <v>260</v>
      </c>
      <c r="M32" t="s">
        <v>261</v>
      </c>
      <c r="N32" t="s">
        <v>262</v>
      </c>
      <c r="O32" t="s">
        <v>82</v>
      </c>
      <c r="P32" t="str">
        <f t="shared" si="0"/>
        <v xml:space="preserve">CT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5.87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104.57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2</v>
      </c>
      <c r="BI32">
        <v>7.8</v>
      </c>
      <c r="BJ32">
        <v>28.3</v>
      </c>
      <c r="BK32">
        <v>29</v>
      </c>
      <c r="BL32">
        <v>337.77</v>
      </c>
      <c r="BM32">
        <v>50.67</v>
      </c>
      <c r="BN32">
        <v>388.44</v>
      </c>
      <c r="BO32">
        <v>388.44</v>
      </c>
      <c r="BQ32" t="s">
        <v>254</v>
      </c>
      <c r="BR32" t="s">
        <v>252</v>
      </c>
      <c r="BS32" s="3">
        <v>45968</v>
      </c>
      <c r="BT32" s="4">
        <v>0.54166666666666663</v>
      </c>
      <c r="BU32" t="s">
        <v>263</v>
      </c>
      <c r="BV32" t="s">
        <v>86</v>
      </c>
      <c r="BY32">
        <v>141595.4</v>
      </c>
      <c r="CA32" t="s">
        <v>264</v>
      </c>
      <c r="CC32" t="s">
        <v>261</v>
      </c>
      <c r="CD32">
        <v>1380</v>
      </c>
      <c r="CE32" t="s">
        <v>245</v>
      </c>
      <c r="CF32" s="3">
        <v>45968</v>
      </c>
      <c r="CI32">
        <v>2</v>
      </c>
      <c r="CJ32">
        <v>3</v>
      </c>
      <c r="CK32">
        <v>43</v>
      </c>
      <c r="CL32" t="s">
        <v>89</v>
      </c>
    </row>
    <row r="33" spans="1:90" x14ac:dyDescent="0.3">
      <c r="A33" t="s">
        <v>72</v>
      </c>
      <c r="B33" t="s">
        <v>73</v>
      </c>
      <c r="C33" t="s">
        <v>74</v>
      </c>
      <c r="E33" t="str">
        <f>"gab2029521"</f>
        <v>gab2029521</v>
      </c>
      <c r="F33" s="3">
        <v>45965</v>
      </c>
      <c r="G33">
        <v>202608</v>
      </c>
      <c r="H33" t="s">
        <v>75</v>
      </c>
      <c r="I33" t="s">
        <v>76</v>
      </c>
      <c r="J33" t="s">
        <v>236</v>
      </c>
      <c r="K33" t="s">
        <v>78</v>
      </c>
      <c r="L33" t="s">
        <v>265</v>
      </c>
      <c r="M33" t="s">
        <v>266</v>
      </c>
      <c r="N33" t="s">
        <v>267</v>
      </c>
      <c r="O33" t="s">
        <v>82</v>
      </c>
      <c r="P33" t="str">
        <f t="shared" si="0"/>
        <v xml:space="preserve">CT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5.87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67.69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3</v>
      </c>
      <c r="BI33">
        <v>14.2</v>
      </c>
      <c r="BJ33">
        <v>30.8</v>
      </c>
      <c r="BK33">
        <v>31</v>
      </c>
      <c r="BL33">
        <v>220.71</v>
      </c>
      <c r="BM33">
        <v>33.11</v>
      </c>
      <c r="BN33">
        <v>253.82</v>
      </c>
      <c r="BO33">
        <v>253.82</v>
      </c>
      <c r="BQ33" t="s">
        <v>254</v>
      </c>
      <c r="BR33" t="s">
        <v>252</v>
      </c>
      <c r="BS33" s="3">
        <v>45966</v>
      </c>
      <c r="BT33" s="4">
        <v>0.50694444444444442</v>
      </c>
      <c r="BU33" t="s">
        <v>268</v>
      </c>
      <c r="BV33" t="s">
        <v>86</v>
      </c>
      <c r="BY33">
        <v>153840.38</v>
      </c>
      <c r="CA33" t="s">
        <v>269</v>
      </c>
      <c r="CC33" t="s">
        <v>266</v>
      </c>
      <c r="CD33">
        <v>7200</v>
      </c>
      <c r="CE33" t="s">
        <v>245</v>
      </c>
      <c r="CF33" s="3">
        <v>45967</v>
      </c>
      <c r="CI33">
        <v>0</v>
      </c>
      <c r="CJ33">
        <v>0</v>
      </c>
      <c r="CK33">
        <v>44</v>
      </c>
      <c r="CL33" t="s">
        <v>89</v>
      </c>
    </row>
    <row r="34" spans="1:90" x14ac:dyDescent="0.3">
      <c r="A34" t="s">
        <v>72</v>
      </c>
      <c r="B34" t="s">
        <v>73</v>
      </c>
      <c r="C34" t="s">
        <v>74</v>
      </c>
      <c r="E34" t="str">
        <f>"gab2029520"</f>
        <v>gab2029520</v>
      </c>
      <c r="F34" s="3">
        <v>45965</v>
      </c>
      <c r="G34">
        <v>202608</v>
      </c>
      <c r="H34" t="s">
        <v>75</v>
      </c>
      <c r="I34" t="s">
        <v>76</v>
      </c>
      <c r="J34" t="s">
        <v>236</v>
      </c>
      <c r="K34" t="s">
        <v>78</v>
      </c>
      <c r="L34" t="s">
        <v>270</v>
      </c>
      <c r="M34" t="s">
        <v>271</v>
      </c>
      <c r="N34" t="s">
        <v>272</v>
      </c>
      <c r="O34" t="s">
        <v>82</v>
      </c>
      <c r="P34" t="str">
        <f t="shared" si="0"/>
        <v xml:space="preserve">CT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5.87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98.34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3</v>
      </c>
      <c r="BI34">
        <v>9.3000000000000007</v>
      </c>
      <c r="BJ34">
        <v>26.9</v>
      </c>
      <c r="BK34">
        <v>27</v>
      </c>
      <c r="BL34">
        <v>318</v>
      </c>
      <c r="BM34">
        <v>47.7</v>
      </c>
      <c r="BN34">
        <v>365.7</v>
      </c>
      <c r="BO34">
        <v>365.7</v>
      </c>
      <c r="BQ34" t="s">
        <v>254</v>
      </c>
      <c r="BR34" t="s">
        <v>252</v>
      </c>
      <c r="BS34" s="3">
        <v>45968</v>
      </c>
      <c r="BT34" s="4">
        <v>0.55000000000000004</v>
      </c>
      <c r="BU34" t="s">
        <v>273</v>
      </c>
      <c r="BV34" t="s">
        <v>86</v>
      </c>
      <c r="BY34">
        <v>134499.81</v>
      </c>
      <c r="CC34" t="s">
        <v>271</v>
      </c>
      <c r="CD34">
        <v>4240</v>
      </c>
      <c r="CE34" t="s">
        <v>245</v>
      </c>
      <c r="CF34" s="3">
        <v>45968</v>
      </c>
      <c r="CI34">
        <v>4</v>
      </c>
      <c r="CJ34">
        <v>3</v>
      </c>
      <c r="CK34">
        <v>43</v>
      </c>
      <c r="CL34" t="s">
        <v>89</v>
      </c>
    </row>
    <row r="35" spans="1:90" x14ac:dyDescent="0.3">
      <c r="A35" t="s">
        <v>72</v>
      </c>
      <c r="B35" t="s">
        <v>73</v>
      </c>
      <c r="C35" t="s">
        <v>74</v>
      </c>
      <c r="E35" t="str">
        <f>"gab2029519"</f>
        <v>gab2029519</v>
      </c>
      <c r="F35" s="3">
        <v>45965</v>
      </c>
      <c r="G35">
        <v>202608</v>
      </c>
      <c r="H35" t="s">
        <v>75</v>
      </c>
      <c r="I35" t="s">
        <v>76</v>
      </c>
      <c r="J35" t="s">
        <v>236</v>
      </c>
      <c r="K35" t="s">
        <v>78</v>
      </c>
      <c r="L35" t="s">
        <v>274</v>
      </c>
      <c r="M35" t="s">
        <v>275</v>
      </c>
      <c r="N35" t="s">
        <v>276</v>
      </c>
      <c r="O35" t="s">
        <v>82</v>
      </c>
      <c r="P35" t="str">
        <f t="shared" si="0"/>
        <v xml:space="preserve">CT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5.87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98.34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2</v>
      </c>
      <c r="BI35">
        <v>8.4</v>
      </c>
      <c r="BJ35">
        <v>27</v>
      </c>
      <c r="BK35">
        <v>27</v>
      </c>
      <c r="BL35">
        <v>318</v>
      </c>
      <c r="BM35">
        <v>47.7</v>
      </c>
      <c r="BN35">
        <v>365.7</v>
      </c>
      <c r="BO35">
        <v>365.7</v>
      </c>
      <c r="BQ35" t="s">
        <v>254</v>
      </c>
      <c r="BR35" t="s">
        <v>252</v>
      </c>
      <c r="BS35" s="3">
        <v>45968</v>
      </c>
      <c r="BT35" s="4">
        <v>0.47291666666666665</v>
      </c>
      <c r="BU35" t="s">
        <v>277</v>
      </c>
      <c r="BV35" t="s">
        <v>86</v>
      </c>
      <c r="BY35">
        <v>135000</v>
      </c>
      <c r="CA35" t="s">
        <v>278</v>
      </c>
      <c r="CC35" t="s">
        <v>275</v>
      </c>
      <c r="CD35">
        <v>9459</v>
      </c>
      <c r="CE35" t="s">
        <v>245</v>
      </c>
      <c r="CF35" s="3">
        <v>45968</v>
      </c>
      <c r="CI35">
        <v>6</v>
      </c>
      <c r="CJ35">
        <v>3</v>
      </c>
      <c r="CK35">
        <v>43</v>
      </c>
      <c r="CL35" t="s">
        <v>89</v>
      </c>
    </row>
    <row r="36" spans="1:90" x14ac:dyDescent="0.3">
      <c r="A36" t="s">
        <v>72</v>
      </c>
      <c r="B36" t="s">
        <v>73</v>
      </c>
      <c r="C36" t="s">
        <v>74</v>
      </c>
      <c r="E36" t="str">
        <f>"gab2029518"</f>
        <v>gab2029518</v>
      </c>
      <c r="F36" s="3">
        <v>45965</v>
      </c>
      <c r="G36">
        <v>202608</v>
      </c>
      <c r="H36" t="s">
        <v>75</v>
      </c>
      <c r="I36" t="s">
        <v>76</v>
      </c>
      <c r="J36" t="s">
        <v>236</v>
      </c>
      <c r="K36" t="s">
        <v>78</v>
      </c>
      <c r="L36" t="s">
        <v>90</v>
      </c>
      <c r="M36" t="s">
        <v>91</v>
      </c>
      <c r="N36" t="s">
        <v>279</v>
      </c>
      <c r="O36" t="s">
        <v>82</v>
      </c>
      <c r="P36" t="str">
        <f t="shared" si="0"/>
        <v xml:space="preserve">CT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5.87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84.28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3</v>
      </c>
      <c r="BI36">
        <v>11.7</v>
      </c>
      <c r="BJ36">
        <v>37.9</v>
      </c>
      <c r="BK36">
        <v>38</v>
      </c>
      <c r="BL36">
        <v>273.37</v>
      </c>
      <c r="BM36">
        <v>41.01</v>
      </c>
      <c r="BN36">
        <v>314.38</v>
      </c>
      <c r="BO36">
        <v>314.38</v>
      </c>
      <c r="BQ36" t="s">
        <v>280</v>
      </c>
      <c r="BR36" t="s">
        <v>252</v>
      </c>
      <c r="BS36" s="3">
        <v>45968</v>
      </c>
      <c r="BT36" s="4">
        <v>0.41666666666666669</v>
      </c>
      <c r="BU36" t="s">
        <v>281</v>
      </c>
      <c r="BV36" t="s">
        <v>86</v>
      </c>
      <c r="BY36">
        <v>189319.8</v>
      </c>
      <c r="CC36" t="s">
        <v>91</v>
      </c>
      <c r="CD36">
        <v>4001</v>
      </c>
      <c r="CE36" t="s">
        <v>245</v>
      </c>
      <c r="CF36" s="3">
        <v>45968</v>
      </c>
      <c r="CI36">
        <v>3</v>
      </c>
      <c r="CJ36">
        <v>3</v>
      </c>
      <c r="CK36">
        <v>41</v>
      </c>
      <c r="CL36" t="s">
        <v>89</v>
      </c>
    </row>
    <row r="37" spans="1:90" x14ac:dyDescent="0.3">
      <c r="A37" t="s">
        <v>72</v>
      </c>
      <c r="B37" t="s">
        <v>73</v>
      </c>
      <c r="C37" t="s">
        <v>74</v>
      </c>
      <c r="E37" t="str">
        <f>"gab2029543"</f>
        <v>gab2029543</v>
      </c>
      <c r="F37" s="3">
        <v>45965</v>
      </c>
      <c r="G37">
        <v>202608</v>
      </c>
      <c r="H37" t="s">
        <v>75</v>
      </c>
      <c r="I37" t="s">
        <v>76</v>
      </c>
      <c r="J37" t="s">
        <v>236</v>
      </c>
      <c r="K37" t="s">
        <v>78</v>
      </c>
      <c r="L37" t="s">
        <v>97</v>
      </c>
      <c r="M37" t="s">
        <v>98</v>
      </c>
      <c r="N37" t="s">
        <v>282</v>
      </c>
      <c r="O37" t="s">
        <v>124</v>
      </c>
      <c r="P37" t="str">
        <f t="shared" si="0"/>
        <v xml:space="preserve">CT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27.94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0.3</v>
      </c>
      <c r="BJ37">
        <v>2.2999999999999998</v>
      </c>
      <c r="BK37">
        <v>2.5</v>
      </c>
      <c r="BL37">
        <v>88.68</v>
      </c>
      <c r="BM37">
        <v>13.3</v>
      </c>
      <c r="BN37">
        <v>101.98</v>
      </c>
      <c r="BO37">
        <v>101.98</v>
      </c>
      <c r="BQ37" t="s">
        <v>254</v>
      </c>
      <c r="BR37" t="s">
        <v>252</v>
      </c>
      <c r="BS37" s="3">
        <v>45967</v>
      </c>
      <c r="BT37" s="4">
        <v>0.40902777777777777</v>
      </c>
      <c r="BU37" t="s">
        <v>283</v>
      </c>
      <c r="BV37" t="s">
        <v>86</v>
      </c>
      <c r="BY37">
        <v>11469.99</v>
      </c>
      <c r="BZ37" t="s">
        <v>126</v>
      </c>
      <c r="CA37" t="s">
        <v>284</v>
      </c>
      <c r="CC37" t="s">
        <v>98</v>
      </c>
      <c r="CD37">
        <v>3610</v>
      </c>
      <c r="CE37" t="s">
        <v>245</v>
      </c>
      <c r="CF37" s="3">
        <v>45968</v>
      </c>
      <c r="CI37">
        <v>2</v>
      </c>
      <c r="CJ37">
        <v>2</v>
      </c>
      <c r="CK37">
        <v>21</v>
      </c>
      <c r="CL37" t="s">
        <v>89</v>
      </c>
    </row>
    <row r="38" spans="1:90" x14ac:dyDescent="0.3">
      <c r="A38" t="s">
        <v>72</v>
      </c>
      <c r="B38" t="s">
        <v>73</v>
      </c>
      <c r="C38" t="s">
        <v>74</v>
      </c>
      <c r="E38" t="str">
        <f>"gab2029535"</f>
        <v>gab2029535</v>
      </c>
      <c r="F38" s="3">
        <v>45965</v>
      </c>
      <c r="G38">
        <v>202608</v>
      </c>
      <c r="H38" t="s">
        <v>75</v>
      </c>
      <c r="I38" t="s">
        <v>76</v>
      </c>
      <c r="J38" t="s">
        <v>236</v>
      </c>
      <c r="K38" t="s">
        <v>78</v>
      </c>
      <c r="L38" t="s">
        <v>162</v>
      </c>
      <c r="M38" t="s">
        <v>163</v>
      </c>
      <c r="N38" t="s">
        <v>285</v>
      </c>
      <c r="O38" t="s">
        <v>124</v>
      </c>
      <c r="P38" t="str">
        <f t="shared" si="0"/>
        <v xml:space="preserve">CT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22.36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0.2</v>
      </c>
      <c r="BJ38">
        <v>1.7</v>
      </c>
      <c r="BK38">
        <v>2</v>
      </c>
      <c r="BL38">
        <v>70.959999999999994</v>
      </c>
      <c r="BM38">
        <v>10.64</v>
      </c>
      <c r="BN38">
        <v>81.599999999999994</v>
      </c>
      <c r="BO38">
        <v>81.599999999999994</v>
      </c>
      <c r="BQ38" t="s">
        <v>286</v>
      </c>
      <c r="BR38" t="s">
        <v>252</v>
      </c>
      <c r="BS38" s="3">
        <v>45967</v>
      </c>
      <c r="BT38" s="4">
        <v>0.3611111111111111</v>
      </c>
      <c r="BU38" t="s">
        <v>287</v>
      </c>
      <c r="BV38" t="s">
        <v>86</v>
      </c>
      <c r="BY38">
        <v>8690</v>
      </c>
      <c r="BZ38" t="s">
        <v>126</v>
      </c>
      <c r="CA38" t="s">
        <v>288</v>
      </c>
      <c r="CC38" t="s">
        <v>163</v>
      </c>
      <c r="CD38">
        <v>6001</v>
      </c>
      <c r="CE38" t="s">
        <v>245</v>
      </c>
      <c r="CF38" s="3">
        <v>45967</v>
      </c>
      <c r="CI38">
        <v>2</v>
      </c>
      <c r="CJ38">
        <v>2</v>
      </c>
      <c r="CK38">
        <v>21</v>
      </c>
      <c r="CL38" t="s">
        <v>89</v>
      </c>
    </row>
    <row r="39" spans="1:90" x14ac:dyDescent="0.3">
      <c r="A39" t="s">
        <v>72</v>
      </c>
      <c r="B39" t="s">
        <v>73</v>
      </c>
      <c r="C39" t="s">
        <v>74</v>
      </c>
      <c r="E39" t="str">
        <f>"gab2029515"</f>
        <v>gab2029515</v>
      </c>
      <c r="F39" s="3">
        <v>45965</v>
      </c>
      <c r="G39">
        <v>202608</v>
      </c>
      <c r="H39" t="s">
        <v>75</v>
      </c>
      <c r="I39" t="s">
        <v>76</v>
      </c>
      <c r="J39" t="s">
        <v>236</v>
      </c>
      <c r="K39" t="s">
        <v>78</v>
      </c>
      <c r="L39" t="s">
        <v>212</v>
      </c>
      <c r="M39" t="s">
        <v>213</v>
      </c>
      <c r="N39" t="s">
        <v>289</v>
      </c>
      <c r="O39" t="s">
        <v>82</v>
      </c>
      <c r="P39" t="str">
        <f t="shared" si="0"/>
        <v xml:space="preserve">CT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5.87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159.24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7</v>
      </c>
      <c r="BI39">
        <v>28.2</v>
      </c>
      <c r="BJ39">
        <v>79.099999999999994</v>
      </c>
      <c r="BK39">
        <v>80</v>
      </c>
      <c r="BL39">
        <v>511.29</v>
      </c>
      <c r="BM39">
        <v>76.69</v>
      </c>
      <c r="BN39">
        <v>587.98</v>
      </c>
      <c r="BO39">
        <v>587.98</v>
      </c>
      <c r="BQ39" t="s">
        <v>254</v>
      </c>
      <c r="BR39" t="s">
        <v>252</v>
      </c>
      <c r="BS39" s="3">
        <v>45967</v>
      </c>
      <c r="BT39" s="4">
        <v>0.65972222222222221</v>
      </c>
      <c r="BU39" t="s">
        <v>290</v>
      </c>
      <c r="BV39" t="s">
        <v>86</v>
      </c>
      <c r="BY39">
        <v>395292.59</v>
      </c>
      <c r="CA39" t="s">
        <v>291</v>
      </c>
      <c r="CC39" t="s">
        <v>213</v>
      </c>
      <c r="CD39">
        <v>5201</v>
      </c>
      <c r="CE39" t="s">
        <v>245</v>
      </c>
      <c r="CF39" s="3">
        <v>45967</v>
      </c>
      <c r="CI39">
        <v>3</v>
      </c>
      <c r="CJ39">
        <v>2</v>
      </c>
      <c r="CK39">
        <v>41</v>
      </c>
      <c r="CL39" t="s">
        <v>89</v>
      </c>
    </row>
    <row r="40" spans="1:90" x14ac:dyDescent="0.3">
      <c r="A40" t="s">
        <v>72</v>
      </c>
      <c r="B40" t="s">
        <v>73</v>
      </c>
      <c r="C40" t="s">
        <v>74</v>
      </c>
      <c r="E40" t="str">
        <f>"gab2029513"</f>
        <v>gab2029513</v>
      </c>
      <c r="F40" s="3">
        <v>45965</v>
      </c>
      <c r="G40">
        <v>202608</v>
      </c>
      <c r="H40" t="s">
        <v>75</v>
      </c>
      <c r="I40" t="s">
        <v>76</v>
      </c>
      <c r="J40" t="s">
        <v>236</v>
      </c>
      <c r="K40" t="s">
        <v>78</v>
      </c>
      <c r="L40" t="s">
        <v>212</v>
      </c>
      <c r="M40" t="s">
        <v>213</v>
      </c>
      <c r="N40" t="s">
        <v>289</v>
      </c>
      <c r="O40" t="s">
        <v>82</v>
      </c>
      <c r="P40" t="str">
        <f t="shared" si="0"/>
        <v xml:space="preserve">CT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5.87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112.84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2</v>
      </c>
      <c r="BI40">
        <v>20.6</v>
      </c>
      <c r="BJ40">
        <v>53.8</v>
      </c>
      <c r="BK40">
        <v>54</v>
      </c>
      <c r="BL40">
        <v>364.01</v>
      </c>
      <c r="BM40">
        <v>54.6</v>
      </c>
      <c r="BN40">
        <v>418.61</v>
      </c>
      <c r="BO40">
        <v>418.61</v>
      </c>
      <c r="BQ40" t="s">
        <v>254</v>
      </c>
      <c r="BR40" t="s">
        <v>252</v>
      </c>
      <c r="BS40" s="3">
        <v>45967</v>
      </c>
      <c r="BT40" s="4">
        <v>0.65972222222222221</v>
      </c>
      <c r="BU40" t="s">
        <v>290</v>
      </c>
      <c r="BV40" t="s">
        <v>86</v>
      </c>
      <c r="BY40">
        <v>268790.25</v>
      </c>
      <c r="CA40" t="s">
        <v>291</v>
      </c>
      <c r="CC40" t="s">
        <v>213</v>
      </c>
      <c r="CD40">
        <v>5201</v>
      </c>
      <c r="CE40" t="s">
        <v>245</v>
      </c>
      <c r="CF40" s="3">
        <v>45967</v>
      </c>
      <c r="CI40">
        <v>3</v>
      </c>
      <c r="CJ40">
        <v>2</v>
      </c>
      <c r="CK40">
        <v>41</v>
      </c>
      <c r="CL40" t="s">
        <v>89</v>
      </c>
    </row>
    <row r="41" spans="1:90" x14ac:dyDescent="0.3">
      <c r="A41" t="s">
        <v>72</v>
      </c>
      <c r="B41" t="s">
        <v>73</v>
      </c>
      <c r="C41" t="s">
        <v>74</v>
      </c>
      <c r="E41" t="str">
        <f>"2029572"</f>
        <v>2029572</v>
      </c>
      <c r="F41" s="3">
        <v>45966</v>
      </c>
      <c r="G41">
        <v>202608</v>
      </c>
      <c r="H41" t="s">
        <v>75</v>
      </c>
      <c r="I41" t="s">
        <v>76</v>
      </c>
      <c r="J41" t="s">
        <v>77</v>
      </c>
      <c r="K41" t="s">
        <v>78</v>
      </c>
      <c r="L41" t="s">
        <v>292</v>
      </c>
      <c r="M41" t="s">
        <v>293</v>
      </c>
      <c r="N41" t="s">
        <v>294</v>
      </c>
      <c r="O41" t="s">
        <v>82</v>
      </c>
      <c r="P41" t="str">
        <f>"INVOICE00122381 CT097982      "</f>
        <v xml:space="preserve">INVOICE00122381 CT097982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5.87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41.35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0.4</v>
      </c>
      <c r="BJ41">
        <v>2.7</v>
      </c>
      <c r="BK41">
        <v>3</v>
      </c>
      <c r="BL41">
        <v>141.19999999999999</v>
      </c>
      <c r="BM41">
        <v>21.18</v>
      </c>
      <c r="BN41">
        <v>162.38</v>
      </c>
      <c r="BO41">
        <v>162.38</v>
      </c>
      <c r="BQ41" t="s">
        <v>295</v>
      </c>
      <c r="BR41" t="s">
        <v>84</v>
      </c>
      <c r="BS41" s="3">
        <v>45968</v>
      </c>
      <c r="BT41" s="4">
        <v>0.42986111111111114</v>
      </c>
      <c r="BU41" t="s">
        <v>296</v>
      </c>
      <c r="BV41" t="s">
        <v>86</v>
      </c>
      <c r="BY41">
        <v>13291.2</v>
      </c>
      <c r="CA41" t="s">
        <v>297</v>
      </c>
      <c r="CC41" t="s">
        <v>293</v>
      </c>
      <c r="CD41">
        <v>1449</v>
      </c>
      <c r="CE41" t="s">
        <v>298</v>
      </c>
      <c r="CF41" s="3">
        <v>45968</v>
      </c>
      <c r="CI41">
        <v>2</v>
      </c>
      <c r="CJ41">
        <v>2</v>
      </c>
      <c r="CK41">
        <v>41</v>
      </c>
      <c r="CL41" t="s">
        <v>89</v>
      </c>
    </row>
    <row r="42" spans="1:90" x14ac:dyDescent="0.3">
      <c r="A42" t="s">
        <v>72</v>
      </c>
      <c r="B42" t="s">
        <v>73</v>
      </c>
      <c r="C42" t="s">
        <v>74</v>
      </c>
      <c r="E42" t="str">
        <f>"2029573"</f>
        <v>2029573</v>
      </c>
      <c r="F42" s="3">
        <v>45966</v>
      </c>
      <c r="G42">
        <v>202608</v>
      </c>
      <c r="H42" t="s">
        <v>75</v>
      </c>
      <c r="I42" t="s">
        <v>76</v>
      </c>
      <c r="J42" t="s">
        <v>77</v>
      </c>
      <c r="K42" t="s">
        <v>78</v>
      </c>
      <c r="L42" t="s">
        <v>274</v>
      </c>
      <c r="M42" t="s">
        <v>275</v>
      </c>
      <c r="N42" t="s">
        <v>299</v>
      </c>
      <c r="O42" t="s">
        <v>82</v>
      </c>
      <c r="P42" t="str">
        <f>"INVOICE00122394 CT098033      "</f>
        <v xml:space="preserve">INVOICE00122394 CT098033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58.32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1.4</v>
      </c>
      <c r="BJ42">
        <v>5.9</v>
      </c>
      <c r="BK42">
        <v>6</v>
      </c>
      <c r="BL42">
        <v>196.74</v>
      </c>
      <c r="BM42">
        <v>29.51</v>
      </c>
      <c r="BN42">
        <v>226.25</v>
      </c>
      <c r="BO42">
        <v>226.25</v>
      </c>
      <c r="BQ42" t="s">
        <v>300</v>
      </c>
      <c r="BR42" t="s">
        <v>84</v>
      </c>
      <c r="BS42" s="3">
        <v>45968</v>
      </c>
      <c r="BT42" s="4">
        <v>0.48819444444444443</v>
      </c>
      <c r="BU42" t="s">
        <v>301</v>
      </c>
      <c r="BV42" t="s">
        <v>86</v>
      </c>
      <c r="BY42">
        <v>29295</v>
      </c>
      <c r="CA42" t="s">
        <v>302</v>
      </c>
      <c r="CC42" t="s">
        <v>275</v>
      </c>
      <c r="CD42">
        <v>9459</v>
      </c>
      <c r="CE42" t="s">
        <v>88</v>
      </c>
      <c r="CF42" s="3">
        <v>45968</v>
      </c>
      <c r="CI42">
        <v>3</v>
      </c>
      <c r="CJ42">
        <v>2</v>
      </c>
      <c r="CK42">
        <v>43</v>
      </c>
      <c r="CL42" t="s">
        <v>89</v>
      </c>
    </row>
    <row r="43" spans="1:90" x14ac:dyDescent="0.3">
      <c r="A43" t="s">
        <v>72</v>
      </c>
      <c r="B43" t="s">
        <v>73</v>
      </c>
      <c r="C43" t="s">
        <v>74</v>
      </c>
      <c r="E43" t="str">
        <f>"2029575"</f>
        <v>2029575</v>
      </c>
      <c r="F43" s="3">
        <v>45966</v>
      </c>
      <c r="G43">
        <v>202608</v>
      </c>
      <c r="H43" t="s">
        <v>75</v>
      </c>
      <c r="I43" t="s">
        <v>76</v>
      </c>
      <c r="J43" t="s">
        <v>77</v>
      </c>
      <c r="K43" t="s">
        <v>78</v>
      </c>
      <c r="L43" t="s">
        <v>79</v>
      </c>
      <c r="M43" t="s">
        <v>80</v>
      </c>
      <c r="N43" t="s">
        <v>303</v>
      </c>
      <c r="O43" t="s">
        <v>82</v>
      </c>
      <c r="P43" t="str">
        <f>"INVOICE00122409 CT098050      "</f>
        <v xml:space="preserve">INVOICE00122409 CT098050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5.87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58.42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2</v>
      </c>
      <c r="BI43">
        <v>15</v>
      </c>
      <c r="BJ43">
        <v>24.2</v>
      </c>
      <c r="BK43">
        <v>25</v>
      </c>
      <c r="BL43">
        <v>197.07</v>
      </c>
      <c r="BM43">
        <v>29.56</v>
      </c>
      <c r="BN43">
        <v>226.63</v>
      </c>
      <c r="BO43">
        <v>226.63</v>
      </c>
      <c r="BQ43" t="s">
        <v>304</v>
      </c>
      <c r="BR43" t="s">
        <v>84</v>
      </c>
      <c r="BS43" t="s">
        <v>305</v>
      </c>
      <c r="BY43">
        <v>121194</v>
      </c>
      <c r="CC43" t="s">
        <v>80</v>
      </c>
      <c r="CD43" s="5" t="s">
        <v>87</v>
      </c>
      <c r="CE43" t="s">
        <v>103</v>
      </c>
      <c r="CI43">
        <v>3</v>
      </c>
      <c r="CJ43" t="s">
        <v>305</v>
      </c>
      <c r="CK43">
        <v>41</v>
      </c>
      <c r="CL43" t="s">
        <v>89</v>
      </c>
    </row>
    <row r="44" spans="1:90" x14ac:dyDescent="0.3">
      <c r="A44" t="s">
        <v>72</v>
      </c>
      <c r="B44" t="s">
        <v>73</v>
      </c>
      <c r="C44" t="s">
        <v>74</v>
      </c>
      <c r="E44" t="str">
        <f>"2029576"</f>
        <v>2029576</v>
      </c>
      <c r="F44" s="3">
        <v>45966</v>
      </c>
      <c r="G44">
        <v>202608</v>
      </c>
      <c r="H44" t="s">
        <v>75</v>
      </c>
      <c r="I44" t="s">
        <v>76</v>
      </c>
      <c r="J44" t="s">
        <v>77</v>
      </c>
      <c r="K44" t="s">
        <v>78</v>
      </c>
      <c r="L44" t="s">
        <v>79</v>
      </c>
      <c r="M44" t="s">
        <v>80</v>
      </c>
      <c r="N44" t="s">
        <v>81</v>
      </c>
      <c r="O44" t="s">
        <v>82</v>
      </c>
      <c r="P44" t="str">
        <f>"INVOICE00122414 CT098039      "</f>
        <v xml:space="preserve">INVOICE00122414 CT098039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5.87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41.35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2</v>
      </c>
      <c r="BI44">
        <v>4.9000000000000004</v>
      </c>
      <c r="BJ44">
        <v>10.199999999999999</v>
      </c>
      <c r="BK44">
        <v>11</v>
      </c>
      <c r="BL44">
        <v>141.19999999999999</v>
      </c>
      <c r="BM44">
        <v>21.18</v>
      </c>
      <c r="BN44">
        <v>162.38</v>
      </c>
      <c r="BO44">
        <v>162.38</v>
      </c>
      <c r="BQ44" t="s">
        <v>306</v>
      </c>
      <c r="BR44" t="s">
        <v>84</v>
      </c>
      <c r="BS44" s="3">
        <v>45968</v>
      </c>
      <c r="BT44" s="4">
        <v>0.35625000000000001</v>
      </c>
      <c r="BU44" t="s">
        <v>85</v>
      </c>
      <c r="BV44" t="s">
        <v>86</v>
      </c>
      <c r="BY44">
        <v>51006</v>
      </c>
      <c r="CA44">
        <v>8601266266086</v>
      </c>
      <c r="CC44" t="s">
        <v>80</v>
      </c>
      <c r="CD44" s="5" t="s">
        <v>87</v>
      </c>
      <c r="CE44" t="s">
        <v>103</v>
      </c>
      <c r="CF44" s="3">
        <v>45968</v>
      </c>
      <c r="CI44">
        <v>3</v>
      </c>
      <c r="CJ44">
        <v>2</v>
      </c>
      <c r="CK44">
        <v>41</v>
      </c>
      <c r="CL44" t="s">
        <v>89</v>
      </c>
    </row>
    <row r="45" spans="1:90" x14ac:dyDescent="0.3">
      <c r="A45" t="s">
        <v>72</v>
      </c>
      <c r="B45" t="s">
        <v>73</v>
      </c>
      <c r="C45" t="s">
        <v>74</v>
      </c>
      <c r="E45" t="str">
        <f>"GAB2029581"</f>
        <v>GAB2029581</v>
      </c>
      <c r="F45" s="3">
        <v>45966</v>
      </c>
      <c r="G45">
        <v>202608</v>
      </c>
      <c r="H45" t="s">
        <v>75</v>
      </c>
      <c r="I45" t="s">
        <v>76</v>
      </c>
      <c r="J45" t="s">
        <v>77</v>
      </c>
      <c r="K45" t="s">
        <v>78</v>
      </c>
      <c r="L45" t="s">
        <v>307</v>
      </c>
      <c r="M45" t="s">
        <v>308</v>
      </c>
      <c r="N45" t="s">
        <v>309</v>
      </c>
      <c r="O45" t="s">
        <v>82</v>
      </c>
      <c r="P45" t="str">
        <f>"INVOICE00041098 ORDGS037808   "</f>
        <v xml:space="preserve">INVOICE00041098 ORDGS037808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5.87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67.260000000000005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2</v>
      </c>
      <c r="BI45">
        <v>8.8000000000000007</v>
      </c>
      <c r="BJ45">
        <v>18</v>
      </c>
      <c r="BK45">
        <v>18</v>
      </c>
      <c r="BL45">
        <v>225.99</v>
      </c>
      <c r="BM45">
        <v>33.9</v>
      </c>
      <c r="BN45">
        <v>259.89</v>
      </c>
      <c r="BO45">
        <v>259.89</v>
      </c>
      <c r="BQ45" t="s">
        <v>310</v>
      </c>
      <c r="BR45" t="s">
        <v>84</v>
      </c>
      <c r="BS45" s="3">
        <v>45972</v>
      </c>
      <c r="BT45" s="4">
        <v>0.27430555555555558</v>
      </c>
      <c r="BU45" t="s">
        <v>311</v>
      </c>
      <c r="BV45" t="s">
        <v>86</v>
      </c>
      <c r="BY45">
        <v>90046.34</v>
      </c>
      <c r="CC45" t="s">
        <v>308</v>
      </c>
      <c r="CD45">
        <v>3300</v>
      </c>
      <c r="CE45" t="s">
        <v>103</v>
      </c>
      <c r="CF45" s="3">
        <v>45972</v>
      </c>
      <c r="CI45">
        <v>4</v>
      </c>
      <c r="CJ45">
        <v>4</v>
      </c>
      <c r="CK45">
        <v>43</v>
      </c>
      <c r="CL45" t="s">
        <v>89</v>
      </c>
    </row>
    <row r="46" spans="1:90" x14ac:dyDescent="0.3">
      <c r="A46" t="s">
        <v>72</v>
      </c>
      <c r="B46" t="s">
        <v>73</v>
      </c>
      <c r="C46" t="s">
        <v>74</v>
      </c>
      <c r="E46" t="str">
        <f>"GAB2029584"</f>
        <v>GAB2029584</v>
      </c>
      <c r="F46" s="3">
        <v>45966</v>
      </c>
      <c r="G46">
        <v>202608</v>
      </c>
      <c r="H46" t="s">
        <v>75</v>
      </c>
      <c r="I46" t="s">
        <v>76</v>
      </c>
      <c r="J46" t="s">
        <v>77</v>
      </c>
      <c r="K46" t="s">
        <v>78</v>
      </c>
      <c r="L46" t="s">
        <v>246</v>
      </c>
      <c r="M46" t="s">
        <v>247</v>
      </c>
      <c r="N46" t="s">
        <v>312</v>
      </c>
      <c r="O46" t="s">
        <v>82</v>
      </c>
      <c r="P46" t="str">
        <f>"INVOICE00122416 CT098068      "</f>
        <v xml:space="preserve">INVOICE00122416 CT098068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5.87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41.35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2</v>
      </c>
      <c r="BJ46">
        <v>2.7</v>
      </c>
      <c r="BK46">
        <v>3</v>
      </c>
      <c r="BL46">
        <v>141.19999999999999</v>
      </c>
      <c r="BM46">
        <v>21.18</v>
      </c>
      <c r="BN46">
        <v>162.38</v>
      </c>
      <c r="BO46">
        <v>162.38</v>
      </c>
      <c r="BQ46" t="s">
        <v>313</v>
      </c>
      <c r="BR46" t="s">
        <v>84</v>
      </c>
      <c r="BS46" s="3">
        <v>45966</v>
      </c>
      <c r="BT46" s="4">
        <v>0.41666666666666669</v>
      </c>
      <c r="BU46" t="s">
        <v>314</v>
      </c>
      <c r="BV46" t="s">
        <v>86</v>
      </c>
      <c r="BY46">
        <v>13392</v>
      </c>
      <c r="CC46" t="s">
        <v>247</v>
      </c>
      <c r="CD46">
        <v>9301</v>
      </c>
      <c r="CE46" t="s">
        <v>315</v>
      </c>
      <c r="CF46" s="3">
        <v>45978</v>
      </c>
      <c r="CI46">
        <v>4</v>
      </c>
      <c r="CJ46">
        <v>0</v>
      </c>
      <c r="CK46">
        <v>41</v>
      </c>
      <c r="CL46" t="s">
        <v>89</v>
      </c>
    </row>
    <row r="47" spans="1:90" x14ac:dyDescent="0.3">
      <c r="A47" t="s">
        <v>72</v>
      </c>
      <c r="B47" t="s">
        <v>73</v>
      </c>
      <c r="C47" t="s">
        <v>74</v>
      </c>
      <c r="E47" t="str">
        <f>"GAB2029592"</f>
        <v>GAB2029592</v>
      </c>
      <c r="F47" s="3">
        <v>45966</v>
      </c>
      <c r="G47">
        <v>202608</v>
      </c>
      <c r="H47" t="s">
        <v>75</v>
      </c>
      <c r="I47" t="s">
        <v>76</v>
      </c>
      <c r="J47" t="s">
        <v>77</v>
      </c>
      <c r="K47" t="s">
        <v>78</v>
      </c>
      <c r="L47" t="s">
        <v>316</v>
      </c>
      <c r="M47" t="s">
        <v>317</v>
      </c>
      <c r="N47" t="s">
        <v>318</v>
      </c>
      <c r="O47" t="s">
        <v>82</v>
      </c>
      <c r="P47" t="str">
        <f>"INVOICE00122438 CT098051      "</f>
        <v xml:space="preserve">INVOICE00122438 CT098051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5.87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216.2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5</v>
      </c>
      <c r="BI47">
        <v>22.3</v>
      </c>
      <c r="BJ47">
        <v>67.400000000000006</v>
      </c>
      <c r="BK47">
        <v>68</v>
      </c>
      <c r="BL47">
        <v>713.43</v>
      </c>
      <c r="BM47">
        <v>107.01</v>
      </c>
      <c r="BN47">
        <v>820.44</v>
      </c>
      <c r="BO47">
        <v>820.44</v>
      </c>
      <c r="BR47" t="s">
        <v>84</v>
      </c>
      <c r="BS47" s="3">
        <v>45971</v>
      </c>
      <c r="BT47" s="4">
        <v>0.49652777777777779</v>
      </c>
      <c r="BU47" t="s">
        <v>319</v>
      </c>
      <c r="BV47" t="s">
        <v>86</v>
      </c>
      <c r="BY47">
        <v>336965.02</v>
      </c>
      <c r="CC47" t="s">
        <v>317</v>
      </c>
      <c r="CD47">
        <v>3310</v>
      </c>
      <c r="CE47" t="s">
        <v>114</v>
      </c>
      <c r="CF47" s="3">
        <v>45972</v>
      </c>
      <c r="CI47">
        <v>4</v>
      </c>
      <c r="CJ47">
        <v>3</v>
      </c>
      <c r="CK47">
        <v>43</v>
      </c>
      <c r="CL47" t="s">
        <v>89</v>
      </c>
    </row>
    <row r="48" spans="1:90" x14ac:dyDescent="0.3">
      <c r="A48" t="s">
        <v>72</v>
      </c>
      <c r="B48" t="s">
        <v>73</v>
      </c>
      <c r="C48" t="s">
        <v>74</v>
      </c>
      <c r="E48" t="str">
        <f>"GAB2029613"</f>
        <v>GAB2029613</v>
      </c>
      <c r="F48" s="3">
        <v>45966</v>
      </c>
      <c r="G48">
        <v>202608</v>
      </c>
      <c r="H48" t="s">
        <v>75</v>
      </c>
      <c r="I48" t="s">
        <v>76</v>
      </c>
      <c r="J48" t="s">
        <v>77</v>
      </c>
      <c r="K48" t="s">
        <v>78</v>
      </c>
      <c r="L48" t="s">
        <v>246</v>
      </c>
      <c r="M48" t="s">
        <v>247</v>
      </c>
      <c r="N48" t="s">
        <v>312</v>
      </c>
      <c r="O48" t="s">
        <v>82</v>
      </c>
      <c r="P48" t="str">
        <f>"INVOICE00122417   00122416 CT0"</f>
        <v>INVOICE00122417   00122416 CT0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5.87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41.35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1.7</v>
      </c>
      <c r="BJ48">
        <v>6.1</v>
      </c>
      <c r="BK48">
        <v>7</v>
      </c>
      <c r="BL48">
        <v>141.19999999999999</v>
      </c>
      <c r="BM48">
        <v>21.18</v>
      </c>
      <c r="BN48">
        <v>162.38</v>
      </c>
      <c r="BO48">
        <v>162.38</v>
      </c>
      <c r="BQ48" t="s">
        <v>313</v>
      </c>
      <c r="BR48" t="s">
        <v>84</v>
      </c>
      <c r="BS48" s="3">
        <v>45968</v>
      </c>
      <c r="BT48" s="4">
        <v>0.3888888888888889</v>
      </c>
      <c r="BU48" t="s">
        <v>320</v>
      </c>
      <c r="BV48" t="s">
        <v>86</v>
      </c>
      <c r="BY48">
        <v>30745.8</v>
      </c>
      <c r="CC48" t="s">
        <v>247</v>
      </c>
      <c r="CD48">
        <v>9301</v>
      </c>
      <c r="CE48" t="s">
        <v>103</v>
      </c>
      <c r="CF48" s="3">
        <v>45971</v>
      </c>
      <c r="CI48">
        <v>4</v>
      </c>
      <c r="CJ48">
        <v>2</v>
      </c>
      <c r="CK48">
        <v>41</v>
      </c>
      <c r="CL48" t="s">
        <v>89</v>
      </c>
    </row>
    <row r="49" spans="1:90" x14ac:dyDescent="0.3">
      <c r="A49" t="s">
        <v>72</v>
      </c>
      <c r="B49" t="s">
        <v>73</v>
      </c>
      <c r="C49" t="s">
        <v>74</v>
      </c>
      <c r="E49" t="str">
        <f>"GAB2029616"</f>
        <v>GAB2029616</v>
      </c>
      <c r="F49" s="3">
        <v>45966</v>
      </c>
      <c r="G49">
        <v>202608</v>
      </c>
      <c r="H49" t="s">
        <v>75</v>
      </c>
      <c r="I49" t="s">
        <v>76</v>
      </c>
      <c r="J49" t="s">
        <v>77</v>
      </c>
      <c r="K49" t="s">
        <v>78</v>
      </c>
      <c r="L49" t="s">
        <v>79</v>
      </c>
      <c r="M49" t="s">
        <v>80</v>
      </c>
      <c r="N49" t="s">
        <v>303</v>
      </c>
      <c r="O49" t="s">
        <v>82</v>
      </c>
      <c r="P49" t="str">
        <f>"INVOICE00122456 00122459 CT098"</f>
        <v>INVOICE00122456 00122459 CT098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5.87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41.35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0.8</v>
      </c>
      <c r="BJ49">
        <v>1.8</v>
      </c>
      <c r="BK49">
        <v>2</v>
      </c>
      <c r="BL49">
        <v>141.19999999999999</v>
      </c>
      <c r="BM49">
        <v>21.18</v>
      </c>
      <c r="BN49">
        <v>162.38</v>
      </c>
      <c r="BO49">
        <v>162.38</v>
      </c>
      <c r="BQ49" t="s">
        <v>321</v>
      </c>
      <c r="BR49" t="s">
        <v>84</v>
      </c>
      <c r="BS49" s="3">
        <v>45968</v>
      </c>
      <c r="BT49" s="4">
        <v>0.35555555555555557</v>
      </c>
      <c r="BU49" t="s">
        <v>85</v>
      </c>
      <c r="BV49" t="s">
        <v>86</v>
      </c>
      <c r="BY49">
        <v>8995.7999999999993</v>
      </c>
      <c r="CA49">
        <v>8601266266086</v>
      </c>
      <c r="CC49" t="s">
        <v>80</v>
      </c>
      <c r="CD49" s="5" t="s">
        <v>87</v>
      </c>
      <c r="CE49" t="s">
        <v>103</v>
      </c>
      <c r="CF49" s="3">
        <v>45968</v>
      </c>
      <c r="CI49">
        <v>3</v>
      </c>
      <c r="CJ49">
        <v>2</v>
      </c>
      <c r="CK49">
        <v>41</v>
      </c>
      <c r="CL49" t="s">
        <v>89</v>
      </c>
    </row>
    <row r="50" spans="1:90" x14ac:dyDescent="0.3">
      <c r="A50" t="s">
        <v>72</v>
      </c>
      <c r="B50" t="s">
        <v>73</v>
      </c>
      <c r="C50" t="s">
        <v>74</v>
      </c>
      <c r="E50" t="str">
        <f>"GAB2029617"</f>
        <v>GAB2029617</v>
      </c>
      <c r="F50" s="3">
        <v>45966</v>
      </c>
      <c r="G50">
        <v>202608</v>
      </c>
      <c r="H50" t="s">
        <v>75</v>
      </c>
      <c r="I50" t="s">
        <v>76</v>
      </c>
      <c r="J50" t="s">
        <v>77</v>
      </c>
      <c r="K50" t="s">
        <v>78</v>
      </c>
      <c r="L50" t="s">
        <v>79</v>
      </c>
      <c r="M50" t="s">
        <v>80</v>
      </c>
      <c r="N50" t="s">
        <v>236</v>
      </c>
      <c r="O50" t="s">
        <v>82</v>
      </c>
      <c r="P50" t="str">
        <f>"ATTMONIQUE                    "</f>
        <v xml:space="preserve">ATTMONIQUE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5.87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66.959999999999994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2</v>
      </c>
      <c r="BI50">
        <v>27.3</v>
      </c>
      <c r="BJ50">
        <v>29.1</v>
      </c>
      <c r="BK50">
        <v>30</v>
      </c>
      <c r="BL50">
        <v>225.01</v>
      </c>
      <c r="BM50">
        <v>33.75</v>
      </c>
      <c r="BN50">
        <v>258.76</v>
      </c>
      <c r="BO50">
        <v>258.76</v>
      </c>
      <c r="BQ50" t="s">
        <v>322</v>
      </c>
      <c r="BR50" t="s">
        <v>84</v>
      </c>
      <c r="BS50" s="3">
        <v>45968</v>
      </c>
      <c r="BT50" s="4">
        <v>0.53055555555555556</v>
      </c>
      <c r="BU50" t="s">
        <v>323</v>
      </c>
      <c r="BV50" t="s">
        <v>86</v>
      </c>
      <c r="BY50">
        <v>145687.15</v>
      </c>
      <c r="CA50" s="5" t="s">
        <v>324</v>
      </c>
      <c r="CC50" t="s">
        <v>80</v>
      </c>
      <c r="CD50" s="5" t="s">
        <v>87</v>
      </c>
      <c r="CE50" t="s">
        <v>298</v>
      </c>
      <c r="CF50" s="3">
        <v>45968</v>
      </c>
      <c r="CI50">
        <v>3</v>
      </c>
      <c r="CJ50">
        <v>2</v>
      </c>
      <c r="CK50">
        <v>41</v>
      </c>
      <c r="CL50" t="s">
        <v>89</v>
      </c>
    </row>
    <row r="51" spans="1:90" x14ac:dyDescent="0.3">
      <c r="A51" t="s">
        <v>72</v>
      </c>
      <c r="B51" t="s">
        <v>73</v>
      </c>
      <c r="C51" t="s">
        <v>74</v>
      </c>
      <c r="E51" t="str">
        <f>"GAB2029618"</f>
        <v>GAB2029618</v>
      </c>
      <c r="F51" s="3">
        <v>45966</v>
      </c>
      <c r="G51">
        <v>202608</v>
      </c>
      <c r="H51" t="s">
        <v>75</v>
      </c>
      <c r="I51" t="s">
        <v>76</v>
      </c>
      <c r="J51" t="s">
        <v>77</v>
      </c>
      <c r="K51" t="s">
        <v>78</v>
      </c>
      <c r="L51" t="s">
        <v>79</v>
      </c>
      <c r="M51" t="s">
        <v>80</v>
      </c>
      <c r="N51" t="s">
        <v>303</v>
      </c>
      <c r="O51" t="s">
        <v>82</v>
      </c>
      <c r="P51" t="str">
        <f>"INVOICE00122427 00122409 CT098"</f>
        <v>INVOICE00122427 00122409 CT098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5.87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73.790000000000006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2</v>
      </c>
      <c r="BI51">
        <v>12.1</v>
      </c>
      <c r="BJ51">
        <v>33.299999999999997</v>
      </c>
      <c r="BK51">
        <v>34</v>
      </c>
      <c r="BL51">
        <v>247.36</v>
      </c>
      <c r="BM51">
        <v>37.1</v>
      </c>
      <c r="BN51">
        <v>284.45999999999998</v>
      </c>
      <c r="BO51">
        <v>284.45999999999998</v>
      </c>
      <c r="BQ51" t="s">
        <v>304</v>
      </c>
      <c r="BR51" t="s">
        <v>84</v>
      </c>
      <c r="BS51" s="3">
        <v>45968</v>
      </c>
      <c r="BT51" s="4">
        <v>0.35486111111111113</v>
      </c>
      <c r="BU51" t="s">
        <v>85</v>
      </c>
      <c r="BV51" t="s">
        <v>86</v>
      </c>
      <c r="BY51">
        <v>166353.95000000001</v>
      </c>
      <c r="CA51">
        <v>8601266266086</v>
      </c>
      <c r="CC51" t="s">
        <v>80</v>
      </c>
      <c r="CD51" s="5" t="s">
        <v>87</v>
      </c>
      <c r="CE51" t="s">
        <v>103</v>
      </c>
      <c r="CF51" s="3">
        <v>45968</v>
      </c>
      <c r="CI51">
        <v>3</v>
      </c>
      <c r="CJ51">
        <v>2</v>
      </c>
      <c r="CK51">
        <v>41</v>
      </c>
      <c r="CL51" t="s">
        <v>89</v>
      </c>
    </row>
    <row r="52" spans="1:90" x14ac:dyDescent="0.3">
      <c r="A52" t="s">
        <v>72</v>
      </c>
      <c r="B52" t="s">
        <v>73</v>
      </c>
      <c r="C52" t="s">
        <v>74</v>
      </c>
      <c r="E52" t="str">
        <f>"GAB2029555"</f>
        <v>GAB2029555</v>
      </c>
      <c r="F52" s="3">
        <v>45966</v>
      </c>
      <c r="G52">
        <v>202608</v>
      </c>
      <c r="H52" t="s">
        <v>75</v>
      </c>
      <c r="I52" t="s">
        <v>76</v>
      </c>
      <c r="J52" t="s">
        <v>77</v>
      </c>
      <c r="K52" t="s">
        <v>78</v>
      </c>
      <c r="L52" t="s">
        <v>75</v>
      </c>
      <c r="M52" t="s">
        <v>76</v>
      </c>
      <c r="N52" t="s">
        <v>325</v>
      </c>
      <c r="O52" t="s">
        <v>124</v>
      </c>
      <c r="P52" t="str">
        <f>"invoice 00122309 ct097973     "</f>
        <v xml:space="preserve">invoice 00122309 ct097973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16.7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3.8</v>
      </c>
      <c r="BK52">
        <v>4</v>
      </c>
      <c r="BL52">
        <v>54.66</v>
      </c>
      <c r="BM52">
        <v>8.1999999999999993</v>
      </c>
      <c r="BN52">
        <v>62.86</v>
      </c>
      <c r="BO52">
        <v>62.86</v>
      </c>
      <c r="BQ52" t="s">
        <v>326</v>
      </c>
      <c r="BR52" t="s">
        <v>84</v>
      </c>
      <c r="BS52" s="3">
        <v>45966</v>
      </c>
      <c r="BT52" s="4">
        <v>0.41666666666666669</v>
      </c>
      <c r="BU52" t="s">
        <v>327</v>
      </c>
      <c r="BV52" t="s">
        <v>86</v>
      </c>
      <c r="BY52">
        <v>19200</v>
      </c>
      <c r="CA52" t="s">
        <v>328</v>
      </c>
      <c r="CC52" t="s">
        <v>76</v>
      </c>
      <c r="CD52">
        <v>7708</v>
      </c>
      <c r="CE52" t="s">
        <v>329</v>
      </c>
      <c r="CF52" s="3">
        <v>45978</v>
      </c>
      <c r="CI52">
        <v>1</v>
      </c>
      <c r="CJ52">
        <v>0</v>
      </c>
      <c r="CK52">
        <v>22</v>
      </c>
      <c r="CL52" t="s">
        <v>89</v>
      </c>
    </row>
    <row r="53" spans="1:90" x14ac:dyDescent="0.3">
      <c r="A53" t="s">
        <v>72</v>
      </c>
      <c r="B53" t="s">
        <v>73</v>
      </c>
      <c r="C53" t="s">
        <v>74</v>
      </c>
      <c r="E53" t="str">
        <f>"GAB2029556"</f>
        <v>GAB2029556</v>
      </c>
      <c r="F53" s="3">
        <v>45966</v>
      </c>
      <c r="G53">
        <v>202608</v>
      </c>
      <c r="H53" t="s">
        <v>75</v>
      </c>
      <c r="I53" t="s">
        <v>76</v>
      </c>
      <c r="J53" t="s">
        <v>77</v>
      </c>
      <c r="K53" t="s">
        <v>78</v>
      </c>
      <c r="L53" t="s">
        <v>330</v>
      </c>
      <c r="M53" t="s">
        <v>331</v>
      </c>
      <c r="N53" t="s">
        <v>332</v>
      </c>
      <c r="O53" t="s">
        <v>124</v>
      </c>
      <c r="P53" t="str">
        <f>"invoice00122356 ct098026      "</f>
        <v xml:space="preserve">invoice00122356 ct098026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21.38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16.739999999999998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</v>
      </c>
      <c r="BJ53">
        <v>1.7</v>
      </c>
      <c r="BK53">
        <v>2</v>
      </c>
      <c r="BL53">
        <v>86.72</v>
      </c>
      <c r="BM53">
        <v>13.01</v>
      </c>
      <c r="BN53">
        <v>99.73</v>
      </c>
      <c r="BO53">
        <v>99.73</v>
      </c>
      <c r="BQ53" t="s">
        <v>333</v>
      </c>
      <c r="BR53" t="s">
        <v>84</v>
      </c>
      <c r="BS53" t="s">
        <v>305</v>
      </c>
      <c r="BY53">
        <v>8448</v>
      </c>
      <c r="BZ53" t="s">
        <v>30</v>
      </c>
      <c r="CC53" t="s">
        <v>331</v>
      </c>
      <c r="CD53">
        <v>1475</v>
      </c>
      <c r="CE53" t="s">
        <v>334</v>
      </c>
      <c r="CI53">
        <v>1</v>
      </c>
      <c r="CJ53" t="s">
        <v>305</v>
      </c>
      <c r="CK53">
        <v>21</v>
      </c>
      <c r="CL53" t="s">
        <v>89</v>
      </c>
    </row>
    <row r="54" spans="1:90" x14ac:dyDescent="0.3">
      <c r="A54" t="s">
        <v>72</v>
      </c>
      <c r="B54" t="s">
        <v>73</v>
      </c>
      <c r="C54" t="s">
        <v>74</v>
      </c>
      <c r="E54" t="str">
        <f>"GAB2029557"</f>
        <v>GAB2029557</v>
      </c>
      <c r="F54" s="3">
        <v>45966</v>
      </c>
      <c r="G54">
        <v>202608</v>
      </c>
      <c r="H54" t="s">
        <v>75</v>
      </c>
      <c r="I54" t="s">
        <v>76</v>
      </c>
      <c r="J54" t="s">
        <v>77</v>
      </c>
      <c r="K54" t="s">
        <v>78</v>
      </c>
      <c r="L54" t="s">
        <v>230</v>
      </c>
      <c r="M54" t="s">
        <v>231</v>
      </c>
      <c r="N54" t="s">
        <v>335</v>
      </c>
      <c r="O54" t="s">
        <v>124</v>
      </c>
      <c r="P54" t="str">
        <f>"invoice0041078 ordgs037759    "</f>
        <v xml:space="preserve">invoice0041078 ordgs037759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26.73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2.4</v>
      </c>
      <c r="BK54">
        <v>2.5</v>
      </c>
      <c r="BL54">
        <v>87.47</v>
      </c>
      <c r="BM54">
        <v>13.12</v>
      </c>
      <c r="BN54">
        <v>100.59</v>
      </c>
      <c r="BO54">
        <v>100.59</v>
      </c>
      <c r="BQ54" t="s">
        <v>336</v>
      </c>
      <c r="BR54" t="s">
        <v>84</v>
      </c>
      <c r="BS54" t="s">
        <v>305</v>
      </c>
      <c r="BY54">
        <v>12000</v>
      </c>
      <c r="CC54" t="s">
        <v>231</v>
      </c>
      <c r="CD54" s="5" t="s">
        <v>337</v>
      </c>
      <c r="CE54" t="s">
        <v>338</v>
      </c>
      <c r="CI54">
        <v>1</v>
      </c>
      <c r="CJ54" t="s">
        <v>305</v>
      </c>
      <c r="CK54">
        <v>21</v>
      </c>
      <c r="CL54" t="s">
        <v>89</v>
      </c>
    </row>
    <row r="55" spans="1:90" x14ac:dyDescent="0.3">
      <c r="A55" t="s">
        <v>72</v>
      </c>
      <c r="B55" t="s">
        <v>73</v>
      </c>
      <c r="C55" t="s">
        <v>74</v>
      </c>
      <c r="E55" t="str">
        <f>"2029560"</f>
        <v>2029560</v>
      </c>
      <c r="F55" s="3">
        <v>45966</v>
      </c>
      <c r="G55">
        <v>202608</v>
      </c>
      <c r="H55" t="s">
        <v>75</v>
      </c>
      <c r="I55" t="s">
        <v>76</v>
      </c>
      <c r="J55" t="s">
        <v>77</v>
      </c>
      <c r="K55" t="s">
        <v>78</v>
      </c>
      <c r="L55" t="s">
        <v>230</v>
      </c>
      <c r="M55" t="s">
        <v>231</v>
      </c>
      <c r="N55" t="s">
        <v>335</v>
      </c>
      <c r="O55" t="s">
        <v>124</v>
      </c>
      <c r="P55" t="str">
        <f>"INVOICE0041078 ORDGS037759    "</f>
        <v xml:space="preserve">INVOICE0041078 ORDGS037759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21.38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0.3</v>
      </c>
      <c r="BJ55">
        <v>1.6</v>
      </c>
      <c r="BK55">
        <v>2</v>
      </c>
      <c r="BL55">
        <v>69.98</v>
      </c>
      <c r="BM55">
        <v>10.5</v>
      </c>
      <c r="BN55">
        <v>80.48</v>
      </c>
      <c r="BO55">
        <v>80.48</v>
      </c>
      <c r="BQ55" t="s">
        <v>339</v>
      </c>
      <c r="BR55" t="s">
        <v>84</v>
      </c>
      <c r="BS55" s="3">
        <v>45967</v>
      </c>
      <c r="BT55" s="4">
        <v>0.34166666666666667</v>
      </c>
      <c r="BU55" t="s">
        <v>340</v>
      </c>
      <c r="BV55" t="s">
        <v>86</v>
      </c>
      <c r="BY55">
        <v>8022.3</v>
      </c>
      <c r="BZ55" t="s">
        <v>126</v>
      </c>
      <c r="CA55">
        <v>9107126013089</v>
      </c>
      <c r="CC55" t="s">
        <v>231</v>
      </c>
      <c r="CD55" s="5" t="s">
        <v>337</v>
      </c>
      <c r="CE55" t="s">
        <v>341</v>
      </c>
      <c r="CF55" s="3">
        <v>45967</v>
      </c>
      <c r="CI55">
        <v>1</v>
      </c>
      <c r="CJ55">
        <v>1</v>
      </c>
      <c r="CK55">
        <v>21</v>
      </c>
      <c r="CL55" t="s">
        <v>89</v>
      </c>
    </row>
    <row r="56" spans="1:90" x14ac:dyDescent="0.3">
      <c r="A56" t="s">
        <v>72</v>
      </c>
      <c r="B56" t="s">
        <v>73</v>
      </c>
      <c r="C56" t="s">
        <v>74</v>
      </c>
      <c r="E56" t="str">
        <f>"2029561"</f>
        <v>2029561</v>
      </c>
      <c r="F56" s="3">
        <v>45966</v>
      </c>
      <c r="G56">
        <v>202608</v>
      </c>
      <c r="H56" t="s">
        <v>75</v>
      </c>
      <c r="I56" t="s">
        <v>76</v>
      </c>
      <c r="J56" t="s">
        <v>77</v>
      </c>
      <c r="K56" t="s">
        <v>78</v>
      </c>
      <c r="L56" t="s">
        <v>169</v>
      </c>
      <c r="M56" t="s">
        <v>170</v>
      </c>
      <c r="N56" t="s">
        <v>342</v>
      </c>
      <c r="O56" t="s">
        <v>124</v>
      </c>
      <c r="P56" t="str">
        <f>"INVOICE00122397 CT098044      "</f>
        <v xml:space="preserve">INVOICE00122397 CT098044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21.38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0.6</v>
      </c>
      <c r="BJ56">
        <v>1.9</v>
      </c>
      <c r="BK56">
        <v>2</v>
      </c>
      <c r="BL56">
        <v>69.98</v>
      </c>
      <c r="BM56">
        <v>10.5</v>
      </c>
      <c r="BN56">
        <v>80.48</v>
      </c>
      <c r="BO56">
        <v>80.48</v>
      </c>
      <c r="BQ56" t="s">
        <v>343</v>
      </c>
      <c r="BR56" t="s">
        <v>84</v>
      </c>
      <c r="BS56" s="3">
        <v>45967</v>
      </c>
      <c r="BT56" s="4">
        <v>0.38194444444444442</v>
      </c>
      <c r="BU56" t="s">
        <v>344</v>
      </c>
      <c r="BV56" t="s">
        <v>86</v>
      </c>
      <c r="BY56">
        <v>9662.7999999999993</v>
      </c>
      <c r="BZ56" t="s">
        <v>126</v>
      </c>
      <c r="CA56" t="s">
        <v>345</v>
      </c>
      <c r="CC56" t="s">
        <v>170</v>
      </c>
      <c r="CD56">
        <v>2021</v>
      </c>
      <c r="CE56" t="s">
        <v>136</v>
      </c>
      <c r="CF56" s="3">
        <v>45968</v>
      </c>
      <c r="CI56">
        <v>1</v>
      </c>
      <c r="CJ56">
        <v>1</v>
      </c>
      <c r="CK56">
        <v>21</v>
      </c>
      <c r="CL56" t="s">
        <v>89</v>
      </c>
    </row>
    <row r="57" spans="1:90" x14ac:dyDescent="0.3">
      <c r="A57" t="s">
        <v>72</v>
      </c>
      <c r="B57" t="s">
        <v>73</v>
      </c>
      <c r="C57" t="s">
        <v>74</v>
      </c>
      <c r="E57" t="str">
        <f>"2029562"</f>
        <v>2029562</v>
      </c>
      <c r="F57" s="3">
        <v>45966</v>
      </c>
      <c r="G57">
        <v>202608</v>
      </c>
      <c r="H57" t="s">
        <v>75</v>
      </c>
      <c r="I57" t="s">
        <v>76</v>
      </c>
      <c r="J57" t="s">
        <v>77</v>
      </c>
      <c r="K57" t="s">
        <v>78</v>
      </c>
      <c r="L57" t="s">
        <v>346</v>
      </c>
      <c r="M57" t="s">
        <v>347</v>
      </c>
      <c r="N57" t="s">
        <v>348</v>
      </c>
      <c r="O57" t="s">
        <v>124</v>
      </c>
      <c r="P57" t="str">
        <f>"INVOICE00122390 CT098047      "</f>
        <v xml:space="preserve">INVOICE00122390 CT098047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50.78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0.3</v>
      </c>
      <c r="BJ57">
        <v>2.2999999999999998</v>
      </c>
      <c r="BK57">
        <v>2.5</v>
      </c>
      <c r="BL57">
        <v>166.2</v>
      </c>
      <c r="BM57">
        <v>24.93</v>
      </c>
      <c r="BN57">
        <v>191.13</v>
      </c>
      <c r="BO57">
        <v>191.13</v>
      </c>
      <c r="BQ57" t="s">
        <v>349</v>
      </c>
      <c r="BR57" t="s">
        <v>84</v>
      </c>
      <c r="BS57" s="3">
        <v>45970</v>
      </c>
      <c r="BT57" s="4">
        <v>0.66666666666666663</v>
      </c>
      <c r="BU57" t="s">
        <v>350</v>
      </c>
      <c r="BV57" t="s">
        <v>86</v>
      </c>
      <c r="BY57">
        <v>11405.88</v>
      </c>
      <c r="BZ57" t="s">
        <v>126</v>
      </c>
      <c r="CA57" t="s">
        <v>351</v>
      </c>
      <c r="CC57" t="s">
        <v>347</v>
      </c>
      <c r="CD57" s="5" t="s">
        <v>352</v>
      </c>
      <c r="CE57" t="s">
        <v>128</v>
      </c>
      <c r="CF57" s="3">
        <v>45971</v>
      </c>
      <c r="CI57">
        <v>3</v>
      </c>
      <c r="CJ57">
        <v>2</v>
      </c>
      <c r="CK57">
        <v>23</v>
      </c>
      <c r="CL57" t="s">
        <v>89</v>
      </c>
    </row>
    <row r="58" spans="1:90" x14ac:dyDescent="0.3">
      <c r="A58" t="s">
        <v>72</v>
      </c>
      <c r="B58" t="s">
        <v>73</v>
      </c>
      <c r="C58" t="s">
        <v>74</v>
      </c>
      <c r="E58" t="str">
        <f>"2029563"</f>
        <v>2029563</v>
      </c>
      <c r="F58" s="3">
        <v>45966</v>
      </c>
      <c r="G58">
        <v>202608</v>
      </c>
      <c r="H58" t="s">
        <v>75</v>
      </c>
      <c r="I58" t="s">
        <v>76</v>
      </c>
      <c r="J58" t="s">
        <v>77</v>
      </c>
      <c r="K58" t="s">
        <v>78</v>
      </c>
      <c r="L58" t="s">
        <v>353</v>
      </c>
      <c r="M58" t="s">
        <v>354</v>
      </c>
      <c r="N58" t="s">
        <v>355</v>
      </c>
      <c r="O58" t="s">
        <v>124</v>
      </c>
      <c r="P58" t="str">
        <f>"INVOICE00122391 CT098041      "</f>
        <v xml:space="preserve">INVOICE00122391 CT098041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41.43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0.6</v>
      </c>
      <c r="BJ58">
        <v>1.8</v>
      </c>
      <c r="BK58">
        <v>2</v>
      </c>
      <c r="BL58">
        <v>135.59</v>
      </c>
      <c r="BM58">
        <v>20.34</v>
      </c>
      <c r="BN58">
        <v>155.93</v>
      </c>
      <c r="BO58">
        <v>155.93</v>
      </c>
      <c r="BQ58" t="s">
        <v>356</v>
      </c>
      <c r="BR58" t="s">
        <v>84</v>
      </c>
      <c r="BS58" s="3">
        <v>45967</v>
      </c>
      <c r="BT58" s="4">
        <v>0.43472222222222223</v>
      </c>
      <c r="BU58" t="s">
        <v>357</v>
      </c>
      <c r="BV58" t="s">
        <v>86</v>
      </c>
      <c r="BY58">
        <v>8991.4699999999993</v>
      </c>
      <c r="BZ58" t="s">
        <v>126</v>
      </c>
      <c r="CA58" t="s">
        <v>358</v>
      </c>
      <c r="CC58" t="s">
        <v>354</v>
      </c>
      <c r="CD58">
        <v>1039</v>
      </c>
      <c r="CE58" t="s">
        <v>223</v>
      </c>
      <c r="CF58" s="3">
        <v>45967</v>
      </c>
      <c r="CI58">
        <v>1</v>
      </c>
      <c r="CJ58">
        <v>1</v>
      </c>
      <c r="CK58">
        <v>23</v>
      </c>
      <c r="CL58" t="s">
        <v>89</v>
      </c>
    </row>
    <row r="59" spans="1:90" x14ac:dyDescent="0.3">
      <c r="A59" t="s">
        <v>72</v>
      </c>
      <c r="B59" t="s">
        <v>73</v>
      </c>
      <c r="C59" t="s">
        <v>74</v>
      </c>
      <c r="E59" t="str">
        <f>"2029564"</f>
        <v>2029564</v>
      </c>
      <c r="F59" s="3">
        <v>45966</v>
      </c>
      <c r="G59">
        <v>202608</v>
      </c>
      <c r="H59" t="s">
        <v>75</v>
      </c>
      <c r="I59" t="s">
        <v>76</v>
      </c>
      <c r="J59" t="s">
        <v>77</v>
      </c>
      <c r="K59" t="s">
        <v>78</v>
      </c>
      <c r="L59" t="s">
        <v>359</v>
      </c>
      <c r="M59" t="s">
        <v>360</v>
      </c>
      <c r="N59" t="s">
        <v>361</v>
      </c>
      <c r="O59" t="s">
        <v>124</v>
      </c>
      <c r="P59" t="str">
        <f>"INVOICE00122392 CT098049      "</f>
        <v xml:space="preserve">INVOICE00122392 CT098049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41.43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0.2</v>
      </c>
      <c r="BJ59">
        <v>2</v>
      </c>
      <c r="BK59">
        <v>2</v>
      </c>
      <c r="BL59">
        <v>135.59</v>
      </c>
      <c r="BM59">
        <v>20.34</v>
      </c>
      <c r="BN59">
        <v>155.93</v>
      </c>
      <c r="BO59">
        <v>155.93</v>
      </c>
      <c r="BQ59" t="s">
        <v>362</v>
      </c>
      <c r="BR59" t="s">
        <v>84</v>
      </c>
      <c r="BS59" s="3">
        <v>45968</v>
      </c>
      <c r="BT59" s="4">
        <v>0.60277777777777775</v>
      </c>
      <c r="BU59" t="s">
        <v>363</v>
      </c>
      <c r="BV59" t="s">
        <v>89</v>
      </c>
      <c r="BW59" t="s">
        <v>364</v>
      </c>
      <c r="BX59" t="s">
        <v>365</v>
      </c>
      <c r="BY59">
        <v>10163.620000000001</v>
      </c>
      <c r="BZ59" t="s">
        <v>126</v>
      </c>
      <c r="CA59" t="s">
        <v>366</v>
      </c>
      <c r="CC59" t="s">
        <v>360</v>
      </c>
      <c r="CD59">
        <v>4420</v>
      </c>
      <c r="CE59" t="s">
        <v>367</v>
      </c>
      <c r="CF59" s="3">
        <v>45968</v>
      </c>
      <c r="CI59">
        <v>2</v>
      </c>
      <c r="CJ59">
        <v>2</v>
      </c>
      <c r="CK59">
        <v>23</v>
      </c>
      <c r="CL59" t="s">
        <v>89</v>
      </c>
    </row>
    <row r="60" spans="1:90" x14ac:dyDescent="0.3">
      <c r="A60" t="s">
        <v>72</v>
      </c>
      <c r="B60" t="s">
        <v>73</v>
      </c>
      <c r="C60" t="s">
        <v>74</v>
      </c>
      <c r="E60" t="str">
        <f>"2029565"</f>
        <v>2029565</v>
      </c>
      <c r="F60" s="3">
        <v>45966</v>
      </c>
      <c r="G60">
        <v>202608</v>
      </c>
      <c r="H60" t="s">
        <v>75</v>
      </c>
      <c r="I60" t="s">
        <v>76</v>
      </c>
      <c r="J60" t="s">
        <v>77</v>
      </c>
      <c r="K60" t="s">
        <v>78</v>
      </c>
      <c r="L60" t="s">
        <v>90</v>
      </c>
      <c r="M60" t="s">
        <v>91</v>
      </c>
      <c r="N60" t="s">
        <v>368</v>
      </c>
      <c r="O60" t="s">
        <v>124</v>
      </c>
      <c r="P60" t="str">
        <f>"INVOICE00041110 ORDGS037818   "</f>
        <v xml:space="preserve">INVOICE00041110 ORDGS037818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32.07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0.3</v>
      </c>
      <c r="BJ60">
        <v>2.7</v>
      </c>
      <c r="BK60">
        <v>3</v>
      </c>
      <c r="BL60">
        <v>104.95</v>
      </c>
      <c r="BM60">
        <v>15.74</v>
      </c>
      <c r="BN60">
        <v>120.69</v>
      </c>
      <c r="BO60">
        <v>120.69</v>
      </c>
      <c r="BR60" t="s">
        <v>84</v>
      </c>
      <c r="BS60" s="3">
        <v>45968</v>
      </c>
      <c r="BT60" s="4">
        <v>0.38680555555555557</v>
      </c>
      <c r="BU60" t="s">
        <v>369</v>
      </c>
      <c r="BV60" t="s">
        <v>86</v>
      </c>
      <c r="BY60">
        <v>13366.08</v>
      </c>
      <c r="BZ60" t="s">
        <v>126</v>
      </c>
      <c r="CA60" t="s">
        <v>370</v>
      </c>
      <c r="CC60" t="s">
        <v>91</v>
      </c>
      <c r="CD60">
        <v>4001</v>
      </c>
      <c r="CE60" t="s">
        <v>149</v>
      </c>
      <c r="CF60" s="3">
        <v>45968</v>
      </c>
      <c r="CI60">
        <v>2</v>
      </c>
      <c r="CJ60">
        <v>2</v>
      </c>
      <c r="CK60">
        <v>21</v>
      </c>
      <c r="CL60" t="s">
        <v>89</v>
      </c>
    </row>
    <row r="61" spans="1:90" x14ac:dyDescent="0.3">
      <c r="A61" t="s">
        <v>72</v>
      </c>
      <c r="B61" t="s">
        <v>73</v>
      </c>
      <c r="C61" t="s">
        <v>74</v>
      </c>
      <c r="E61" t="str">
        <f>"2029566"</f>
        <v>2029566</v>
      </c>
      <c r="F61" s="3">
        <v>45966</v>
      </c>
      <c r="G61">
        <v>202608</v>
      </c>
      <c r="H61" t="s">
        <v>75</v>
      </c>
      <c r="I61" t="s">
        <v>76</v>
      </c>
      <c r="J61" t="s">
        <v>77</v>
      </c>
      <c r="K61" t="s">
        <v>78</v>
      </c>
      <c r="L61" t="s">
        <v>75</v>
      </c>
      <c r="M61" t="s">
        <v>76</v>
      </c>
      <c r="N61" t="s">
        <v>150</v>
      </c>
      <c r="O61" t="s">
        <v>124</v>
      </c>
      <c r="P61" t="str">
        <f>"INVOICE00041109 ORDGS037819   "</f>
        <v xml:space="preserve">INVOICE00041109 ORDGS037819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16.7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0.3</v>
      </c>
      <c r="BJ61">
        <v>2.2999999999999998</v>
      </c>
      <c r="BK61">
        <v>3</v>
      </c>
      <c r="BL61">
        <v>54.66</v>
      </c>
      <c r="BM61">
        <v>8.1999999999999993</v>
      </c>
      <c r="BN61">
        <v>62.86</v>
      </c>
      <c r="BO61">
        <v>62.86</v>
      </c>
      <c r="BQ61" t="s">
        <v>371</v>
      </c>
      <c r="BR61" t="s">
        <v>84</v>
      </c>
      <c r="BS61" s="3">
        <v>45967</v>
      </c>
      <c r="BT61" s="4">
        <v>0.42569444444444443</v>
      </c>
      <c r="BU61" t="s">
        <v>372</v>
      </c>
      <c r="BV61" t="s">
        <v>86</v>
      </c>
      <c r="BY61">
        <v>11381.76</v>
      </c>
      <c r="BZ61" t="s">
        <v>126</v>
      </c>
      <c r="CA61" t="s">
        <v>373</v>
      </c>
      <c r="CC61" t="s">
        <v>76</v>
      </c>
      <c r="CD61">
        <v>7735</v>
      </c>
      <c r="CE61" t="s">
        <v>181</v>
      </c>
      <c r="CF61" s="3">
        <v>45968</v>
      </c>
      <c r="CI61">
        <v>1</v>
      </c>
      <c r="CJ61">
        <v>1</v>
      </c>
      <c r="CK61">
        <v>22</v>
      </c>
      <c r="CL61" t="s">
        <v>89</v>
      </c>
    </row>
    <row r="62" spans="1:90" x14ac:dyDescent="0.3">
      <c r="A62" t="s">
        <v>72</v>
      </c>
      <c r="B62" t="s">
        <v>73</v>
      </c>
      <c r="C62" t="s">
        <v>74</v>
      </c>
      <c r="E62" t="str">
        <f>"2029567"</f>
        <v>2029567</v>
      </c>
      <c r="F62" s="3">
        <v>45966</v>
      </c>
      <c r="G62">
        <v>202608</v>
      </c>
      <c r="H62" t="s">
        <v>75</v>
      </c>
      <c r="I62" t="s">
        <v>76</v>
      </c>
      <c r="J62" t="s">
        <v>77</v>
      </c>
      <c r="K62" t="s">
        <v>78</v>
      </c>
      <c r="L62" t="s">
        <v>374</v>
      </c>
      <c r="M62" t="s">
        <v>375</v>
      </c>
      <c r="N62" t="s">
        <v>376</v>
      </c>
      <c r="O62" t="s">
        <v>124</v>
      </c>
      <c r="P62" t="str">
        <f>"INVOICE00122393 CT098043      "</f>
        <v xml:space="preserve">INVOICE00122393 CT098043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21.38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0.2</v>
      </c>
      <c r="BJ62">
        <v>1.9</v>
      </c>
      <c r="BK62">
        <v>2</v>
      </c>
      <c r="BL62">
        <v>69.98</v>
      </c>
      <c r="BM62">
        <v>10.5</v>
      </c>
      <c r="BN62">
        <v>80.48</v>
      </c>
      <c r="BO62">
        <v>80.48</v>
      </c>
      <c r="BR62" t="s">
        <v>84</v>
      </c>
      <c r="BS62" s="3">
        <v>45967</v>
      </c>
      <c r="BT62" s="4">
        <v>0.375</v>
      </c>
      <c r="BU62" t="s">
        <v>377</v>
      </c>
      <c r="BV62" t="s">
        <v>86</v>
      </c>
      <c r="BY62">
        <v>9744.48</v>
      </c>
      <c r="BZ62" t="s">
        <v>126</v>
      </c>
      <c r="CA62" t="s">
        <v>378</v>
      </c>
      <c r="CC62" t="s">
        <v>375</v>
      </c>
      <c r="CD62">
        <v>2146</v>
      </c>
      <c r="CE62" t="s">
        <v>367</v>
      </c>
      <c r="CF62" s="3">
        <v>45967</v>
      </c>
      <c r="CI62">
        <v>1</v>
      </c>
      <c r="CJ62">
        <v>1</v>
      </c>
      <c r="CK62">
        <v>21</v>
      </c>
      <c r="CL62" t="s">
        <v>89</v>
      </c>
    </row>
    <row r="63" spans="1:90" x14ac:dyDescent="0.3">
      <c r="A63" t="s">
        <v>72</v>
      </c>
      <c r="B63" t="s">
        <v>73</v>
      </c>
      <c r="C63" t="s">
        <v>74</v>
      </c>
      <c r="E63" t="str">
        <f>"2029568"</f>
        <v>2029568</v>
      </c>
      <c r="F63" s="3">
        <v>45966</v>
      </c>
      <c r="G63">
        <v>202608</v>
      </c>
      <c r="H63" t="s">
        <v>75</v>
      </c>
      <c r="I63" t="s">
        <v>76</v>
      </c>
      <c r="J63" t="s">
        <v>77</v>
      </c>
      <c r="K63" t="s">
        <v>78</v>
      </c>
      <c r="L63" t="s">
        <v>230</v>
      </c>
      <c r="M63" t="s">
        <v>231</v>
      </c>
      <c r="N63" t="s">
        <v>379</v>
      </c>
      <c r="O63" t="s">
        <v>124</v>
      </c>
      <c r="P63" t="str">
        <f>"INVOICE00041133 ORDGS037830   "</f>
        <v xml:space="preserve">INVOICE00041133 ORDGS037830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26.73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0.4</v>
      </c>
      <c r="BJ63">
        <v>2.2999999999999998</v>
      </c>
      <c r="BK63">
        <v>2.5</v>
      </c>
      <c r="BL63">
        <v>87.47</v>
      </c>
      <c r="BM63">
        <v>13.12</v>
      </c>
      <c r="BN63">
        <v>100.59</v>
      </c>
      <c r="BO63">
        <v>100.59</v>
      </c>
      <c r="BQ63" t="s">
        <v>380</v>
      </c>
      <c r="BR63" t="s">
        <v>84</v>
      </c>
      <c r="BS63" s="3">
        <v>45967</v>
      </c>
      <c r="BT63" s="4">
        <v>0.34791666666666665</v>
      </c>
      <c r="BU63" t="s">
        <v>381</v>
      </c>
      <c r="BV63" t="s">
        <v>86</v>
      </c>
      <c r="BY63">
        <v>11311.16</v>
      </c>
      <c r="BZ63" t="s">
        <v>126</v>
      </c>
      <c r="CA63">
        <v>9801105950085</v>
      </c>
      <c r="CC63" t="s">
        <v>231</v>
      </c>
      <c r="CD63" s="5" t="s">
        <v>382</v>
      </c>
      <c r="CE63" t="s">
        <v>383</v>
      </c>
      <c r="CF63" s="3">
        <v>45967</v>
      </c>
      <c r="CI63">
        <v>1</v>
      </c>
      <c r="CJ63">
        <v>1</v>
      </c>
      <c r="CK63">
        <v>21</v>
      </c>
      <c r="CL63" t="s">
        <v>89</v>
      </c>
    </row>
    <row r="64" spans="1:90" x14ac:dyDescent="0.3">
      <c r="A64" t="s">
        <v>72</v>
      </c>
      <c r="B64" t="s">
        <v>73</v>
      </c>
      <c r="C64" t="s">
        <v>74</v>
      </c>
      <c r="E64" t="str">
        <f>"2029569"</f>
        <v>2029569</v>
      </c>
      <c r="F64" s="3">
        <v>45966</v>
      </c>
      <c r="G64">
        <v>202608</v>
      </c>
      <c r="H64" t="s">
        <v>75</v>
      </c>
      <c r="I64" t="s">
        <v>76</v>
      </c>
      <c r="J64" t="s">
        <v>77</v>
      </c>
      <c r="K64" t="s">
        <v>78</v>
      </c>
      <c r="L64" t="s">
        <v>189</v>
      </c>
      <c r="M64" t="s">
        <v>190</v>
      </c>
      <c r="N64" t="s">
        <v>191</v>
      </c>
      <c r="O64" t="s">
        <v>124</v>
      </c>
      <c r="P64" t="str">
        <f>"INVOICE00122399 CT098055      "</f>
        <v xml:space="preserve">INVOICE00122399 CT098055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41.43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0.7</v>
      </c>
      <c r="BJ64">
        <v>1.7</v>
      </c>
      <c r="BK64">
        <v>2</v>
      </c>
      <c r="BL64">
        <v>135.59</v>
      </c>
      <c r="BM64">
        <v>20.34</v>
      </c>
      <c r="BN64">
        <v>155.93</v>
      </c>
      <c r="BO64">
        <v>155.93</v>
      </c>
      <c r="BQ64" t="s">
        <v>384</v>
      </c>
      <c r="BR64" t="s">
        <v>84</v>
      </c>
      <c r="BS64" s="3">
        <v>45967</v>
      </c>
      <c r="BT64" s="4">
        <v>0.55972222222222223</v>
      </c>
      <c r="BU64" t="s">
        <v>385</v>
      </c>
      <c r="BV64" t="s">
        <v>86</v>
      </c>
      <c r="BY64">
        <v>8384.7999999999993</v>
      </c>
      <c r="BZ64" t="s">
        <v>126</v>
      </c>
      <c r="CA64" t="s">
        <v>194</v>
      </c>
      <c r="CC64" t="s">
        <v>190</v>
      </c>
      <c r="CD64">
        <v>6500</v>
      </c>
      <c r="CE64" t="s">
        <v>223</v>
      </c>
      <c r="CF64" s="3">
        <v>45968</v>
      </c>
      <c r="CI64">
        <v>1</v>
      </c>
      <c r="CJ64">
        <v>1</v>
      </c>
      <c r="CK64">
        <v>23</v>
      </c>
      <c r="CL64" t="s">
        <v>89</v>
      </c>
    </row>
    <row r="65" spans="1:90" x14ac:dyDescent="0.3">
      <c r="A65" t="s">
        <v>72</v>
      </c>
      <c r="B65" t="s">
        <v>73</v>
      </c>
      <c r="C65" t="s">
        <v>74</v>
      </c>
      <c r="E65" t="str">
        <f>"2029570"</f>
        <v>2029570</v>
      </c>
      <c r="F65" s="3">
        <v>45966</v>
      </c>
      <c r="G65">
        <v>202608</v>
      </c>
      <c r="H65" t="s">
        <v>75</v>
      </c>
      <c r="I65" t="s">
        <v>76</v>
      </c>
      <c r="J65" t="s">
        <v>77</v>
      </c>
      <c r="K65" t="s">
        <v>78</v>
      </c>
      <c r="L65" t="s">
        <v>75</v>
      </c>
      <c r="M65" t="s">
        <v>76</v>
      </c>
      <c r="N65" t="s">
        <v>386</v>
      </c>
      <c r="O65" t="s">
        <v>124</v>
      </c>
      <c r="P65" t="str">
        <f>"INVOICE00122400 CT098053      "</f>
        <v xml:space="preserve">INVOICE00122400 CT098053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16.7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0.4</v>
      </c>
      <c r="BJ65">
        <v>2.4</v>
      </c>
      <c r="BK65">
        <v>3</v>
      </c>
      <c r="BL65">
        <v>54.66</v>
      </c>
      <c r="BM65">
        <v>8.1999999999999993</v>
      </c>
      <c r="BN65">
        <v>62.86</v>
      </c>
      <c r="BO65">
        <v>62.86</v>
      </c>
      <c r="BQ65" t="s">
        <v>387</v>
      </c>
      <c r="BR65" t="s">
        <v>84</v>
      </c>
      <c r="BS65" s="3">
        <v>45967</v>
      </c>
      <c r="BT65" s="4">
        <v>0.38333333333333336</v>
      </c>
      <c r="BU65" t="s">
        <v>388</v>
      </c>
      <c r="BV65" t="s">
        <v>86</v>
      </c>
      <c r="BY65">
        <v>11834.1</v>
      </c>
      <c r="BZ65" t="s">
        <v>126</v>
      </c>
      <c r="CA65" t="s">
        <v>389</v>
      </c>
      <c r="CC65" t="s">
        <v>76</v>
      </c>
      <c r="CD65">
        <v>7800</v>
      </c>
      <c r="CE65" t="s">
        <v>181</v>
      </c>
      <c r="CF65" s="3">
        <v>45968</v>
      </c>
      <c r="CI65">
        <v>1</v>
      </c>
      <c r="CJ65">
        <v>1</v>
      </c>
      <c r="CK65">
        <v>22</v>
      </c>
      <c r="CL65" t="s">
        <v>89</v>
      </c>
    </row>
    <row r="66" spans="1:90" x14ac:dyDescent="0.3">
      <c r="A66" t="s">
        <v>72</v>
      </c>
      <c r="B66" t="s">
        <v>73</v>
      </c>
      <c r="C66" t="s">
        <v>74</v>
      </c>
      <c r="E66" t="str">
        <f>"2029571"</f>
        <v>2029571</v>
      </c>
      <c r="F66" s="3">
        <v>45966</v>
      </c>
      <c r="G66">
        <v>202608</v>
      </c>
      <c r="H66" t="s">
        <v>75</v>
      </c>
      <c r="I66" t="s">
        <v>76</v>
      </c>
      <c r="J66" t="s">
        <v>77</v>
      </c>
      <c r="K66" t="s">
        <v>78</v>
      </c>
      <c r="L66" t="s">
        <v>169</v>
      </c>
      <c r="M66" t="s">
        <v>170</v>
      </c>
      <c r="N66" t="s">
        <v>390</v>
      </c>
      <c r="O66" t="s">
        <v>124</v>
      </c>
      <c r="P66" t="str">
        <f>"INVOICE00122402 CT098052      "</f>
        <v xml:space="preserve">INVOICE00122402 CT098052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21.38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0.3</v>
      </c>
      <c r="BJ66">
        <v>2</v>
      </c>
      <c r="BK66">
        <v>2</v>
      </c>
      <c r="BL66">
        <v>69.98</v>
      </c>
      <c r="BM66">
        <v>10.5</v>
      </c>
      <c r="BN66">
        <v>80.48</v>
      </c>
      <c r="BO66">
        <v>80.48</v>
      </c>
      <c r="BQ66" t="s">
        <v>391</v>
      </c>
      <c r="BR66" t="s">
        <v>84</v>
      </c>
      <c r="BS66" s="3">
        <v>45967</v>
      </c>
      <c r="BT66" s="4">
        <v>0.38055555555555554</v>
      </c>
      <c r="BU66" t="s">
        <v>392</v>
      </c>
      <c r="BV66" t="s">
        <v>86</v>
      </c>
      <c r="BY66">
        <v>9963.36</v>
      </c>
      <c r="BZ66" t="s">
        <v>126</v>
      </c>
      <c r="CA66" t="s">
        <v>393</v>
      </c>
      <c r="CC66" t="s">
        <v>170</v>
      </c>
      <c r="CD66">
        <v>2021</v>
      </c>
      <c r="CE66" t="s">
        <v>128</v>
      </c>
      <c r="CF66" s="3">
        <v>45967</v>
      </c>
      <c r="CI66">
        <v>1</v>
      </c>
      <c r="CJ66">
        <v>1</v>
      </c>
      <c r="CK66">
        <v>21</v>
      </c>
      <c r="CL66" t="s">
        <v>89</v>
      </c>
    </row>
    <row r="67" spans="1:90" x14ac:dyDescent="0.3">
      <c r="A67" t="s">
        <v>72</v>
      </c>
      <c r="B67" t="s">
        <v>73</v>
      </c>
      <c r="C67" t="s">
        <v>74</v>
      </c>
      <c r="E67" t="str">
        <f>"2029574"</f>
        <v>2029574</v>
      </c>
      <c r="F67" s="3">
        <v>45966</v>
      </c>
      <c r="G67">
        <v>202608</v>
      </c>
      <c r="H67" t="s">
        <v>75</v>
      </c>
      <c r="I67" t="s">
        <v>76</v>
      </c>
      <c r="J67" t="s">
        <v>77</v>
      </c>
      <c r="K67" t="s">
        <v>78</v>
      </c>
      <c r="L67" t="s">
        <v>394</v>
      </c>
      <c r="M67" t="s">
        <v>395</v>
      </c>
      <c r="N67" t="s">
        <v>396</v>
      </c>
      <c r="O67" t="s">
        <v>124</v>
      </c>
      <c r="P67" t="str">
        <f>"INVOICE00122412 CT098040      "</f>
        <v xml:space="preserve">INVOICE00122412 CT098040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50.78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0.3</v>
      </c>
      <c r="BJ67">
        <v>2.2000000000000002</v>
      </c>
      <c r="BK67">
        <v>2.5</v>
      </c>
      <c r="BL67">
        <v>166.2</v>
      </c>
      <c r="BM67">
        <v>24.93</v>
      </c>
      <c r="BN67">
        <v>191.13</v>
      </c>
      <c r="BO67">
        <v>191.13</v>
      </c>
      <c r="BR67" t="s">
        <v>84</v>
      </c>
      <c r="BS67" s="3">
        <v>45967</v>
      </c>
      <c r="BT67" s="4">
        <v>0.40694444444444444</v>
      </c>
      <c r="BU67" t="s">
        <v>397</v>
      </c>
      <c r="BV67" t="s">
        <v>86</v>
      </c>
      <c r="BY67">
        <v>10886.31</v>
      </c>
      <c r="BZ67" t="s">
        <v>126</v>
      </c>
      <c r="CA67" t="s">
        <v>398</v>
      </c>
      <c r="CC67" t="s">
        <v>395</v>
      </c>
      <c r="CD67" s="5" t="s">
        <v>399</v>
      </c>
      <c r="CE67" t="s">
        <v>149</v>
      </c>
      <c r="CF67" s="3">
        <v>45968</v>
      </c>
      <c r="CI67">
        <v>2</v>
      </c>
      <c r="CJ67">
        <v>1</v>
      </c>
      <c r="CK67">
        <v>23</v>
      </c>
      <c r="CL67" t="s">
        <v>89</v>
      </c>
    </row>
    <row r="68" spans="1:90" x14ac:dyDescent="0.3">
      <c r="A68" t="s">
        <v>72</v>
      </c>
      <c r="B68" t="s">
        <v>73</v>
      </c>
      <c r="C68" t="s">
        <v>74</v>
      </c>
      <c r="E68" t="str">
        <f>"2029577"</f>
        <v>2029577</v>
      </c>
      <c r="F68" s="3">
        <v>45966</v>
      </c>
      <c r="G68">
        <v>202608</v>
      </c>
      <c r="H68" t="s">
        <v>75</v>
      </c>
      <c r="I68" t="s">
        <v>76</v>
      </c>
      <c r="J68" t="s">
        <v>77</v>
      </c>
      <c r="K68" t="s">
        <v>78</v>
      </c>
      <c r="L68" t="s">
        <v>330</v>
      </c>
      <c r="M68" t="s">
        <v>331</v>
      </c>
      <c r="N68" t="s">
        <v>332</v>
      </c>
      <c r="O68" t="s">
        <v>124</v>
      </c>
      <c r="P68" t="str">
        <f>"INVOICE00122356 CT098026      "</f>
        <v xml:space="preserve">INVOICE00122356 CT098026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21.38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16.739999999999998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0.6</v>
      </c>
      <c r="BJ68">
        <v>2</v>
      </c>
      <c r="BK68">
        <v>2</v>
      </c>
      <c r="BL68">
        <v>86.72</v>
      </c>
      <c r="BM68">
        <v>13.01</v>
      </c>
      <c r="BN68">
        <v>99.73</v>
      </c>
      <c r="BO68">
        <v>99.73</v>
      </c>
      <c r="BQ68" t="s">
        <v>400</v>
      </c>
      <c r="BR68" t="s">
        <v>84</v>
      </c>
      <c r="BS68" s="3">
        <v>45967</v>
      </c>
      <c r="BT68" s="4">
        <v>0.40416666666666667</v>
      </c>
      <c r="BU68" t="s">
        <v>401</v>
      </c>
      <c r="BV68" t="s">
        <v>86</v>
      </c>
      <c r="BY68">
        <v>9832.7999999999993</v>
      </c>
      <c r="BZ68" t="s">
        <v>180</v>
      </c>
      <c r="CA68" t="s">
        <v>402</v>
      </c>
      <c r="CC68" t="s">
        <v>331</v>
      </c>
      <c r="CD68">
        <v>1475</v>
      </c>
      <c r="CE68" t="s">
        <v>223</v>
      </c>
      <c r="CF68" s="3">
        <v>45968</v>
      </c>
      <c r="CI68">
        <v>1</v>
      </c>
      <c r="CJ68">
        <v>1</v>
      </c>
      <c r="CK68">
        <v>21</v>
      </c>
      <c r="CL68" t="s">
        <v>89</v>
      </c>
    </row>
    <row r="69" spans="1:90" x14ac:dyDescent="0.3">
      <c r="A69" t="s">
        <v>72</v>
      </c>
      <c r="B69" t="s">
        <v>73</v>
      </c>
      <c r="C69" t="s">
        <v>74</v>
      </c>
      <c r="E69" t="str">
        <f>"2029578"</f>
        <v>2029578</v>
      </c>
      <c r="F69" s="3">
        <v>45966</v>
      </c>
      <c r="G69">
        <v>202608</v>
      </c>
      <c r="H69" t="s">
        <v>75</v>
      </c>
      <c r="I69" t="s">
        <v>76</v>
      </c>
      <c r="J69" t="s">
        <v>77</v>
      </c>
      <c r="K69" t="s">
        <v>78</v>
      </c>
      <c r="L69" t="s">
        <v>75</v>
      </c>
      <c r="M69" t="s">
        <v>76</v>
      </c>
      <c r="N69" t="s">
        <v>386</v>
      </c>
      <c r="O69" t="s">
        <v>124</v>
      </c>
      <c r="P69" t="str">
        <f>"INVOICE00122410 CT098046      "</f>
        <v xml:space="preserve">INVOICE00122410 CT098046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16.7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2</v>
      </c>
      <c r="BJ69">
        <v>6.1</v>
      </c>
      <c r="BK69">
        <v>7</v>
      </c>
      <c r="BL69">
        <v>54.66</v>
      </c>
      <c r="BM69">
        <v>8.1999999999999993</v>
      </c>
      <c r="BN69">
        <v>62.86</v>
      </c>
      <c r="BO69">
        <v>62.86</v>
      </c>
      <c r="BQ69" t="s">
        <v>387</v>
      </c>
      <c r="BR69" t="s">
        <v>84</v>
      </c>
      <c r="BS69" s="3">
        <v>45966</v>
      </c>
      <c r="BT69" s="4">
        <v>0.41666666666666669</v>
      </c>
      <c r="BU69" t="s">
        <v>327</v>
      </c>
      <c r="BV69" t="s">
        <v>86</v>
      </c>
      <c r="BY69">
        <v>30720</v>
      </c>
      <c r="CA69" t="s">
        <v>328</v>
      </c>
      <c r="CC69" t="s">
        <v>76</v>
      </c>
      <c r="CD69">
        <v>7800</v>
      </c>
      <c r="CE69" t="s">
        <v>403</v>
      </c>
      <c r="CF69" s="3">
        <v>45978</v>
      </c>
      <c r="CI69">
        <v>1</v>
      </c>
      <c r="CJ69">
        <v>0</v>
      </c>
      <c r="CK69">
        <v>22</v>
      </c>
      <c r="CL69" t="s">
        <v>89</v>
      </c>
    </row>
    <row r="70" spans="1:90" x14ac:dyDescent="0.3">
      <c r="A70" t="s">
        <v>72</v>
      </c>
      <c r="B70" t="s">
        <v>73</v>
      </c>
      <c r="C70" t="s">
        <v>74</v>
      </c>
      <c r="E70" t="str">
        <f>"GAB2029579"</f>
        <v>GAB2029579</v>
      </c>
      <c r="F70" s="3">
        <v>45966</v>
      </c>
      <c r="G70">
        <v>202608</v>
      </c>
      <c r="H70" t="s">
        <v>75</v>
      </c>
      <c r="I70" t="s">
        <v>76</v>
      </c>
      <c r="J70" t="s">
        <v>77</v>
      </c>
      <c r="K70" t="s">
        <v>78</v>
      </c>
      <c r="L70" t="s">
        <v>292</v>
      </c>
      <c r="M70" t="s">
        <v>293</v>
      </c>
      <c r="N70" t="s">
        <v>404</v>
      </c>
      <c r="O70" t="s">
        <v>124</v>
      </c>
      <c r="P70" t="str">
        <f>"INVOICE00041127 ORDGS037813   "</f>
        <v xml:space="preserve">INVOICE00041127 ORDGS037813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21.38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0.2</v>
      </c>
      <c r="BJ70">
        <v>2</v>
      </c>
      <c r="BK70">
        <v>2</v>
      </c>
      <c r="BL70">
        <v>69.98</v>
      </c>
      <c r="BM70">
        <v>10.5</v>
      </c>
      <c r="BN70">
        <v>80.48</v>
      </c>
      <c r="BO70">
        <v>80.48</v>
      </c>
      <c r="BR70" t="s">
        <v>84</v>
      </c>
      <c r="BS70" s="3">
        <v>45967</v>
      </c>
      <c r="BT70" s="4">
        <v>0.41944444444444445</v>
      </c>
      <c r="BU70" t="s">
        <v>405</v>
      </c>
      <c r="BV70" t="s">
        <v>86</v>
      </c>
      <c r="BY70">
        <v>10102.719999999999</v>
      </c>
      <c r="BZ70" t="s">
        <v>126</v>
      </c>
      <c r="CA70" t="s">
        <v>406</v>
      </c>
      <c r="CC70" t="s">
        <v>293</v>
      </c>
      <c r="CD70">
        <v>1449</v>
      </c>
      <c r="CE70" t="s">
        <v>367</v>
      </c>
      <c r="CF70" s="3">
        <v>45967</v>
      </c>
      <c r="CI70">
        <v>1</v>
      </c>
      <c r="CJ70">
        <v>1</v>
      </c>
      <c r="CK70">
        <v>21</v>
      </c>
      <c r="CL70" t="s">
        <v>89</v>
      </c>
    </row>
    <row r="71" spans="1:90" x14ac:dyDescent="0.3">
      <c r="A71" t="s">
        <v>72</v>
      </c>
      <c r="B71" t="s">
        <v>73</v>
      </c>
      <c r="C71" t="s">
        <v>74</v>
      </c>
      <c r="E71" t="str">
        <f>"GAB2029580"</f>
        <v>GAB2029580</v>
      </c>
      <c r="F71" s="3">
        <v>45966</v>
      </c>
      <c r="G71">
        <v>202608</v>
      </c>
      <c r="H71" t="s">
        <v>75</v>
      </c>
      <c r="I71" t="s">
        <v>76</v>
      </c>
      <c r="J71" t="s">
        <v>77</v>
      </c>
      <c r="K71" t="s">
        <v>78</v>
      </c>
      <c r="L71" t="s">
        <v>75</v>
      </c>
      <c r="M71" t="s">
        <v>76</v>
      </c>
      <c r="N71" t="s">
        <v>407</v>
      </c>
      <c r="O71" t="s">
        <v>124</v>
      </c>
      <c r="P71" t="str">
        <f>"INVOICE00041142 ORDGS037850   "</f>
        <v xml:space="preserve">INVOICE00041142 ORDGS037850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16.7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0.3</v>
      </c>
      <c r="BJ71">
        <v>2</v>
      </c>
      <c r="BK71">
        <v>2</v>
      </c>
      <c r="BL71">
        <v>54.66</v>
      </c>
      <c r="BM71">
        <v>8.1999999999999993</v>
      </c>
      <c r="BN71">
        <v>62.86</v>
      </c>
      <c r="BO71">
        <v>62.86</v>
      </c>
      <c r="BQ71" t="s">
        <v>408</v>
      </c>
      <c r="BR71" t="s">
        <v>84</v>
      </c>
      <c r="BS71" s="3">
        <v>45967</v>
      </c>
      <c r="BT71" s="4">
        <v>0.375</v>
      </c>
      <c r="BU71" t="s">
        <v>409</v>
      </c>
      <c r="BV71" t="s">
        <v>86</v>
      </c>
      <c r="BY71">
        <v>10020.23</v>
      </c>
      <c r="BZ71" t="s">
        <v>126</v>
      </c>
      <c r="CA71" t="s">
        <v>328</v>
      </c>
      <c r="CC71" t="s">
        <v>76</v>
      </c>
      <c r="CD71">
        <v>7580</v>
      </c>
      <c r="CE71" t="s">
        <v>149</v>
      </c>
      <c r="CF71" s="3">
        <v>45968</v>
      </c>
      <c r="CI71">
        <v>1</v>
      </c>
      <c r="CJ71">
        <v>1</v>
      </c>
      <c r="CK71">
        <v>22</v>
      </c>
      <c r="CL71" t="s">
        <v>89</v>
      </c>
    </row>
    <row r="72" spans="1:90" x14ac:dyDescent="0.3">
      <c r="A72" t="s">
        <v>72</v>
      </c>
      <c r="B72" t="s">
        <v>73</v>
      </c>
      <c r="C72" t="s">
        <v>74</v>
      </c>
      <c r="E72" t="str">
        <f>"GAB2029582"</f>
        <v>GAB2029582</v>
      </c>
      <c r="F72" s="3">
        <v>45966</v>
      </c>
      <c r="G72">
        <v>202608</v>
      </c>
      <c r="H72" t="s">
        <v>75</v>
      </c>
      <c r="I72" t="s">
        <v>76</v>
      </c>
      <c r="J72" t="s">
        <v>77</v>
      </c>
      <c r="K72" t="s">
        <v>78</v>
      </c>
      <c r="L72" t="s">
        <v>212</v>
      </c>
      <c r="M72" t="s">
        <v>213</v>
      </c>
      <c r="N72" t="s">
        <v>410</v>
      </c>
      <c r="O72" t="s">
        <v>124</v>
      </c>
      <c r="P72" t="str">
        <f>"INVOICE00041144 ORDGS037838   "</f>
        <v xml:space="preserve">INVOICE00041144 ORDGS037838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21.38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0.2</v>
      </c>
      <c r="BJ72">
        <v>2</v>
      </c>
      <c r="BK72">
        <v>2</v>
      </c>
      <c r="BL72">
        <v>69.98</v>
      </c>
      <c r="BM72">
        <v>10.5</v>
      </c>
      <c r="BN72">
        <v>80.48</v>
      </c>
      <c r="BO72">
        <v>80.48</v>
      </c>
      <c r="BQ72" t="s">
        <v>411</v>
      </c>
      <c r="BR72" t="s">
        <v>84</v>
      </c>
      <c r="BS72" s="3">
        <v>45967</v>
      </c>
      <c r="BT72" s="4">
        <v>0.58750000000000002</v>
      </c>
      <c r="BU72" t="s">
        <v>412</v>
      </c>
      <c r="BV72" t="s">
        <v>89</v>
      </c>
      <c r="BW72" t="s">
        <v>413</v>
      </c>
      <c r="BX72" t="s">
        <v>217</v>
      </c>
      <c r="BY72">
        <v>9798</v>
      </c>
      <c r="BZ72" t="s">
        <v>126</v>
      </c>
      <c r="CA72" t="s">
        <v>414</v>
      </c>
      <c r="CC72" t="s">
        <v>213</v>
      </c>
      <c r="CD72">
        <v>5201</v>
      </c>
      <c r="CE72" t="s">
        <v>128</v>
      </c>
      <c r="CF72" s="3">
        <v>45968</v>
      </c>
      <c r="CI72">
        <v>1</v>
      </c>
      <c r="CJ72">
        <v>1</v>
      </c>
      <c r="CK72">
        <v>21</v>
      </c>
      <c r="CL72" t="s">
        <v>89</v>
      </c>
    </row>
    <row r="73" spans="1:90" x14ac:dyDescent="0.3">
      <c r="A73" t="s">
        <v>72</v>
      </c>
      <c r="B73" t="s">
        <v>73</v>
      </c>
      <c r="C73" t="s">
        <v>74</v>
      </c>
      <c r="E73" t="str">
        <f>"GAB2029583"</f>
        <v>GAB2029583</v>
      </c>
      <c r="F73" s="3">
        <v>45966</v>
      </c>
      <c r="G73">
        <v>202608</v>
      </c>
      <c r="H73" t="s">
        <v>75</v>
      </c>
      <c r="I73" t="s">
        <v>76</v>
      </c>
      <c r="J73" t="s">
        <v>77</v>
      </c>
      <c r="K73" t="s">
        <v>78</v>
      </c>
      <c r="L73" t="s">
        <v>75</v>
      </c>
      <c r="M73" t="s">
        <v>76</v>
      </c>
      <c r="N73" t="s">
        <v>415</v>
      </c>
      <c r="O73" t="s">
        <v>124</v>
      </c>
      <c r="P73" t="str">
        <f>"INVOICE00122423 CT098058      "</f>
        <v xml:space="preserve">INVOICE00122423 CT098058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16.7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0.2</v>
      </c>
      <c r="BJ73">
        <v>2.2000000000000002</v>
      </c>
      <c r="BK73">
        <v>3</v>
      </c>
      <c r="BL73">
        <v>54.66</v>
      </c>
      <c r="BM73">
        <v>8.1999999999999993</v>
      </c>
      <c r="BN73">
        <v>62.86</v>
      </c>
      <c r="BO73">
        <v>62.86</v>
      </c>
      <c r="BQ73" t="s">
        <v>416</v>
      </c>
      <c r="BR73" t="s">
        <v>84</v>
      </c>
      <c r="BS73" s="3">
        <v>45967</v>
      </c>
      <c r="BT73" s="4">
        <v>0.41944444444444445</v>
      </c>
      <c r="BU73" t="s">
        <v>417</v>
      </c>
      <c r="BV73" t="s">
        <v>86</v>
      </c>
      <c r="BY73">
        <v>10911.28</v>
      </c>
      <c r="BZ73" t="s">
        <v>126</v>
      </c>
      <c r="CC73" t="s">
        <v>76</v>
      </c>
      <c r="CD73">
        <v>8001</v>
      </c>
      <c r="CE73" t="s">
        <v>154</v>
      </c>
      <c r="CF73" s="3">
        <v>45968</v>
      </c>
      <c r="CI73">
        <v>1</v>
      </c>
      <c r="CJ73">
        <v>1</v>
      </c>
      <c r="CK73">
        <v>22</v>
      </c>
      <c r="CL73" t="s">
        <v>89</v>
      </c>
    </row>
    <row r="74" spans="1:90" x14ac:dyDescent="0.3">
      <c r="A74" t="s">
        <v>72</v>
      </c>
      <c r="B74" t="s">
        <v>73</v>
      </c>
      <c r="C74" t="s">
        <v>74</v>
      </c>
      <c r="E74" t="str">
        <f>"GAB2029585"</f>
        <v>GAB2029585</v>
      </c>
      <c r="F74" s="3">
        <v>45966</v>
      </c>
      <c r="G74">
        <v>202608</v>
      </c>
      <c r="H74" t="s">
        <v>75</v>
      </c>
      <c r="I74" t="s">
        <v>76</v>
      </c>
      <c r="J74" t="s">
        <v>77</v>
      </c>
      <c r="K74" t="s">
        <v>78</v>
      </c>
      <c r="L74" t="s">
        <v>230</v>
      </c>
      <c r="M74" t="s">
        <v>231</v>
      </c>
      <c r="N74" t="s">
        <v>418</v>
      </c>
      <c r="O74" t="s">
        <v>124</v>
      </c>
      <c r="P74" t="str">
        <f>"INVOICE00041147 ORDGS037817   "</f>
        <v xml:space="preserve">INVOICE00041147 ORDGS037817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21.38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0.2</v>
      </c>
      <c r="BJ74">
        <v>1.9</v>
      </c>
      <c r="BK74">
        <v>2</v>
      </c>
      <c r="BL74">
        <v>69.98</v>
      </c>
      <c r="BM74">
        <v>10.5</v>
      </c>
      <c r="BN74">
        <v>80.48</v>
      </c>
      <c r="BO74">
        <v>80.48</v>
      </c>
      <c r="BQ74" t="s">
        <v>419</v>
      </c>
      <c r="BR74" t="s">
        <v>84</v>
      </c>
      <c r="BS74" s="3">
        <v>45967</v>
      </c>
      <c r="BT74" s="4">
        <v>0.30833333333333335</v>
      </c>
      <c r="BU74" t="s">
        <v>420</v>
      </c>
      <c r="BV74" t="s">
        <v>86</v>
      </c>
      <c r="BY74">
        <v>9586.08</v>
      </c>
      <c r="BZ74" t="s">
        <v>126</v>
      </c>
      <c r="CA74">
        <v>8612186129080</v>
      </c>
      <c r="CC74" t="s">
        <v>231</v>
      </c>
      <c r="CD74" s="5" t="s">
        <v>382</v>
      </c>
      <c r="CE74" t="s">
        <v>128</v>
      </c>
      <c r="CF74" s="3">
        <v>45967</v>
      </c>
      <c r="CI74">
        <v>1</v>
      </c>
      <c r="CJ74">
        <v>1</v>
      </c>
      <c r="CK74">
        <v>21</v>
      </c>
      <c r="CL74" t="s">
        <v>89</v>
      </c>
    </row>
    <row r="75" spans="1:90" x14ac:dyDescent="0.3">
      <c r="A75" t="s">
        <v>72</v>
      </c>
      <c r="B75" t="s">
        <v>73</v>
      </c>
      <c r="C75" t="s">
        <v>74</v>
      </c>
      <c r="E75" t="str">
        <f>"GAB2029586"</f>
        <v>GAB2029586</v>
      </c>
      <c r="F75" s="3">
        <v>45966</v>
      </c>
      <c r="G75">
        <v>202608</v>
      </c>
      <c r="H75" t="s">
        <v>75</v>
      </c>
      <c r="I75" t="s">
        <v>76</v>
      </c>
      <c r="J75" t="s">
        <v>77</v>
      </c>
      <c r="K75" t="s">
        <v>78</v>
      </c>
      <c r="L75" t="s">
        <v>162</v>
      </c>
      <c r="M75" t="s">
        <v>163</v>
      </c>
      <c r="N75" t="s">
        <v>421</v>
      </c>
      <c r="O75" t="s">
        <v>124</v>
      </c>
      <c r="P75" t="str">
        <f>"invoice00041149 ordgs037798   "</f>
        <v xml:space="preserve">invoice00041149 ordgs037798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26.73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0.2</v>
      </c>
      <c r="BJ75">
        <v>2.4</v>
      </c>
      <c r="BK75">
        <v>2.5</v>
      </c>
      <c r="BL75">
        <v>87.47</v>
      </c>
      <c r="BM75">
        <v>13.12</v>
      </c>
      <c r="BN75">
        <v>100.59</v>
      </c>
      <c r="BO75">
        <v>100.59</v>
      </c>
      <c r="BQ75" t="s">
        <v>422</v>
      </c>
      <c r="BR75" t="s">
        <v>84</v>
      </c>
      <c r="BS75" s="3">
        <v>45967</v>
      </c>
      <c r="BT75" s="4">
        <v>0.38750000000000001</v>
      </c>
      <c r="BU75" t="s">
        <v>166</v>
      </c>
      <c r="BV75" t="s">
        <v>86</v>
      </c>
      <c r="BY75">
        <v>12195.63</v>
      </c>
      <c r="BZ75" t="s">
        <v>126</v>
      </c>
      <c r="CA75" t="s">
        <v>167</v>
      </c>
      <c r="CC75" t="s">
        <v>163</v>
      </c>
      <c r="CD75">
        <v>6001</v>
      </c>
      <c r="CE75" t="s">
        <v>338</v>
      </c>
      <c r="CF75" s="3">
        <v>45967</v>
      </c>
      <c r="CI75">
        <v>2</v>
      </c>
      <c r="CJ75">
        <v>1</v>
      </c>
      <c r="CK75">
        <v>21</v>
      </c>
      <c r="CL75" t="s">
        <v>89</v>
      </c>
    </row>
    <row r="76" spans="1:90" x14ac:dyDescent="0.3">
      <c r="A76" t="s">
        <v>72</v>
      </c>
      <c r="B76" t="s">
        <v>73</v>
      </c>
      <c r="C76" t="s">
        <v>74</v>
      </c>
      <c r="E76" t="str">
        <f>"GAB2029587"</f>
        <v>GAB2029587</v>
      </c>
      <c r="F76" s="3">
        <v>45966</v>
      </c>
      <c r="G76">
        <v>202608</v>
      </c>
      <c r="H76" t="s">
        <v>75</v>
      </c>
      <c r="I76" t="s">
        <v>76</v>
      </c>
      <c r="J76" t="s">
        <v>77</v>
      </c>
      <c r="K76" t="s">
        <v>78</v>
      </c>
      <c r="L76" t="s">
        <v>423</v>
      </c>
      <c r="M76" t="s">
        <v>424</v>
      </c>
      <c r="N76" t="s">
        <v>425</v>
      </c>
      <c r="O76" t="s">
        <v>124</v>
      </c>
      <c r="P76" t="str">
        <f>"INVOICE00041148 ORDGS037785   "</f>
        <v xml:space="preserve">INVOICE00041148 ORDGS037785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21.38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0.2</v>
      </c>
      <c r="BJ76">
        <v>2</v>
      </c>
      <c r="BK76">
        <v>2</v>
      </c>
      <c r="BL76">
        <v>69.98</v>
      </c>
      <c r="BM76">
        <v>10.5</v>
      </c>
      <c r="BN76">
        <v>80.48</v>
      </c>
      <c r="BO76">
        <v>80.48</v>
      </c>
      <c r="BQ76" t="s">
        <v>426</v>
      </c>
      <c r="BR76" t="s">
        <v>84</v>
      </c>
      <c r="BS76" s="3">
        <v>45967</v>
      </c>
      <c r="BT76" s="4">
        <v>0.3576388888888889</v>
      </c>
      <c r="BU76" t="s">
        <v>427</v>
      </c>
      <c r="BV76" t="s">
        <v>86</v>
      </c>
      <c r="BY76">
        <v>10091.879999999999</v>
      </c>
      <c r="BZ76" t="s">
        <v>126</v>
      </c>
      <c r="CA76" t="s">
        <v>428</v>
      </c>
      <c r="CC76" t="s">
        <v>424</v>
      </c>
      <c r="CD76">
        <v>1541</v>
      </c>
      <c r="CE76" t="s">
        <v>338</v>
      </c>
      <c r="CF76" s="3">
        <v>45968</v>
      </c>
      <c r="CI76">
        <v>1</v>
      </c>
      <c r="CJ76">
        <v>1</v>
      </c>
      <c r="CK76">
        <v>21</v>
      </c>
      <c r="CL76" t="s">
        <v>89</v>
      </c>
    </row>
    <row r="77" spans="1:90" x14ac:dyDescent="0.3">
      <c r="A77" t="s">
        <v>72</v>
      </c>
      <c r="B77" t="s">
        <v>73</v>
      </c>
      <c r="C77" t="s">
        <v>74</v>
      </c>
      <c r="E77" t="str">
        <f>"GAB2029588"</f>
        <v>GAB2029588</v>
      </c>
      <c r="F77" s="3">
        <v>45966</v>
      </c>
      <c r="G77">
        <v>202608</v>
      </c>
      <c r="H77" t="s">
        <v>75</v>
      </c>
      <c r="I77" t="s">
        <v>76</v>
      </c>
      <c r="J77" t="s">
        <v>77</v>
      </c>
      <c r="K77" t="s">
        <v>78</v>
      </c>
      <c r="L77" t="s">
        <v>429</v>
      </c>
      <c r="M77" t="s">
        <v>430</v>
      </c>
      <c r="N77" t="s">
        <v>431</v>
      </c>
      <c r="O77" t="s">
        <v>124</v>
      </c>
      <c r="P77" t="str">
        <f>"INVOICE00122439 CT098042      "</f>
        <v xml:space="preserve">INVOICE00122439 CT098042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26.73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0.3</v>
      </c>
      <c r="BJ77">
        <v>2.4</v>
      </c>
      <c r="BK77">
        <v>2.5</v>
      </c>
      <c r="BL77">
        <v>87.47</v>
      </c>
      <c r="BM77">
        <v>13.12</v>
      </c>
      <c r="BN77">
        <v>100.59</v>
      </c>
      <c r="BO77">
        <v>100.59</v>
      </c>
      <c r="BQ77" t="s">
        <v>118</v>
      </c>
      <c r="BR77" t="s">
        <v>84</v>
      </c>
      <c r="BS77" s="3">
        <v>45968</v>
      </c>
      <c r="BT77" s="4">
        <v>0.34583333333333333</v>
      </c>
      <c r="BU77" t="s">
        <v>432</v>
      </c>
      <c r="BV77" t="s">
        <v>89</v>
      </c>
      <c r="BY77">
        <v>12087</v>
      </c>
      <c r="BZ77" t="s">
        <v>126</v>
      </c>
      <c r="CA77" t="s">
        <v>433</v>
      </c>
      <c r="CC77" t="s">
        <v>430</v>
      </c>
      <c r="CD77">
        <v>3201</v>
      </c>
      <c r="CE77" t="s">
        <v>128</v>
      </c>
      <c r="CF77" s="3">
        <v>45968</v>
      </c>
      <c r="CI77">
        <v>1</v>
      </c>
      <c r="CJ77">
        <v>2</v>
      </c>
      <c r="CK77">
        <v>21</v>
      </c>
      <c r="CL77" t="s">
        <v>89</v>
      </c>
    </row>
    <row r="78" spans="1:90" x14ac:dyDescent="0.3">
      <c r="A78" t="s">
        <v>72</v>
      </c>
      <c r="B78" t="s">
        <v>73</v>
      </c>
      <c r="C78" t="s">
        <v>74</v>
      </c>
      <c r="E78" t="str">
        <f>"GAB2029589"</f>
        <v>GAB2029589</v>
      </c>
      <c r="F78" s="3">
        <v>45966</v>
      </c>
      <c r="G78">
        <v>202608</v>
      </c>
      <c r="H78" t="s">
        <v>75</v>
      </c>
      <c r="I78" t="s">
        <v>76</v>
      </c>
      <c r="J78" t="s">
        <v>77</v>
      </c>
      <c r="K78" t="s">
        <v>78</v>
      </c>
      <c r="L78" t="s">
        <v>75</v>
      </c>
      <c r="M78" t="s">
        <v>76</v>
      </c>
      <c r="N78" t="s">
        <v>434</v>
      </c>
      <c r="O78" t="s">
        <v>124</v>
      </c>
      <c r="P78" t="str">
        <f>"INVOICE00122445 CT098080      "</f>
        <v xml:space="preserve">INVOICE00122445 CT098080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16.7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2.4</v>
      </c>
      <c r="BK78">
        <v>3</v>
      </c>
      <c r="BL78">
        <v>54.66</v>
      </c>
      <c r="BM78">
        <v>8.1999999999999993</v>
      </c>
      <c r="BN78">
        <v>62.86</v>
      </c>
      <c r="BO78">
        <v>62.86</v>
      </c>
      <c r="BR78" t="s">
        <v>84</v>
      </c>
      <c r="BS78" s="3">
        <v>45966</v>
      </c>
      <c r="BT78" s="4">
        <v>0.41666666666666669</v>
      </c>
      <c r="BU78" t="s">
        <v>327</v>
      </c>
      <c r="BV78" t="s">
        <v>86</v>
      </c>
      <c r="BY78">
        <v>12000</v>
      </c>
      <c r="CA78" t="s">
        <v>328</v>
      </c>
      <c r="CC78" t="s">
        <v>76</v>
      </c>
      <c r="CD78">
        <v>7500</v>
      </c>
      <c r="CE78" t="s">
        <v>367</v>
      </c>
      <c r="CF78" s="3">
        <v>45978</v>
      </c>
      <c r="CI78">
        <v>1</v>
      </c>
      <c r="CJ78">
        <v>0</v>
      </c>
      <c r="CK78">
        <v>22</v>
      </c>
      <c r="CL78" t="s">
        <v>89</v>
      </c>
    </row>
    <row r="79" spans="1:90" x14ac:dyDescent="0.3">
      <c r="A79" t="s">
        <v>72</v>
      </c>
      <c r="B79" t="s">
        <v>73</v>
      </c>
      <c r="C79" t="s">
        <v>74</v>
      </c>
      <c r="E79" t="str">
        <f>"GAB2029591"</f>
        <v>GAB2029591</v>
      </c>
      <c r="F79" s="3">
        <v>45966</v>
      </c>
      <c r="G79">
        <v>202608</v>
      </c>
      <c r="H79" t="s">
        <v>75</v>
      </c>
      <c r="I79" t="s">
        <v>76</v>
      </c>
      <c r="J79" t="s">
        <v>77</v>
      </c>
      <c r="K79" t="s">
        <v>78</v>
      </c>
      <c r="L79" t="s">
        <v>359</v>
      </c>
      <c r="M79" t="s">
        <v>360</v>
      </c>
      <c r="N79" t="s">
        <v>361</v>
      </c>
      <c r="O79" t="s">
        <v>124</v>
      </c>
      <c r="P79" t="str">
        <f>"INVOICE00122443 CT098075      "</f>
        <v xml:space="preserve">INVOICE00122443 CT098075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50.78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0.2</v>
      </c>
      <c r="BJ79">
        <v>2.1</v>
      </c>
      <c r="BK79">
        <v>2.5</v>
      </c>
      <c r="BL79">
        <v>166.2</v>
      </c>
      <c r="BM79">
        <v>24.93</v>
      </c>
      <c r="BN79">
        <v>191.13</v>
      </c>
      <c r="BO79">
        <v>191.13</v>
      </c>
      <c r="BQ79" t="s">
        <v>362</v>
      </c>
      <c r="BR79" t="s">
        <v>84</v>
      </c>
      <c r="BS79" s="3">
        <v>45968</v>
      </c>
      <c r="BT79" s="4">
        <v>0.6020833333333333</v>
      </c>
      <c r="BU79" t="s">
        <v>363</v>
      </c>
      <c r="BV79" t="s">
        <v>89</v>
      </c>
      <c r="BW79" t="s">
        <v>364</v>
      </c>
      <c r="BX79" t="s">
        <v>365</v>
      </c>
      <c r="BY79">
        <v>10654.56</v>
      </c>
      <c r="BZ79" t="s">
        <v>126</v>
      </c>
      <c r="CA79" t="s">
        <v>366</v>
      </c>
      <c r="CC79" t="s">
        <v>360</v>
      </c>
      <c r="CD79">
        <v>4420</v>
      </c>
      <c r="CE79" t="s">
        <v>128</v>
      </c>
      <c r="CF79" s="3">
        <v>45968</v>
      </c>
      <c r="CI79">
        <v>2</v>
      </c>
      <c r="CJ79">
        <v>2</v>
      </c>
      <c r="CK79">
        <v>23</v>
      </c>
      <c r="CL79" t="s">
        <v>89</v>
      </c>
    </row>
    <row r="80" spans="1:90" x14ac:dyDescent="0.3">
      <c r="A80" t="s">
        <v>72</v>
      </c>
      <c r="B80" t="s">
        <v>73</v>
      </c>
      <c r="C80" t="s">
        <v>74</v>
      </c>
      <c r="E80" t="str">
        <f>"GAB2029593"</f>
        <v>GAB2029593</v>
      </c>
      <c r="F80" s="3">
        <v>45966</v>
      </c>
      <c r="G80">
        <v>202608</v>
      </c>
      <c r="H80" t="s">
        <v>75</v>
      </c>
      <c r="I80" t="s">
        <v>76</v>
      </c>
      <c r="J80" t="s">
        <v>77</v>
      </c>
      <c r="K80" t="s">
        <v>78</v>
      </c>
      <c r="L80" t="s">
        <v>435</v>
      </c>
      <c r="M80" t="s">
        <v>435</v>
      </c>
      <c r="N80" t="s">
        <v>436</v>
      </c>
      <c r="O80" t="s">
        <v>124</v>
      </c>
      <c r="P80" t="str">
        <f>"INVOICE00041145 ORDGS037857   "</f>
        <v xml:space="preserve">INVOICE00041145 ORDGS037857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37.4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1.2</v>
      </c>
      <c r="BJ80">
        <v>2.4</v>
      </c>
      <c r="BK80">
        <v>2.5</v>
      </c>
      <c r="BL80">
        <v>122.39</v>
      </c>
      <c r="BM80">
        <v>18.36</v>
      </c>
      <c r="BN80">
        <v>140.75</v>
      </c>
      <c r="BO80">
        <v>140.75</v>
      </c>
      <c r="BQ80" t="s">
        <v>437</v>
      </c>
      <c r="BR80" t="s">
        <v>84</v>
      </c>
      <c r="BS80" s="3">
        <v>45967</v>
      </c>
      <c r="BT80" s="4">
        <v>0.45069444444444445</v>
      </c>
      <c r="BU80" t="s">
        <v>438</v>
      </c>
      <c r="BV80" t="s">
        <v>86</v>
      </c>
      <c r="BY80">
        <v>12229.5</v>
      </c>
      <c r="BZ80" t="s">
        <v>126</v>
      </c>
      <c r="CA80" t="s">
        <v>439</v>
      </c>
      <c r="CC80" t="s">
        <v>435</v>
      </c>
      <c r="CD80">
        <v>7646</v>
      </c>
      <c r="CE80" t="s">
        <v>440</v>
      </c>
      <c r="CF80" s="3">
        <v>45968</v>
      </c>
      <c r="CI80">
        <v>1</v>
      </c>
      <c r="CJ80">
        <v>1</v>
      </c>
      <c r="CK80">
        <v>24</v>
      </c>
      <c r="CL80" t="s">
        <v>89</v>
      </c>
    </row>
    <row r="81" spans="1:90" x14ac:dyDescent="0.3">
      <c r="A81" t="s">
        <v>72</v>
      </c>
      <c r="B81" t="s">
        <v>73</v>
      </c>
      <c r="C81" t="s">
        <v>74</v>
      </c>
      <c r="E81" t="str">
        <f>"GAB2029594"</f>
        <v>GAB2029594</v>
      </c>
      <c r="F81" s="3">
        <v>45966</v>
      </c>
      <c r="G81">
        <v>202608</v>
      </c>
      <c r="H81" t="s">
        <v>75</v>
      </c>
      <c r="I81" t="s">
        <v>76</v>
      </c>
      <c r="J81" t="s">
        <v>77</v>
      </c>
      <c r="K81" t="s">
        <v>78</v>
      </c>
      <c r="L81" t="s">
        <v>441</v>
      </c>
      <c r="M81" t="s">
        <v>442</v>
      </c>
      <c r="N81" t="s">
        <v>443</v>
      </c>
      <c r="O81" t="s">
        <v>124</v>
      </c>
      <c r="P81" t="str">
        <f>"INVOICE00041146 ORDGS037856   "</f>
        <v xml:space="preserve">INVOICE00041146 ORDGS037856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21.38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0.8</v>
      </c>
      <c r="BJ81">
        <v>1.7</v>
      </c>
      <c r="BK81">
        <v>2</v>
      </c>
      <c r="BL81">
        <v>69.98</v>
      </c>
      <c r="BM81">
        <v>10.5</v>
      </c>
      <c r="BN81">
        <v>80.48</v>
      </c>
      <c r="BO81">
        <v>80.48</v>
      </c>
      <c r="BQ81" t="s">
        <v>444</v>
      </c>
      <c r="BR81" t="s">
        <v>84</v>
      </c>
      <c r="BS81" s="3">
        <v>45967</v>
      </c>
      <c r="BT81" s="4">
        <v>0.43680555555555556</v>
      </c>
      <c r="BU81" t="s">
        <v>445</v>
      </c>
      <c r="BV81" t="s">
        <v>86</v>
      </c>
      <c r="BY81">
        <v>8448.2999999999993</v>
      </c>
      <c r="BZ81" t="s">
        <v>126</v>
      </c>
      <c r="CC81" t="s">
        <v>442</v>
      </c>
      <c r="CD81">
        <v>6529</v>
      </c>
      <c r="CE81" t="s">
        <v>446</v>
      </c>
      <c r="CF81" s="3">
        <v>45967</v>
      </c>
      <c r="CI81">
        <v>1</v>
      </c>
      <c r="CJ81">
        <v>1</v>
      </c>
      <c r="CK81">
        <v>21</v>
      </c>
      <c r="CL81" t="s">
        <v>89</v>
      </c>
    </row>
    <row r="82" spans="1:90" x14ac:dyDescent="0.3">
      <c r="A82" t="s">
        <v>72</v>
      </c>
      <c r="B82" t="s">
        <v>73</v>
      </c>
      <c r="C82" t="s">
        <v>74</v>
      </c>
      <c r="E82" t="str">
        <f>"GAB2029595"</f>
        <v>GAB2029595</v>
      </c>
      <c r="F82" s="3">
        <v>45966</v>
      </c>
      <c r="G82">
        <v>202608</v>
      </c>
      <c r="H82" t="s">
        <v>75</v>
      </c>
      <c r="I82" t="s">
        <v>76</v>
      </c>
      <c r="J82" t="s">
        <v>77</v>
      </c>
      <c r="K82" t="s">
        <v>78</v>
      </c>
      <c r="L82" t="s">
        <v>447</v>
      </c>
      <c r="M82" t="s">
        <v>448</v>
      </c>
      <c r="N82" t="s">
        <v>449</v>
      </c>
      <c r="O82" t="s">
        <v>124</v>
      </c>
      <c r="P82" t="str">
        <f>"INVOICE00122426 CT098077      "</f>
        <v xml:space="preserve">INVOICE00122426 CT098077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32.07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0.4</v>
      </c>
      <c r="BJ82">
        <v>2.8</v>
      </c>
      <c r="BK82">
        <v>3</v>
      </c>
      <c r="BL82">
        <v>104.95</v>
      </c>
      <c r="BM82">
        <v>15.74</v>
      </c>
      <c r="BN82">
        <v>120.69</v>
      </c>
      <c r="BO82">
        <v>120.69</v>
      </c>
      <c r="BR82" t="s">
        <v>84</v>
      </c>
      <c r="BS82" s="3">
        <v>45967</v>
      </c>
      <c r="BT82" s="4">
        <v>0.35555555555555557</v>
      </c>
      <c r="BU82" t="s">
        <v>450</v>
      </c>
      <c r="BV82" t="s">
        <v>86</v>
      </c>
      <c r="BY82">
        <v>14005.6</v>
      </c>
      <c r="BZ82" t="s">
        <v>126</v>
      </c>
      <c r="CA82" t="s">
        <v>451</v>
      </c>
      <c r="CC82" t="s">
        <v>448</v>
      </c>
      <c r="CD82">
        <v>1684</v>
      </c>
      <c r="CE82" t="s">
        <v>452</v>
      </c>
      <c r="CF82" s="3">
        <v>45968</v>
      </c>
      <c r="CI82">
        <v>1</v>
      </c>
      <c r="CJ82">
        <v>1</v>
      </c>
      <c r="CK82">
        <v>21</v>
      </c>
      <c r="CL82" t="s">
        <v>89</v>
      </c>
    </row>
    <row r="83" spans="1:90" x14ac:dyDescent="0.3">
      <c r="A83" t="s">
        <v>72</v>
      </c>
      <c r="B83" t="s">
        <v>73</v>
      </c>
      <c r="C83" t="s">
        <v>74</v>
      </c>
      <c r="E83" t="str">
        <f>"GAB2029596"</f>
        <v>GAB2029596</v>
      </c>
      <c r="F83" s="3">
        <v>45966</v>
      </c>
      <c r="G83">
        <v>202608</v>
      </c>
      <c r="H83" t="s">
        <v>75</v>
      </c>
      <c r="I83" t="s">
        <v>76</v>
      </c>
      <c r="J83" t="s">
        <v>77</v>
      </c>
      <c r="K83" t="s">
        <v>78</v>
      </c>
      <c r="L83" t="s">
        <v>230</v>
      </c>
      <c r="M83" t="s">
        <v>231</v>
      </c>
      <c r="N83" t="s">
        <v>453</v>
      </c>
      <c r="O83" t="s">
        <v>124</v>
      </c>
      <c r="P83" t="str">
        <f>"INVOICE00041150 037875        "</f>
        <v xml:space="preserve">INVOICE00041150 037875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26.73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0.2</v>
      </c>
      <c r="BJ83">
        <v>2.2999999999999998</v>
      </c>
      <c r="BK83">
        <v>2.5</v>
      </c>
      <c r="BL83">
        <v>87.47</v>
      </c>
      <c r="BM83">
        <v>13.12</v>
      </c>
      <c r="BN83">
        <v>100.59</v>
      </c>
      <c r="BO83">
        <v>100.59</v>
      </c>
      <c r="BQ83" t="s">
        <v>380</v>
      </c>
      <c r="BR83" t="s">
        <v>84</v>
      </c>
      <c r="BS83" s="3">
        <v>45967</v>
      </c>
      <c r="BT83" s="4">
        <v>0.3263888888888889</v>
      </c>
      <c r="BU83" t="s">
        <v>454</v>
      </c>
      <c r="BV83" t="s">
        <v>86</v>
      </c>
      <c r="BY83">
        <v>11604.25</v>
      </c>
      <c r="BZ83" t="s">
        <v>126</v>
      </c>
      <c r="CA83">
        <v>8502185928089</v>
      </c>
      <c r="CC83" t="s">
        <v>231</v>
      </c>
      <c r="CD83" s="5" t="s">
        <v>455</v>
      </c>
      <c r="CE83" t="s">
        <v>456</v>
      </c>
      <c r="CF83" s="3">
        <v>45967</v>
      </c>
      <c r="CI83">
        <v>1</v>
      </c>
      <c r="CJ83">
        <v>1</v>
      </c>
      <c r="CK83">
        <v>21</v>
      </c>
      <c r="CL83" t="s">
        <v>89</v>
      </c>
    </row>
    <row r="84" spans="1:90" x14ac:dyDescent="0.3">
      <c r="A84" t="s">
        <v>72</v>
      </c>
      <c r="B84" t="s">
        <v>73</v>
      </c>
      <c r="C84" t="s">
        <v>74</v>
      </c>
      <c r="E84" t="str">
        <f>"GAB2029597"</f>
        <v>GAB2029597</v>
      </c>
      <c r="F84" s="3">
        <v>45966</v>
      </c>
      <c r="G84">
        <v>202608</v>
      </c>
      <c r="H84" t="s">
        <v>75</v>
      </c>
      <c r="I84" t="s">
        <v>76</v>
      </c>
      <c r="J84" t="s">
        <v>77</v>
      </c>
      <c r="K84" t="s">
        <v>78</v>
      </c>
      <c r="L84" t="s">
        <v>75</v>
      </c>
      <c r="M84" t="s">
        <v>76</v>
      </c>
      <c r="N84" t="s">
        <v>457</v>
      </c>
      <c r="O84" t="s">
        <v>124</v>
      </c>
      <c r="P84" t="str">
        <f>"INVOICE00122453 CT098083      "</f>
        <v xml:space="preserve">INVOICE00122453 CT098083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16.7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0.8</v>
      </c>
      <c r="BJ84">
        <v>1.8</v>
      </c>
      <c r="BK84">
        <v>2</v>
      </c>
      <c r="BL84">
        <v>54.66</v>
      </c>
      <c r="BM84">
        <v>8.1999999999999993</v>
      </c>
      <c r="BN84">
        <v>62.86</v>
      </c>
      <c r="BO84">
        <v>62.86</v>
      </c>
      <c r="BQ84" t="s">
        <v>458</v>
      </c>
      <c r="BR84" t="s">
        <v>84</v>
      </c>
      <c r="BS84" s="3">
        <v>45967</v>
      </c>
      <c r="BT84" s="4">
        <v>0.52847222222222223</v>
      </c>
      <c r="BU84" t="s">
        <v>459</v>
      </c>
      <c r="BV84" t="s">
        <v>86</v>
      </c>
      <c r="BY84">
        <v>8754.57</v>
      </c>
      <c r="BZ84" t="s">
        <v>126</v>
      </c>
      <c r="CA84" t="s">
        <v>460</v>
      </c>
      <c r="CC84" t="s">
        <v>76</v>
      </c>
      <c r="CD84">
        <v>7806</v>
      </c>
      <c r="CE84" t="s">
        <v>461</v>
      </c>
      <c r="CF84" s="3">
        <v>45968</v>
      </c>
      <c r="CI84">
        <v>1</v>
      </c>
      <c r="CJ84">
        <v>1</v>
      </c>
      <c r="CK84">
        <v>22</v>
      </c>
      <c r="CL84" t="s">
        <v>89</v>
      </c>
    </row>
    <row r="85" spans="1:90" x14ac:dyDescent="0.3">
      <c r="A85" t="s">
        <v>72</v>
      </c>
      <c r="B85" t="s">
        <v>73</v>
      </c>
      <c r="C85" t="s">
        <v>74</v>
      </c>
      <c r="E85" t="str">
        <f>"GAB2029603"</f>
        <v>GAB2029603</v>
      </c>
      <c r="F85" s="3">
        <v>45966</v>
      </c>
      <c r="G85">
        <v>202608</v>
      </c>
      <c r="H85" t="s">
        <v>75</v>
      </c>
      <c r="I85" t="s">
        <v>76</v>
      </c>
      <c r="J85" t="s">
        <v>77</v>
      </c>
      <c r="K85" t="s">
        <v>78</v>
      </c>
      <c r="L85" t="s">
        <v>230</v>
      </c>
      <c r="M85" t="s">
        <v>231</v>
      </c>
      <c r="N85" t="s">
        <v>462</v>
      </c>
      <c r="O85" t="s">
        <v>124</v>
      </c>
      <c r="P85" t="str">
        <f>"INVOICE00122436 CT098074      "</f>
        <v xml:space="preserve">INVOICE00122436 CT098074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26.73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0.3</v>
      </c>
      <c r="BJ85">
        <v>2.4</v>
      </c>
      <c r="BK85">
        <v>2.5</v>
      </c>
      <c r="BL85">
        <v>87.47</v>
      </c>
      <c r="BM85">
        <v>13.12</v>
      </c>
      <c r="BN85">
        <v>100.59</v>
      </c>
      <c r="BO85">
        <v>100.59</v>
      </c>
      <c r="BQ85" t="s">
        <v>463</v>
      </c>
      <c r="BR85" t="s">
        <v>84</v>
      </c>
      <c r="BS85" s="3">
        <v>45967</v>
      </c>
      <c r="BT85" s="4">
        <v>0.30694444444444446</v>
      </c>
      <c r="BU85" t="s">
        <v>464</v>
      </c>
      <c r="BV85" t="s">
        <v>86</v>
      </c>
      <c r="BY85">
        <v>12147.52</v>
      </c>
      <c r="BZ85" t="s">
        <v>126</v>
      </c>
      <c r="CA85">
        <v>9107126013089</v>
      </c>
      <c r="CC85" t="s">
        <v>231</v>
      </c>
      <c r="CD85" s="5" t="s">
        <v>382</v>
      </c>
      <c r="CE85" t="s">
        <v>149</v>
      </c>
      <c r="CF85" s="3">
        <v>45967</v>
      </c>
      <c r="CI85">
        <v>1</v>
      </c>
      <c r="CJ85">
        <v>1</v>
      </c>
      <c r="CK85">
        <v>21</v>
      </c>
      <c r="CL85" t="s">
        <v>89</v>
      </c>
    </row>
    <row r="86" spans="1:90" x14ac:dyDescent="0.3">
      <c r="A86" t="s">
        <v>72</v>
      </c>
      <c r="B86" t="s">
        <v>73</v>
      </c>
      <c r="C86" t="s">
        <v>74</v>
      </c>
      <c r="E86" t="str">
        <f>"GAB2029604"</f>
        <v>GAB2029604</v>
      </c>
      <c r="F86" s="3">
        <v>45966</v>
      </c>
      <c r="G86">
        <v>202608</v>
      </c>
      <c r="H86" t="s">
        <v>75</v>
      </c>
      <c r="I86" t="s">
        <v>76</v>
      </c>
      <c r="J86" t="s">
        <v>77</v>
      </c>
      <c r="K86" t="s">
        <v>78</v>
      </c>
      <c r="L86" t="s">
        <v>465</v>
      </c>
      <c r="M86" t="s">
        <v>466</v>
      </c>
      <c r="N86" t="s">
        <v>467</v>
      </c>
      <c r="O86" t="s">
        <v>124</v>
      </c>
      <c r="P86" t="str">
        <f>"INVOICE00122432  00122437 CT09"</f>
        <v>INVOICE00122432  00122437 CT09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60.14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0.5</v>
      </c>
      <c r="BJ86">
        <v>2.6</v>
      </c>
      <c r="BK86">
        <v>3</v>
      </c>
      <c r="BL86">
        <v>196.82</v>
      </c>
      <c r="BM86">
        <v>29.52</v>
      </c>
      <c r="BN86">
        <v>226.34</v>
      </c>
      <c r="BO86">
        <v>226.34</v>
      </c>
      <c r="BQ86" t="s">
        <v>468</v>
      </c>
      <c r="BR86" t="s">
        <v>84</v>
      </c>
      <c r="BS86" s="3">
        <v>45967</v>
      </c>
      <c r="BT86" s="4">
        <v>0.39583333333333331</v>
      </c>
      <c r="BU86" t="s">
        <v>469</v>
      </c>
      <c r="BV86" t="s">
        <v>86</v>
      </c>
      <c r="BY86">
        <v>13139.28</v>
      </c>
      <c r="BZ86" t="s">
        <v>126</v>
      </c>
      <c r="CA86" t="s">
        <v>470</v>
      </c>
      <c r="CC86" t="s">
        <v>466</v>
      </c>
      <c r="CD86">
        <v>2515</v>
      </c>
      <c r="CE86" t="s">
        <v>452</v>
      </c>
      <c r="CF86" s="3">
        <v>45967</v>
      </c>
      <c r="CI86">
        <v>1</v>
      </c>
      <c r="CJ86">
        <v>1</v>
      </c>
      <c r="CK86">
        <v>23</v>
      </c>
      <c r="CL86" t="s">
        <v>89</v>
      </c>
    </row>
    <row r="87" spans="1:90" x14ac:dyDescent="0.3">
      <c r="A87" t="s">
        <v>72</v>
      </c>
      <c r="B87" t="s">
        <v>73</v>
      </c>
      <c r="C87" t="s">
        <v>74</v>
      </c>
      <c r="E87" t="str">
        <f>"GAB2029605"</f>
        <v>GAB2029605</v>
      </c>
      <c r="F87" s="3">
        <v>45966</v>
      </c>
      <c r="G87">
        <v>202608</v>
      </c>
      <c r="H87" t="s">
        <v>75</v>
      </c>
      <c r="I87" t="s">
        <v>76</v>
      </c>
      <c r="J87" t="s">
        <v>77</v>
      </c>
      <c r="K87" t="s">
        <v>78</v>
      </c>
      <c r="L87" t="s">
        <v>374</v>
      </c>
      <c r="M87" t="s">
        <v>375</v>
      </c>
      <c r="N87" t="s">
        <v>376</v>
      </c>
      <c r="O87" t="s">
        <v>124</v>
      </c>
      <c r="P87" t="str">
        <f>"INVOICE00122435 CT098076      "</f>
        <v xml:space="preserve">INVOICE00122435 CT098076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26.73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0.2</v>
      </c>
      <c r="BJ87">
        <v>2.2000000000000002</v>
      </c>
      <c r="BK87">
        <v>2.5</v>
      </c>
      <c r="BL87">
        <v>87.47</v>
      </c>
      <c r="BM87">
        <v>13.12</v>
      </c>
      <c r="BN87">
        <v>100.59</v>
      </c>
      <c r="BO87">
        <v>100.59</v>
      </c>
      <c r="BR87" t="s">
        <v>84</v>
      </c>
      <c r="BS87" s="3">
        <v>45967</v>
      </c>
      <c r="BT87" s="4">
        <v>0.375</v>
      </c>
      <c r="BU87" t="s">
        <v>377</v>
      </c>
      <c r="BV87" t="s">
        <v>86</v>
      </c>
      <c r="BY87">
        <v>11151.66</v>
      </c>
      <c r="BZ87" t="s">
        <v>126</v>
      </c>
      <c r="CA87" t="s">
        <v>378</v>
      </c>
      <c r="CC87" t="s">
        <v>375</v>
      </c>
      <c r="CD87">
        <v>2146</v>
      </c>
      <c r="CE87" t="s">
        <v>154</v>
      </c>
      <c r="CF87" s="3">
        <v>45967</v>
      </c>
      <c r="CI87">
        <v>1</v>
      </c>
      <c r="CJ87">
        <v>1</v>
      </c>
      <c r="CK87">
        <v>21</v>
      </c>
      <c r="CL87" t="s">
        <v>89</v>
      </c>
    </row>
    <row r="88" spans="1:90" x14ac:dyDescent="0.3">
      <c r="A88" t="s">
        <v>72</v>
      </c>
      <c r="B88" t="s">
        <v>73</v>
      </c>
      <c r="C88" t="s">
        <v>74</v>
      </c>
      <c r="E88" t="str">
        <f>"GAB2029607"</f>
        <v>GAB2029607</v>
      </c>
      <c r="F88" s="3">
        <v>45966</v>
      </c>
      <c r="G88">
        <v>202608</v>
      </c>
      <c r="H88" t="s">
        <v>75</v>
      </c>
      <c r="I88" t="s">
        <v>76</v>
      </c>
      <c r="J88" t="s">
        <v>77</v>
      </c>
      <c r="K88" t="s">
        <v>78</v>
      </c>
      <c r="L88" t="s">
        <v>224</v>
      </c>
      <c r="M88" t="s">
        <v>225</v>
      </c>
      <c r="N88" t="s">
        <v>226</v>
      </c>
      <c r="O88" t="s">
        <v>124</v>
      </c>
      <c r="P88" t="str">
        <f>"INVOICE00122449 CT098082      "</f>
        <v xml:space="preserve">INVOICE00122449 CT098082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50.78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0.5</v>
      </c>
      <c r="BJ88">
        <v>2.2000000000000002</v>
      </c>
      <c r="BK88">
        <v>2.5</v>
      </c>
      <c r="BL88">
        <v>166.2</v>
      </c>
      <c r="BM88">
        <v>24.93</v>
      </c>
      <c r="BN88">
        <v>191.13</v>
      </c>
      <c r="BO88">
        <v>191.13</v>
      </c>
      <c r="BQ88" t="s">
        <v>471</v>
      </c>
      <c r="BR88" t="s">
        <v>84</v>
      </c>
      <c r="BS88" s="3">
        <v>45968</v>
      </c>
      <c r="BT88" s="4">
        <v>0.43194444444444446</v>
      </c>
      <c r="BU88" t="s">
        <v>472</v>
      </c>
      <c r="BV88" t="s">
        <v>86</v>
      </c>
      <c r="BY88">
        <v>11168.63</v>
      </c>
      <c r="BZ88" t="s">
        <v>126</v>
      </c>
      <c r="CA88" t="s">
        <v>229</v>
      </c>
      <c r="CC88" t="s">
        <v>225</v>
      </c>
      <c r="CD88">
        <v>9700</v>
      </c>
      <c r="CE88" t="s">
        <v>452</v>
      </c>
      <c r="CF88" s="3">
        <v>45971</v>
      </c>
      <c r="CI88">
        <v>2</v>
      </c>
      <c r="CJ88">
        <v>2</v>
      </c>
      <c r="CK88">
        <v>23</v>
      </c>
      <c r="CL88" t="s">
        <v>89</v>
      </c>
    </row>
    <row r="89" spans="1:90" x14ac:dyDescent="0.3">
      <c r="A89" t="s">
        <v>72</v>
      </c>
      <c r="B89" t="s">
        <v>73</v>
      </c>
      <c r="C89" t="s">
        <v>74</v>
      </c>
      <c r="E89" t="str">
        <f>"GAB2029608"</f>
        <v>GAB2029608</v>
      </c>
      <c r="F89" s="3">
        <v>45966</v>
      </c>
      <c r="G89">
        <v>202608</v>
      </c>
      <c r="H89" t="s">
        <v>75</v>
      </c>
      <c r="I89" t="s">
        <v>76</v>
      </c>
      <c r="J89" t="s">
        <v>77</v>
      </c>
      <c r="K89" t="s">
        <v>78</v>
      </c>
      <c r="L89" t="s">
        <v>230</v>
      </c>
      <c r="M89" t="s">
        <v>231</v>
      </c>
      <c r="N89" t="s">
        <v>473</v>
      </c>
      <c r="O89" t="s">
        <v>124</v>
      </c>
      <c r="P89" t="str">
        <f>"INVOICE00122451 CT098084      "</f>
        <v xml:space="preserve">INVOICE00122451 CT098084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69.459999999999994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2.2999999999999998</v>
      </c>
      <c r="BJ89">
        <v>6.1</v>
      </c>
      <c r="BK89">
        <v>6.5</v>
      </c>
      <c r="BL89">
        <v>227.32</v>
      </c>
      <c r="BM89">
        <v>34.1</v>
      </c>
      <c r="BN89">
        <v>261.42</v>
      </c>
      <c r="BO89">
        <v>261.42</v>
      </c>
      <c r="BQ89" t="s">
        <v>474</v>
      </c>
      <c r="BR89" t="s">
        <v>84</v>
      </c>
      <c r="BS89" s="3">
        <v>45967</v>
      </c>
      <c r="BT89" s="4">
        <v>0.42499999999999999</v>
      </c>
      <c r="BU89" t="s">
        <v>475</v>
      </c>
      <c r="BV89" t="s">
        <v>86</v>
      </c>
      <c r="BY89">
        <v>30346.47</v>
      </c>
      <c r="BZ89" t="s">
        <v>126</v>
      </c>
      <c r="CA89">
        <v>9208135296085</v>
      </c>
      <c r="CC89" t="s">
        <v>231</v>
      </c>
      <c r="CD89" s="5" t="s">
        <v>476</v>
      </c>
      <c r="CE89" t="s">
        <v>477</v>
      </c>
      <c r="CF89" s="3">
        <v>45967</v>
      </c>
      <c r="CI89">
        <v>1</v>
      </c>
      <c r="CJ89">
        <v>1</v>
      </c>
      <c r="CK89">
        <v>21</v>
      </c>
      <c r="CL89" t="s">
        <v>89</v>
      </c>
    </row>
    <row r="90" spans="1:90" x14ac:dyDescent="0.3">
      <c r="A90" t="s">
        <v>72</v>
      </c>
      <c r="B90" t="s">
        <v>73</v>
      </c>
      <c r="C90" t="s">
        <v>74</v>
      </c>
      <c r="E90" t="str">
        <f>"GAB2029609"</f>
        <v>GAB2029609</v>
      </c>
      <c r="F90" s="3">
        <v>45966</v>
      </c>
      <c r="G90">
        <v>202608</v>
      </c>
      <c r="H90" t="s">
        <v>75</v>
      </c>
      <c r="I90" t="s">
        <v>76</v>
      </c>
      <c r="J90" t="s">
        <v>77</v>
      </c>
      <c r="K90" t="s">
        <v>78</v>
      </c>
      <c r="L90" t="s">
        <v>447</v>
      </c>
      <c r="M90" t="s">
        <v>448</v>
      </c>
      <c r="N90" t="s">
        <v>478</v>
      </c>
      <c r="O90" t="s">
        <v>124</v>
      </c>
      <c r="P90" t="str">
        <f>"INVOICE00122457 CT098087      "</f>
        <v xml:space="preserve">INVOICE00122457 CT098087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26.73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0.2</v>
      </c>
      <c r="BJ90">
        <v>2.1</v>
      </c>
      <c r="BK90">
        <v>2.5</v>
      </c>
      <c r="BL90">
        <v>87.47</v>
      </c>
      <c r="BM90">
        <v>13.12</v>
      </c>
      <c r="BN90">
        <v>100.59</v>
      </c>
      <c r="BO90">
        <v>100.59</v>
      </c>
      <c r="BR90" t="s">
        <v>84</v>
      </c>
      <c r="BS90" s="3">
        <v>45967</v>
      </c>
      <c r="BT90" s="4">
        <v>0.4201388888888889</v>
      </c>
      <c r="BU90" t="s">
        <v>479</v>
      </c>
      <c r="BV90" t="s">
        <v>86</v>
      </c>
      <c r="BY90">
        <v>10507.8</v>
      </c>
      <c r="BZ90" t="s">
        <v>126</v>
      </c>
      <c r="CA90" t="s">
        <v>480</v>
      </c>
      <c r="CC90" t="s">
        <v>448</v>
      </c>
      <c r="CD90">
        <v>1682</v>
      </c>
      <c r="CE90" t="s">
        <v>128</v>
      </c>
      <c r="CF90" s="3">
        <v>45967</v>
      </c>
      <c r="CI90">
        <v>1</v>
      </c>
      <c r="CJ90">
        <v>1</v>
      </c>
      <c r="CK90">
        <v>21</v>
      </c>
      <c r="CL90" t="s">
        <v>89</v>
      </c>
    </row>
    <row r="91" spans="1:90" x14ac:dyDescent="0.3">
      <c r="A91" t="s">
        <v>72</v>
      </c>
      <c r="B91" t="s">
        <v>73</v>
      </c>
      <c r="C91" t="s">
        <v>74</v>
      </c>
      <c r="E91" t="str">
        <f>"GAB2029610"</f>
        <v>GAB2029610</v>
      </c>
      <c r="F91" s="3">
        <v>45966</v>
      </c>
      <c r="G91">
        <v>202608</v>
      </c>
      <c r="H91" t="s">
        <v>75</v>
      </c>
      <c r="I91" t="s">
        <v>76</v>
      </c>
      <c r="J91" t="s">
        <v>77</v>
      </c>
      <c r="K91" t="s">
        <v>78</v>
      </c>
      <c r="L91" t="s">
        <v>75</v>
      </c>
      <c r="M91" t="s">
        <v>76</v>
      </c>
      <c r="N91" t="s">
        <v>481</v>
      </c>
      <c r="O91" t="s">
        <v>124</v>
      </c>
      <c r="P91" t="str">
        <f>"INVOICE00122444   00122434 CT0"</f>
        <v>INVOICE00122444   00122434 CT0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16.7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2.5</v>
      </c>
      <c r="BK91">
        <v>3</v>
      </c>
      <c r="BL91">
        <v>54.66</v>
      </c>
      <c r="BM91">
        <v>8.1999999999999993</v>
      </c>
      <c r="BN91">
        <v>62.86</v>
      </c>
      <c r="BO91">
        <v>62.86</v>
      </c>
      <c r="BQ91" t="s">
        <v>482</v>
      </c>
      <c r="BR91" t="s">
        <v>84</v>
      </c>
      <c r="BS91" s="3">
        <v>45967</v>
      </c>
      <c r="BT91" s="4">
        <v>0.37847222222222221</v>
      </c>
      <c r="BU91" t="s">
        <v>483</v>
      </c>
      <c r="BV91" t="s">
        <v>86</v>
      </c>
      <c r="BY91">
        <v>12620.1</v>
      </c>
      <c r="BZ91" t="s">
        <v>126</v>
      </c>
      <c r="CA91" t="s">
        <v>484</v>
      </c>
      <c r="CC91" t="s">
        <v>76</v>
      </c>
      <c r="CD91">
        <v>7441</v>
      </c>
      <c r="CE91" t="s">
        <v>485</v>
      </c>
      <c r="CF91" s="3">
        <v>45968</v>
      </c>
      <c r="CI91">
        <v>1</v>
      </c>
      <c r="CJ91">
        <v>1</v>
      </c>
      <c r="CK91">
        <v>22</v>
      </c>
      <c r="CL91" t="s">
        <v>89</v>
      </c>
    </row>
    <row r="92" spans="1:90" x14ac:dyDescent="0.3">
      <c r="A92" t="s">
        <v>72</v>
      </c>
      <c r="B92" t="s">
        <v>73</v>
      </c>
      <c r="C92" t="s">
        <v>74</v>
      </c>
      <c r="E92" t="str">
        <f>"GAB2029611"</f>
        <v>GAB2029611</v>
      </c>
      <c r="F92" s="3">
        <v>45966</v>
      </c>
      <c r="G92">
        <v>202608</v>
      </c>
      <c r="H92" t="s">
        <v>75</v>
      </c>
      <c r="I92" t="s">
        <v>76</v>
      </c>
      <c r="J92" t="s">
        <v>77</v>
      </c>
      <c r="K92" t="s">
        <v>78</v>
      </c>
      <c r="L92" t="s">
        <v>486</v>
      </c>
      <c r="M92" t="s">
        <v>487</v>
      </c>
      <c r="N92" t="s">
        <v>488</v>
      </c>
      <c r="O92" t="s">
        <v>124</v>
      </c>
      <c r="P92" t="str">
        <f>"INVOICE00122418   00122419   0"</f>
        <v>INVOICE00122418   00122419   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172.39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2</v>
      </c>
      <c r="BI92">
        <v>3.8</v>
      </c>
      <c r="BJ92">
        <v>8.6999999999999993</v>
      </c>
      <c r="BK92">
        <v>9</v>
      </c>
      <c r="BL92">
        <v>564.19000000000005</v>
      </c>
      <c r="BM92">
        <v>84.63</v>
      </c>
      <c r="BN92">
        <v>648.82000000000005</v>
      </c>
      <c r="BO92">
        <v>648.82000000000005</v>
      </c>
      <c r="BQ92" t="s">
        <v>185</v>
      </c>
      <c r="BR92" t="s">
        <v>84</v>
      </c>
      <c r="BS92" s="3">
        <v>45967</v>
      </c>
      <c r="BT92" s="4">
        <v>0.43055555555555558</v>
      </c>
      <c r="BU92" t="s">
        <v>489</v>
      </c>
      <c r="BV92" t="s">
        <v>86</v>
      </c>
      <c r="BY92">
        <v>43564.77</v>
      </c>
      <c r="BZ92" t="s">
        <v>126</v>
      </c>
      <c r="CA92" t="s">
        <v>490</v>
      </c>
      <c r="CC92" t="s">
        <v>487</v>
      </c>
      <c r="CD92">
        <v>9431</v>
      </c>
      <c r="CE92" t="s">
        <v>491</v>
      </c>
      <c r="CF92" s="3">
        <v>45967</v>
      </c>
      <c r="CI92">
        <v>2</v>
      </c>
      <c r="CJ92">
        <v>1</v>
      </c>
      <c r="CK92">
        <v>23</v>
      </c>
      <c r="CL92" t="s">
        <v>89</v>
      </c>
    </row>
    <row r="93" spans="1:90" x14ac:dyDescent="0.3">
      <c r="A93" t="s">
        <v>72</v>
      </c>
      <c r="B93" t="s">
        <v>73</v>
      </c>
      <c r="C93" t="s">
        <v>74</v>
      </c>
      <c r="E93" t="str">
        <f>"GAB2029612"</f>
        <v>GAB2029612</v>
      </c>
      <c r="F93" s="3">
        <v>45966</v>
      </c>
      <c r="G93">
        <v>202608</v>
      </c>
      <c r="H93" t="s">
        <v>75</v>
      </c>
      <c r="I93" t="s">
        <v>76</v>
      </c>
      <c r="J93" t="s">
        <v>77</v>
      </c>
      <c r="K93" t="s">
        <v>78</v>
      </c>
      <c r="L93" t="s">
        <v>79</v>
      </c>
      <c r="M93" t="s">
        <v>80</v>
      </c>
      <c r="N93" t="s">
        <v>236</v>
      </c>
      <c r="O93" t="s">
        <v>124</v>
      </c>
      <c r="P93" t="str">
        <f>"ATT MONIQUE                   "</f>
        <v xml:space="preserve">ATT MONIQUE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26.73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0.2</v>
      </c>
      <c r="BJ93">
        <v>2.1</v>
      </c>
      <c r="BK93">
        <v>2.5</v>
      </c>
      <c r="BL93">
        <v>87.47</v>
      </c>
      <c r="BM93">
        <v>13.12</v>
      </c>
      <c r="BN93">
        <v>100.59</v>
      </c>
      <c r="BO93">
        <v>100.59</v>
      </c>
      <c r="BR93" t="s">
        <v>84</v>
      </c>
      <c r="BS93" s="3">
        <v>45967</v>
      </c>
      <c r="BT93" s="4">
        <v>0.37291666666666667</v>
      </c>
      <c r="BU93" t="s">
        <v>492</v>
      </c>
      <c r="BV93" t="s">
        <v>86</v>
      </c>
      <c r="BY93">
        <v>10621.6</v>
      </c>
      <c r="BZ93" t="s">
        <v>126</v>
      </c>
      <c r="CA93">
        <v>8909235965088</v>
      </c>
      <c r="CC93" t="s">
        <v>80</v>
      </c>
      <c r="CD93" s="5" t="s">
        <v>87</v>
      </c>
      <c r="CE93" t="s">
        <v>493</v>
      </c>
      <c r="CF93" s="3">
        <v>45967</v>
      </c>
      <c r="CI93">
        <v>1</v>
      </c>
      <c r="CJ93">
        <v>1</v>
      </c>
      <c r="CK93">
        <v>21</v>
      </c>
      <c r="CL93" t="s">
        <v>89</v>
      </c>
    </row>
    <row r="94" spans="1:90" x14ac:dyDescent="0.3">
      <c r="A94" t="s">
        <v>72</v>
      </c>
      <c r="B94" t="s">
        <v>73</v>
      </c>
      <c r="C94" t="s">
        <v>74</v>
      </c>
      <c r="E94" t="str">
        <f>"GAB2029614"</f>
        <v>GAB2029614</v>
      </c>
      <c r="F94" s="3">
        <v>45966</v>
      </c>
      <c r="G94">
        <v>202608</v>
      </c>
      <c r="H94" t="s">
        <v>75</v>
      </c>
      <c r="I94" t="s">
        <v>76</v>
      </c>
      <c r="J94" t="s">
        <v>77</v>
      </c>
      <c r="K94" t="s">
        <v>78</v>
      </c>
      <c r="L94" t="s">
        <v>494</v>
      </c>
      <c r="M94" t="s">
        <v>495</v>
      </c>
      <c r="N94" t="s">
        <v>496</v>
      </c>
      <c r="O94" t="s">
        <v>124</v>
      </c>
      <c r="P94" t="str">
        <f>"INVOICE00122420 00122421 00122"</f>
        <v>INVOICE00122420 00122421 00122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294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16.739999999999998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2</v>
      </c>
      <c r="BI94">
        <v>8.1</v>
      </c>
      <c r="BJ94">
        <v>15.1</v>
      </c>
      <c r="BK94">
        <v>15.5</v>
      </c>
      <c r="BL94">
        <v>978.92</v>
      </c>
      <c r="BM94">
        <v>146.84</v>
      </c>
      <c r="BN94">
        <v>1125.76</v>
      </c>
      <c r="BO94">
        <v>1125.76</v>
      </c>
      <c r="BQ94" t="s">
        <v>185</v>
      </c>
      <c r="BR94" t="s">
        <v>84</v>
      </c>
      <c r="BS94" s="3">
        <v>45967</v>
      </c>
      <c r="BT94" s="4">
        <v>0.55555555555555558</v>
      </c>
      <c r="BU94" t="s">
        <v>497</v>
      </c>
      <c r="BV94" t="s">
        <v>86</v>
      </c>
      <c r="BY94">
        <v>75370.13</v>
      </c>
      <c r="BZ94" t="s">
        <v>180</v>
      </c>
      <c r="CC94" t="s">
        <v>495</v>
      </c>
      <c r="CD94">
        <v>9781</v>
      </c>
      <c r="CE94" t="s">
        <v>498</v>
      </c>
      <c r="CF94" s="3">
        <v>45968</v>
      </c>
      <c r="CI94">
        <v>2</v>
      </c>
      <c r="CJ94">
        <v>1</v>
      </c>
      <c r="CK94">
        <v>23</v>
      </c>
      <c r="CL94" t="s">
        <v>89</v>
      </c>
    </row>
    <row r="95" spans="1:90" x14ac:dyDescent="0.3">
      <c r="A95" t="s">
        <v>72</v>
      </c>
      <c r="B95" t="s">
        <v>73</v>
      </c>
      <c r="C95" t="s">
        <v>74</v>
      </c>
      <c r="E95" t="str">
        <f>"GAB2029615"</f>
        <v>GAB2029615</v>
      </c>
      <c r="F95" s="3">
        <v>45966</v>
      </c>
      <c r="G95">
        <v>202608</v>
      </c>
      <c r="H95" t="s">
        <v>75</v>
      </c>
      <c r="I95" t="s">
        <v>76</v>
      </c>
      <c r="J95" t="s">
        <v>77</v>
      </c>
      <c r="K95" t="s">
        <v>78</v>
      </c>
      <c r="L95" t="s">
        <v>75</v>
      </c>
      <c r="M95" t="s">
        <v>76</v>
      </c>
      <c r="N95" t="s">
        <v>499</v>
      </c>
      <c r="O95" t="s">
        <v>124</v>
      </c>
      <c r="P95" t="str">
        <f>"INVOICE00041143 ORDGS037831   "</f>
        <v xml:space="preserve">INVOICE00041143 ORDGS037831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16.7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0.3</v>
      </c>
      <c r="BJ95">
        <v>2</v>
      </c>
      <c r="BK95">
        <v>2</v>
      </c>
      <c r="BL95">
        <v>54.66</v>
      </c>
      <c r="BM95">
        <v>8.1999999999999993</v>
      </c>
      <c r="BN95">
        <v>62.86</v>
      </c>
      <c r="BO95">
        <v>62.86</v>
      </c>
      <c r="BQ95" t="s">
        <v>118</v>
      </c>
      <c r="BR95" t="s">
        <v>84</v>
      </c>
      <c r="BS95" s="3">
        <v>45967</v>
      </c>
      <c r="BT95" s="4">
        <v>0.40902777777777777</v>
      </c>
      <c r="BU95" t="s">
        <v>500</v>
      </c>
      <c r="BV95" t="s">
        <v>86</v>
      </c>
      <c r="BY95">
        <v>9911.85</v>
      </c>
      <c r="BZ95" t="s">
        <v>126</v>
      </c>
      <c r="CA95" t="s">
        <v>501</v>
      </c>
      <c r="CC95" t="s">
        <v>76</v>
      </c>
      <c r="CD95">
        <v>7441</v>
      </c>
      <c r="CE95" t="s">
        <v>128</v>
      </c>
      <c r="CF95" s="3">
        <v>45968</v>
      </c>
      <c r="CI95">
        <v>1</v>
      </c>
      <c r="CJ95">
        <v>1</v>
      </c>
      <c r="CK95">
        <v>22</v>
      </c>
      <c r="CL95" t="s">
        <v>89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"009945158479"</f>
        <v>009945158479</v>
      </c>
      <c r="F96" s="3">
        <v>45966</v>
      </c>
      <c r="G96">
        <v>202608</v>
      </c>
      <c r="H96" t="s">
        <v>230</v>
      </c>
      <c r="I96" t="s">
        <v>231</v>
      </c>
      <c r="J96" t="s">
        <v>236</v>
      </c>
      <c r="K96" t="s">
        <v>78</v>
      </c>
      <c r="L96" t="s">
        <v>246</v>
      </c>
      <c r="M96" t="s">
        <v>247</v>
      </c>
      <c r="N96" t="s">
        <v>236</v>
      </c>
      <c r="O96" t="s">
        <v>82</v>
      </c>
      <c r="P96" t="str">
        <f>"NO REF                        "</f>
        <v xml:space="preserve">NO REF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5.87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53.3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3</v>
      </c>
      <c r="BJ96">
        <v>21.6</v>
      </c>
      <c r="BK96">
        <v>22</v>
      </c>
      <c r="BL96">
        <v>180.31</v>
      </c>
      <c r="BM96">
        <v>27.05</v>
      </c>
      <c r="BN96">
        <v>207.36</v>
      </c>
      <c r="BO96">
        <v>207.36</v>
      </c>
      <c r="BQ96" t="s">
        <v>502</v>
      </c>
      <c r="BR96" t="s">
        <v>503</v>
      </c>
      <c r="BS96" s="3">
        <v>45968</v>
      </c>
      <c r="BT96" s="4">
        <v>0.54166666666666663</v>
      </c>
      <c r="BU96" t="s">
        <v>504</v>
      </c>
      <c r="BV96" t="s">
        <v>89</v>
      </c>
      <c r="BY96">
        <v>108000</v>
      </c>
      <c r="BZ96" t="s">
        <v>505</v>
      </c>
      <c r="CC96" t="s">
        <v>247</v>
      </c>
      <c r="CD96">
        <v>9301</v>
      </c>
      <c r="CE96" t="s">
        <v>245</v>
      </c>
      <c r="CF96" s="3">
        <v>45971</v>
      </c>
      <c r="CI96">
        <v>1</v>
      </c>
      <c r="CJ96">
        <v>2</v>
      </c>
      <c r="CK96">
        <v>41</v>
      </c>
      <c r="CL96" t="s">
        <v>89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"009945158480"</f>
        <v>009945158480</v>
      </c>
      <c r="F97" s="3">
        <v>45966</v>
      </c>
      <c r="G97">
        <v>202608</v>
      </c>
      <c r="H97" t="s">
        <v>230</v>
      </c>
      <c r="I97" t="s">
        <v>231</v>
      </c>
      <c r="J97" t="s">
        <v>236</v>
      </c>
      <c r="K97" t="s">
        <v>78</v>
      </c>
      <c r="L97" t="s">
        <v>75</v>
      </c>
      <c r="M97" t="s">
        <v>76</v>
      </c>
      <c r="N97" t="s">
        <v>236</v>
      </c>
      <c r="O97" t="s">
        <v>124</v>
      </c>
      <c r="P97" t="str">
        <f>"NO REF                        "</f>
        <v xml:space="preserve">NO REF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21.38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0.2</v>
      </c>
      <c r="BK97">
        <v>1</v>
      </c>
      <c r="BL97">
        <v>69.98</v>
      </c>
      <c r="BM97">
        <v>10.5</v>
      </c>
      <c r="BN97">
        <v>80.48</v>
      </c>
      <c r="BO97">
        <v>80.48</v>
      </c>
      <c r="BQ97" t="s">
        <v>506</v>
      </c>
      <c r="BR97" t="s">
        <v>241</v>
      </c>
      <c r="BS97" s="3">
        <v>45967</v>
      </c>
      <c r="BT97" s="4">
        <v>0.4826388888888889</v>
      </c>
      <c r="BU97" t="s">
        <v>507</v>
      </c>
      <c r="BV97" t="s">
        <v>89</v>
      </c>
      <c r="BY97">
        <v>1200</v>
      </c>
      <c r="BZ97" t="s">
        <v>126</v>
      </c>
      <c r="CA97" t="s">
        <v>508</v>
      </c>
      <c r="CC97" t="s">
        <v>76</v>
      </c>
      <c r="CD97">
        <v>7460</v>
      </c>
      <c r="CE97" t="s">
        <v>245</v>
      </c>
      <c r="CF97" s="3">
        <v>45968</v>
      </c>
      <c r="CI97">
        <v>1</v>
      </c>
      <c r="CJ97">
        <v>1</v>
      </c>
      <c r="CK97">
        <v>21</v>
      </c>
      <c r="CL97" t="s">
        <v>89</v>
      </c>
    </row>
    <row r="98" spans="1:90" x14ac:dyDescent="0.3">
      <c r="A98" t="s">
        <v>72</v>
      </c>
      <c r="B98" t="s">
        <v>73</v>
      </c>
      <c r="C98" t="s">
        <v>74</v>
      </c>
      <c r="E98" t="str">
        <f>"GAB2029620"</f>
        <v>GAB2029620</v>
      </c>
      <c r="F98" s="3">
        <v>45967</v>
      </c>
      <c r="G98">
        <v>202608</v>
      </c>
      <c r="H98" t="s">
        <v>75</v>
      </c>
      <c r="I98" t="s">
        <v>76</v>
      </c>
      <c r="J98" t="s">
        <v>77</v>
      </c>
      <c r="K98" t="s">
        <v>78</v>
      </c>
      <c r="L98" t="s">
        <v>79</v>
      </c>
      <c r="M98" t="s">
        <v>80</v>
      </c>
      <c r="N98" t="s">
        <v>236</v>
      </c>
      <c r="O98" t="s">
        <v>82</v>
      </c>
      <c r="P98" t="str">
        <f>"INVOICE00122446 CT097794      "</f>
        <v xml:space="preserve">INVOICE00122446 CT097794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41.35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7.9</v>
      </c>
      <c r="BJ98">
        <v>2.4</v>
      </c>
      <c r="BK98">
        <v>8</v>
      </c>
      <c r="BL98">
        <v>141.19999999999999</v>
      </c>
      <c r="BM98">
        <v>21.18</v>
      </c>
      <c r="BN98">
        <v>162.38</v>
      </c>
      <c r="BO98">
        <v>162.38</v>
      </c>
      <c r="BQ98" t="s">
        <v>322</v>
      </c>
      <c r="BR98" t="s">
        <v>84</v>
      </c>
      <c r="BS98" s="3">
        <v>45971</v>
      </c>
      <c r="BT98" s="4">
        <v>0.34791666666666665</v>
      </c>
      <c r="BU98" t="s">
        <v>322</v>
      </c>
      <c r="BV98" t="s">
        <v>86</v>
      </c>
      <c r="BY98">
        <v>11788.53</v>
      </c>
      <c r="CC98" t="s">
        <v>80</v>
      </c>
      <c r="CD98" s="5" t="s">
        <v>87</v>
      </c>
      <c r="CE98" t="s">
        <v>298</v>
      </c>
      <c r="CF98" s="3">
        <v>45971</v>
      </c>
      <c r="CI98">
        <v>3</v>
      </c>
      <c r="CJ98">
        <v>2</v>
      </c>
      <c r="CK98">
        <v>41</v>
      </c>
      <c r="CL98" t="s">
        <v>89</v>
      </c>
    </row>
    <row r="99" spans="1:90" x14ac:dyDescent="0.3">
      <c r="A99" t="s">
        <v>72</v>
      </c>
      <c r="B99" t="s">
        <v>73</v>
      </c>
      <c r="C99" t="s">
        <v>74</v>
      </c>
      <c r="E99" t="str">
        <f>"GAB2029621"</f>
        <v>GAB2029621</v>
      </c>
      <c r="F99" s="3">
        <v>45967</v>
      </c>
      <c r="G99">
        <v>202608</v>
      </c>
      <c r="H99" t="s">
        <v>75</v>
      </c>
      <c r="I99" t="s">
        <v>76</v>
      </c>
      <c r="J99" t="s">
        <v>77</v>
      </c>
      <c r="K99" t="s">
        <v>78</v>
      </c>
      <c r="L99" t="s">
        <v>509</v>
      </c>
      <c r="M99" t="s">
        <v>510</v>
      </c>
      <c r="N99" t="s">
        <v>511</v>
      </c>
      <c r="O99" t="s">
        <v>82</v>
      </c>
      <c r="P99" t="str">
        <f>"INVOICE00122447 CT097893      "</f>
        <v xml:space="preserve">INVOICE00122447 CT097893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5.87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43.06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2</v>
      </c>
      <c r="BI99">
        <v>7.5</v>
      </c>
      <c r="BJ99">
        <v>15.3</v>
      </c>
      <c r="BK99">
        <v>16</v>
      </c>
      <c r="BL99">
        <v>146.79</v>
      </c>
      <c r="BM99">
        <v>22.02</v>
      </c>
      <c r="BN99">
        <v>168.81</v>
      </c>
      <c r="BO99">
        <v>168.81</v>
      </c>
      <c r="BR99" t="s">
        <v>84</v>
      </c>
      <c r="BS99" s="3">
        <v>45971</v>
      </c>
      <c r="BT99" s="4">
        <v>0.48333333333333334</v>
      </c>
      <c r="BU99" t="s">
        <v>512</v>
      </c>
      <c r="BV99" t="s">
        <v>86</v>
      </c>
      <c r="BY99">
        <v>76369.179999999993</v>
      </c>
      <c r="CA99" t="s">
        <v>513</v>
      </c>
      <c r="CC99" t="s">
        <v>510</v>
      </c>
      <c r="CD99">
        <v>1619</v>
      </c>
      <c r="CE99" t="s">
        <v>298</v>
      </c>
      <c r="CF99" s="3">
        <v>45972</v>
      </c>
      <c r="CI99">
        <v>2</v>
      </c>
      <c r="CJ99">
        <v>2</v>
      </c>
      <c r="CK99">
        <v>41</v>
      </c>
      <c r="CL99" t="s">
        <v>89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"GAB2029624"</f>
        <v>GAB2029624</v>
      </c>
      <c r="F100" s="3">
        <v>45967</v>
      </c>
      <c r="G100">
        <v>202608</v>
      </c>
      <c r="H100" t="s">
        <v>75</v>
      </c>
      <c r="I100" t="s">
        <v>76</v>
      </c>
      <c r="J100" t="s">
        <v>77</v>
      </c>
      <c r="K100" t="s">
        <v>78</v>
      </c>
      <c r="L100" t="s">
        <v>109</v>
      </c>
      <c r="M100" t="s">
        <v>110</v>
      </c>
      <c r="N100" t="s">
        <v>111</v>
      </c>
      <c r="O100" t="s">
        <v>82</v>
      </c>
      <c r="P100" t="str">
        <f>"INVOICE00122433 CT097999      "</f>
        <v xml:space="preserve">INVOICE00122433 CT097999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5.87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41.35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4.7</v>
      </c>
      <c r="BJ100">
        <v>13.8</v>
      </c>
      <c r="BK100">
        <v>14</v>
      </c>
      <c r="BL100">
        <v>141.19999999999999</v>
      </c>
      <c r="BM100">
        <v>21.18</v>
      </c>
      <c r="BN100">
        <v>162.38</v>
      </c>
      <c r="BO100">
        <v>162.38</v>
      </c>
      <c r="BR100" t="s">
        <v>84</v>
      </c>
      <c r="BS100" s="3">
        <v>45971</v>
      </c>
      <c r="BT100" s="4">
        <v>0.47430555555555554</v>
      </c>
      <c r="BU100" t="s">
        <v>514</v>
      </c>
      <c r="BV100" t="s">
        <v>86</v>
      </c>
      <c r="BY100">
        <v>68929.600000000006</v>
      </c>
      <c r="CA100" t="s">
        <v>515</v>
      </c>
      <c r="CC100" t="s">
        <v>110</v>
      </c>
      <c r="CD100">
        <v>4133</v>
      </c>
      <c r="CE100" t="s">
        <v>114</v>
      </c>
      <c r="CF100" s="3">
        <v>45972</v>
      </c>
      <c r="CI100">
        <v>3</v>
      </c>
      <c r="CJ100">
        <v>2</v>
      </c>
      <c r="CK100">
        <v>41</v>
      </c>
      <c r="CL100" t="s">
        <v>89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"GAB2029627"</f>
        <v>GAB2029627</v>
      </c>
      <c r="F101" s="3">
        <v>45967</v>
      </c>
      <c r="G101">
        <v>202608</v>
      </c>
      <c r="H101" t="s">
        <v>75</v>
      </c>
      <c r="I101" t="s">
        <v>76</v>
      </c>
      <c r="J101" t="s">
        <v>77</v>
      </c>
      <c r="K101" t="s">
        <v>78</v>
      </c>
      <c r="L101" t="s">
        <v>274</v>
      </c>
      <c r="M101" t="s">
        <v>275</v>
      </c>
      <c r="N101" t="s">
        <v>516</v>
      </c>
      <c r="O101" t="s">
        <v>82</v>
      </c>
      <c r="P101" t="str">
        <f>"INVOICE00122319 CT098002      "</f>
        <v xml:space="preserve">INVOICE00122319 CT098002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94.07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2</v>
      </c>
      <c r="BI101">
        <v>8.3000000000000007</v>
      </c>
      <c r="BJ101">
        <v>26.3</v>
      </c>
      <c r="BK101">
        <v>27</v>
      </c>
      <c r="BL101">
        <v>313.73</v>
      </c>
      <c r="BM101">
        <v>47.06</v>
      </c>
      <c r="BN101">
        <v>360.79</v>
      </c>
      <c r="BO101">
        <v>360.79</v>
      </c>
      <c r="BR101" t="s">
        <v>84</v>
      </c>
      <c r="BS101" s="3">
        <v>45972</v>
      </c>
      <c r="BT101" s="4">
        <v>0.47361111111111109</v>
      </c>
      <c r="BU101" t="s">
        <v>517</v>
      </c>
      <c r="BV101" t="s">
        <v>86</v>
      </c>
      <c r="BY101">
        <v>131661.6</v>
      </c>
      <c r="CA101" t="s">
        <v>518</v>
      </c>
      <c r="CC101" t="s">
        <v>275</v>
      </c>
      <c r="CD101">
        <v>9460</v>
      </c>
      <c r="CE101" t="s">
        <v>114</v>
      </c>
      <c r="CF101" s="3">
        <v>45972</v>
      </c>
      <c r="CI101">
        <v>4</v>
      </c>
      <c r="CJ101">
        <v>3</v>
      </c>
      <c r="CK101">
        <v>43</v>
      </c>
      <c r="CL101" t="s">
        <v>89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"GAB2029628"</f>
        <v>GAB2029628</v>
      </c>
      <c r="F102" s="3">
        <v>45967</v>
      </c>
      <c r="G102">
        <v>202608</v>
      </c>
      <c r="H102" t="s">
        <v>75</v>
      </c>
      <c r="I102" t="s">
        <v>76</v>
      </c>
      <c r="J102" t="s">
        <v>77</v>
      </c>
      <c r="K102" t="s">
        <v>78</v>
      </c>
      <c r="L102" t="s">
        <v>109</v>
      </c>
      <c r="M102" t="s">
        <v>110</v>
      </c>
      <c r="N102" t="s">
        <v>111</v>
      </c>
      <c r="O102" t="s">
        <v>82</v>
      </c>
      <c r="P102" t="str">
        <f>"INVOICE00122433 CT097999      "</f>
        <v xml:space="preserve">INVOICE00122433 CT097999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5.87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43.06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4</v>
      </c>
      <c r="BJ102">
        <v>15.8</v>
      </c>
      <c r="BK102">
        <v>16</v>
      </c>
      <c r="BL102">
        <v>146.79</v>
      </c>
      <c r="BM102">
        <v>22.02</v>
      </c>
      <c r="BN102">
        <v>168.81</v>
      </c>
      <c r="BO102">
        <v>168.81</v>
      </c>
      <c r="BR102" t="s">
        <v>84</v>
      </c>
      <c r="BS102" s="3">
        <v>45971</v>
      </c>
      <c r="BT102" s="4">
        <v>0.47638888888888886</v>
      </c>
      <c r="BU102" t="s">
        <v>519</v>
      </c>
      <c r="BV102" t="s">
        <v>86</v>
      </c>
      <c r="BY102">
        <v>78755.22</v>
      </c>
      <c r="CA102" t="s">
        <v>515</v>
      </c>
      <c r="CC102" t="s">
        <v>110</v>
      </c>
      <c r="CD102">
        <v>4133</v>
      </c>
      <c r="CE102" t="s">
        <v>114</v>
      </c>
      <c r="CF102" s="3">
        <v>45972</v>
      </c>
      <c r="CI102">
        <v>3</v>
      </c>
      <c r="CJ102">
        <v>2</v>
      </c>
      <c r="CK102">
        <v>41</v>
      </c>
      <c r="CL102" t="s">
        <v>89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"GAB2029631"</f>
        <v>GAB2029631</v>
      </c>
      <c r="F103" s="3">
        <v>45967</v>
      </c>
      <c r="G103">
        <v>202608</v>
      </c>
      <c r="H103" t="s">
        <v>75</v>
      </c>
      <c r="I103" t="s">
        <v>76</v>
      </c>
      <c r="J103" t="s">
        <v>77</v>
      </c>
      <c r="K103" t="s">
        <v>78</v>
      </c>
      <c r="L103" t="s">
        <v>75</v>
      </c>
      <c r="M103" t="s">
        <v>76</v>
      </c>
      <c r="N103" t="s">
        <v>520</v>
      </c>
      <c r="O103" t="s">
        <v>82</v>
      </c>
      <c r="P103" t="str">
        <f>"invoice00122468 ct098089      "</f>
        <v xml:space="preserve">invoice00122468 ct098089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5.87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31.91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1.3</v>
      </c>
      <c r="BJ103">
        <v>2.2999999999999998</v>
      </c>
      <c r="BK103">
        <v>3</v>
      </c>
      <c r="BL103">
        <v>110.3</v>
      </c>
      <c r="BM103">
        <v>16.55</v>
      </c>
      <c r="BN103">
        <v>126.85</v>
      </c>
      <c r="BO103">
        <v>126.85</v>
      </c>
      <c r="BQ103" t="s">
        <v>521</v>
      </c>
      <c r="BR103" t="s">
        <v>84</v>
      </c>
      <c r="BS103" s="3">
        <v>45968</v>
      </c>
      <c r="BT103" s="4">
        <v>0.56111111111111112</v>
      </c>
      <c r="BU103" t="s">
        <v>522</v>
      </c>
      <c r="BV103" t="s">
        <v>86</v>
      </c>
      <c r="BY103">
        <v>11711.96</v>
      </c>
      <c r="CA103" t="s">
        <v>523</v>
      </c>
      <c r="CC103" t="s">
        <v>76</v>
      </c>
      <c r="CD103">
        <v>7550</v>
      </c>
      <c r="CE103" t="s">
        <v>88</v>
      </c>
      <c r="CF103" s="3">
        <v>45971</v>
      </c>
      <c r="CI103">
        <v>1</v>
      </c>
      <c r="CJ103">
        <v>1</v>
      </c>
      <c r="CK103">
        <v>42</v>
      </c>
      <c r="CL103" t="s">
        <v>89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"GAB2029643"</f>
        <v>GAB2029643</v>
      </c>
      <c r="F104" s="3">
        <v>45967</v>
      </c>
      <c r="G104">
        <v>202608</v>
      </c>
      <c r="H104" t="s">
        <v>75</v>
      </c>
      <c r="I104" t="s">
        <v>76</v>
      </c>
      <c r="J104" t="s">
        <v>77</v>
      </c>
      <c r="K104" t="s">
        <v>78</v>
      </c>
      <c r="L104" t="s">
        <v>169</v>
      </c>
      <c r="M104" t="s">
        <v>170</v>
      </c>
      <c r="N104" t="s">
        <v>524</v>
      </c>
      <c r="O104" t="s">
        <v>82</v>
      </c>
      <c r="P104" t="str">
        <f>"INVOICE00122495 CT097922      "</f>
        <v xml:space="preserve">INVOICE00122495 CT097922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5.87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107.93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3</v>
      </c>
      <c r="BI104">
        <v>21.2</v>
      </c>
      <c r="BJ104">
        <v>53.1</v>
      </c>
      <c r="BK104">
        <v>54</v>
      </c>
      <c r="BL104">
        <v>359.1</v>
      </c>
      <c r="BM104">
        <v>53.87</v>
      </c>
      <c r="BN104">
        <v>412.97</v>
      </c>
      <c r="BO104">
        <v>412.97</v>
      </c>
      <c r="BQ104" t="s">
        <v>525</v>
      </c>
      <c r="BR104" t="s">
        <v>84</v>
      </c>
      <c r="BS104" s="3">
        <v>45971</v>
      </c>
      <c r="BT104" s="4">
        <v>0.43888888888888888</v>
      </c>
      <c r="BU104" t="s">
        <v>526</v>
      </c>
      <c r="BV104" t="s">
        <v>89</v>
      </c>
      <c r="BY104">
        <v>265667.46999999997</v>
      </c>
      <c r="CA104" t="s">
        <v>527</v>
      </c>
      <c r="CC104" t="s">
        <v>170</v>
      </c>
      <c r="CD104">
        <v>1803</v>
      </c>
      <c r="CE104" t="s">
        <v>298</v>
      </c>
      <c r="CF104" s="3">
        <v>45972</v>
      </c>
      <c r="CI104">
        <v>2</v>
      </c>
      <c r="CJ104">
        <v>2</v>
      </c>
      <c r="CK104">
        <v>41</v>
      </c>
      <c r="CL104" t="s">
        <v>89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"GAB2029649"</f>
        <v>GAB2029649</v>
      </c>
      <c r="F105" s="3">
        <v>45967</v>
      </c>
      <c r="G105">
        <v>202608</v>
      </c>
      <c r="H105" t="s">
        <v>75</v>
      </c>
      <c r="I105" t="s">
        <v>76</v>
      </c>
      <c r="J105" t="s">
        <v>77</v>
      </c>
      <c r="K105" t="s">
        <v>78</v>
      </c>
      <c r="L105" t="s">
        <v>195</v>
      </c>
      <c r="M105" t="s">
        <v>196</v>
      </c>
      <c r="N105" t="s">
        <v>197</v>
      </c>
      <c r="O105" t="s">
        <v>82</v>
      </c>
      <c r="P105" t="str">
        <f>"INVOICE00122467 00122493 CT098"</f>
        <v>INVOICE00122467 00122493 CT098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5.87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41.35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1.7</v>
      </c>
      <c r="BJ105">
        <v>6.2</v>
      </c>
      <c r="BK105">
        <v>7</v>
      </c>
      <c r="BL105">
        <v>141.19999999999999</v>
      </c>
      <c r="BM105">
        <v>21.18</v>
      </c>
      <c r="BN105">
        <v>162.38</v>
      </c>
      <c r="BO105">
        <v>162.38</v>
      </c>
      <c r="BR105" t="s">
        <v>84</v>
      </c>
      <c r="BS105" s="3">
        <v>45971</v>
      </c>
      <c r="BT105" s="4">
        <v>0.40972222222222221</v>
      </c>
      <c r="BU105" t="s">
        <v>198</v>
      </c>
      <c r="BV105" t="s">
        <v>86</v>
      </c>
      <c r="BY105">
        <v>30761.64</v>
      </c>
      <c r="CA105" t="s">
        <v>199</v>
      </c>
      <c r="CC105" t="s">
        <v>196</v>
      </c>
      <c r="CD105">
        <v>1725</v>
      </c>
      <c r="CE105" t="s">
        <v>103</v>
      </c>
      <c r="CF105" s="3">
        <v>45971</v>
      </c>
      <c r="CI105">
        <v>2</v>
      </c>
      <c r="CJ105">
        <v>2</v>
      </c>
      <c r="CK105">
        <v>41</v>
      </c>
      <c r="CL105" t="s">
        <v>89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"GAB2029623"</f>
        <v>GAB2029623</v>
      </c>
      <c r="F106" s="3">
        <v>45967</v>
      </c>
      <c r="G106">
        <v>202608</v>
      </c>
      <c r="H106" t="s">
        <v>75</v>
      </c>
      <c r="I106" t="s">
        <v>76</v>
      </c>
      <c r="J106" t="s">
        <v>77</v>
      </c>
      <c r="K106" t="s">
        <v>78</v>
      </c>
      <c r="L106" t="s">
        <v>75</v>
      </c>
      <c r="M106" t="s">
        <v>76</v>
      </c>
      <c r="N106" t="s">
        <v>528</v>
      </c>
      <c r="O106" t="s">
        <v>124</v>
      </c>
      <c r="P106" t="str">
        <f>"INVOICE00122415 CT098069      "</f>
        <v xml:space="preserve">INVOICE00122415 CT098069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16.7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0.2</v>
      </c>
      <c r="BJ106">
        <v>2.2999999999999998</v>
      </c>
      <c r="BK106">
        <v>3</v>
      </c>
      <c r="BL106">
        <v>54.66</v>
      </c>
      <c r="BM106">
        <v>8.1999999999999993</v>
      </c>
      <c r="BN106">
        <v>62.86</v>
      </c>
      <c r="BO106">
        <v>62.86</v>
      </c>
      <c r="BR106" t="s">
        <v>84</v>
      </c>
      <c r="BS106" s="3">
        <v>45968</v>
      </c>
      <c r="BT106" s="4">
        <v>0.40277777777777779</v>
      </c>
      <c r="BU106" t="s">
        <v>529</v>
      </c>
      <c r="BV106" t="s">
        <v>86</v>
      </c>
      <c r="BY106">
        <v>11548.08</v>
      </c>
      <c r="BZ106" t="s">
        <v>126</v>
      </c>
      <c r="CA106" t="s">
        <v>530</v>
      </c>
      <c r="CC106" t="s">
        <v>76</v>
      </c>
      <c r="CD106">
        <v>8000</v>
      </c>
      <c r="CE106" t="s">
        <v>367</v>
      </c>
      <c r="CF106" s="3">
        <v>45971</v>
      </c>
      <c r="CI106">
        <v>1</v>
      </c>
      <c r="CJ106">
        <v>1</v>
      </c>
      <c r="CK106">
        <v>22</v>
      </c>
      <c r="CL106" t="s">
        <v>89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"GAB2029625"</f>
        <v>GAB2029625</v>
      </c>
      <c r="F107" s="3">
        <v>45967</v>
      </c>
      <c r="G107">
        <v>202608</v>
      </c>
      <c r="H107" t="s">
        <v>75</v>
      </c>
      <c r="I107" t="s">
        <v>76</v>
      </c>
      <c r="J107" t="s">
        <v>77</v>
      </c>
      <c r="K107" t="s">
        <v>78</v>
      </c>
      <c r="L107" t="s">
        <v>169</v>
      </c>
      <c r="M107" t="s">
        <v>170</v>
      </c>
      <c r="N107" t="s">
        <v>390</v>
      </c>
      <c r="O107" t="s">
        <v>124</v>
      </c>
      <c r="P107" t="str">
        <f>"INVOICE00122462 CT098091      "</f>
        <v xml:space="preserve">INVOICE00122462 CT098091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26.73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0.3</v>
      </c>
      <c r="BJ107">
        <v>2.5</v>
      </c>
      <c r="BK107">
        <v>2.5</v>
      </c>
      <c r="BL107">
        <v>87.47</v>
      </c>
      <c r="BM107">
        <v>13.12</v>
      </c>
      <c r="BN107">
        <v>100.59</v>
      </c>
      <c r="BO107">
        <v>100.59</v>
      </c>
      <c r="BQ107" t="s">
        <v>391</v>
      </c>
      <c r="BR107" t="s">
        <v>84</v>
      </c>
      <c r="BS107" s="3">
        <v>45968</v>
      </c>
      <c r="BT107" s="4">
        <v>0.37708333333333333</v>
      </c>
      <c r="BU107" t="s">
        <v>531</v>
      </c>
      <c r="BV107" t="s">
        <v>86</v>
      </c>
      <c r="BY107">
        <v>12673.5</v>
      </c>
      <c r="BZ107" t="s">
        <v>126</v>
      </c>
      <c r="CA107" t="s">
        <v>393</v>
      </c>
      <c r="CC107" t="s">
        <v>170</v>
      </c>
      <c r="CD107">
        <v>2021</v>
      </c>
      <c r="CE107" t="s">
        <v>149</v>
      </c>
      <c r="CF107" s="3">
        <v>45968</v>
      </c>
      <c r="CI107">
        <v>1</v>
      </c>
      <c r="CJ107">
        <v>1</v>
      </c>
      <c r="CK107">
        <v>21</v>
      </c>
      <c r="CL107" t="s">
        <v>89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"GAB2029626"</f>
        <v>GAB2029626</v>
      </c>
      <c r="F108" s="3">
        <v>45967</v>
      </c>
      <c r="G108">
        <v>202608</v>
      </c>
      <c r="H108" t="s">
        <v>75</v>
      </c>
      <c r="I108" t="s">
        <v>76</v>
      </c>
      <c r="J108" t="s">
        <v>77</v>
      </c>
      <c r="K108" t="s">
        <v>78</v>
      </c>
      <c r="L108" t="s">
        <v>175</v>
      </c>
      <c r="M108" t="s">
        <v>176</v>
      </c>
      <c r="N108" t="s">
        <v>177</v>
      </c>
      <c r="O108" t="s">
        <v>124</v>
      </c>
      <c r="P108" t="str">
        <f>"INVOICE00122460 CT098092      "</f>
        <v xml:space="preserve">INVOICE00122460 CT098092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41.43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16.739999999999998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0.7</v>
      </c>
      <c r="BJ108">
        <v>1.8</v>
      </c>
      <c r="BK108">
        <v>2</v>
      </c>
      <c r="BL108">
        <v>152.33000000000001</v>
      </c>
      <c r="BM108">
        <v>22.85</v>
      </c>
      <c r="BN108">
        <v>175.18</v>
      </c>
      <c r="BO108">
        <v>175.18</v>
      </c>
      <c r="BR108" t="s">
        <v>84</v>
      </c>
      <c r="BS108" s="3">
        <v>45971</v>
      </c>
      <c r="BT108" s="4">
        <v>0.35069444444444442</v>
      </c>
      <c r="BU108" t="s">
        <v>532</v>
      </c>
      <c r="BV108" t="s">
        <v>86</v>
      </c>
      <c r="BY108">
        <v>9187.2000000000007</v>
      </c>
      <c r="BZ108" t="s">
        <v>180</v>
      </c>
      <c r="CC108" t="s">
        <v>176</v>
      </c>
      <c r="CD108">
        <v>2745</v>
      </c>
      <c r="CE108" t="s">
        <v>136</v>
      </c>
      <c r="CF108" s="3">
        <v>45974</v>
      </c>
      <c r="CI108">
        <v>2</v>
      </c>
      <c r="CJ108">
        <v>2</v>
      </c>
      <c r="CK108">
        <v>23</v>
      </c>
      <c r="CL108" t="s">
        <v>89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"GAB2029629"</f>
        <v>GAB2029629</v>
      </c>
      <c r="F109" s="3">
        <v>45967</v>
      </c>
      <c r="G109">
        <v>202608</v>
      </c>
      <c r="H109" t="s">
        <v>75</v>
      </c>
      <c r="I109" t="s">
        <v>76</v>
      </c>
      <c r="J109" t="s">
        <v>77</v>
      </c>
      <c r="K109" t="s">
        <v>78</v>
      </c>
      <c r="L109" t="s">
        <v>169</v>
      </c>
      <c r="M109" t="s">
        <v>170</v>
      </c>
      <c r="N109" t="s">
        <v>533</v>
      </c>
      <c r="O109" t="s">
        <v>124</v>
      </c>
      <c r="P109" t="str">
        <f>"INVOICE0041197 ORDGS037861    "</f>
        <v xml:space="preserve">INVOICE0041197 ORDGS037861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21.38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0.3</v>
      </c>
      <c r="BJ109">
        <v>2</v>
      </c>
      <c r="BK109">
        <v>2</v>
      </c>
      <c r="BL109">
        <v>69.98</v>
      </c>
      <c r="BM109">
        <v>10.5</v>
      </c>
      <c r="BN109">
        <v>80.48</v>
      </c>
      <c r="BO109">
        <v>80.48</v>
      </c>
      <c r="BQ109" t="s">
        <v>118</v>
      </c>
      <c r="BR109" t="s">
        <v>84</v>
      </c>
      <c r="BS109" s="3">
        <v>45968</v>
      </c>
      <c r="BT109" s="4">
        <v>0.40277777777777779</v>
      </c>
      <c r="BU109" t="s">
        <v>534</v>
      </c>
      <c r="BV109" t="s">
        <v>86</v>
      </c>
      <c r="BY109">
        <v>9977.76</v>
      </c>
      <c r="BZ109" t="s">
        <v>126</v>
      </c>
      <c r="CA109" t="s">
        <v>535</v>
      </c>
      <c r="CC109" t="s">
        <v>170</v>
      </c>
      <c r="CD109">
        <v>2191</v>
      </c>
      <c r="CE109" t="s">
        <v>128</v>
      </c>
      <c r="CF109" s="3">
        <v>45968</v>
      </c>
      <c r="CI109">
        <v>1</v>
      </c>
      <c r="CJ109">
        <v>1</v>
      </c>
      <c r="CK109">
        <v>21</v>
      </c>
      <c r="CL109" t="s">
        <v>89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"GAB2029632"</f>
        <v>GAB2029632</v>
      </c>
      <c r="F110" s="3">
        <v>45967</v>
      </c>
      <c r="G110">
        <v>202608</v>
      </c>
      <c r="H110" t="s">
        <v>75</v>
      </c>
      <c r="I110" t="s">
        <v>76</v>
      </c>
      <c r="J110" t="s">
        <v>77</v>
      </c>
      <c r="K110" t="s">
        <v>78</v>
      </c>
      <c r="L110" t="s">
        <v>169</v>
      </c>
      <c r="M110" t="s">
        <v>170</v>
      </c>
      <c r="N110" t="s">
        <v>536</v>
      </c>
      <c r="O110" t="s">
        <v>124</v>
      </c>
      <c r="P110" t="str">
        <f>"invoice00041196 ordgs037852   "</f>
        <v xml:space="preserve">invoice00041196 ordgs037852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26.73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0.4</v>
      </c>
      <c r="BJ110">
        <v>2.2999999999999998</v>
      </c>
      <c r="BK110">
        <v>2.5</v>
      </c>
      <c r="BL110">
        <v>87.47</v>
      </c>
      <c r="BM110">
        <v>13.12</v>
      </c>
      <c r="BN110">
        <v>100.59</v>
      </c>
      <c r="BO110">
        <v>100.59</v>
      </c>
      <c r="BQ110" t="s">
        <v>537</v>
      </c>
      <c r="BR110" t="s">
        <v>84</v>
      </c>
      <c r="BS110" s="3">
        <v>45968</v>
      </c>
      <c r="BT110" s="4">
        <v>0.32569444444444445</v>
      </c>
      <c r="BU110" t="s">
        <v>538</v>
      </c>
      <c r="BV110" t="s">
        <v>86</v>
      </c>
      <c r="BY110">
        <v>11388.16</v>
      </c>
      <c r="BZ110" t="s">
        <v>126</v>
      </c>
      <c r="CA110" t="s">
        <v>539</v>
      </c>
      <c r="CC110" t="s">
        <v>170</v>
      </c>
      <c r="CD110">
        <v>2192</v>
      </c>
      <c r="CE110" t="s">
        <v>540</v>
      </c>
      <c r="CF110" s="3">
        <v>45968</v>
      </c>
      <c r="CI110">
        <v>1</v>
      </c>
      <c r="CJ110">
        <v>1</v>
      </c>
      <c r="CK110">
        <v>21</v>
      </c>
      <c r="CL110" t="s">
        <v>89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"GAB2029633"</f>
        <v>GAB2029633</v>
      </c>
      <c r="F111" s="3">
        <v>45967</v>
      </c>
      <c r="G111">
        <v>202608</v>
      </c>
      <c r="H111" t="s">
        <v>75</v>
      </c>
      <c r="I111" t="s">
        <v>76</v>
      </c>
      <c r="J111" t="s">
        <v>77</v>
      </c>
      <c r="K111" t="s">
        <v>78</v>
      </c>
      <c r="L111" t="s">
        <v>541</v>
      </c>
      <c r="M111" t="s">
        <v>542</v>
      </c>
      <c r="N111" t="s">
        <v>543</v>
      </c>
      <c r="O111" t="s">
        <v>124</v>
      </c>
      <c r="P111" t="str">
        <f>"invoice00122478 ct098098      "</f>
        <v xml:space="preserve">invoice00122478 ct098098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37.4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0.5</v>
      </c>
      <c r="BJ111">
        <v>2.4</v>
      </c>
      <c r="BK111">
        <v>2.5</v>
      </c>
      <c r="BL111">
        <v>122.39</v>
      </c>
      <c r="BM111">
        <v>18.36</v>
      </c>
      <c r="BN111">
        <v>140.75</v>
      </c>
      <c r="BO111">
        <v>140.75</v>
      </c>
      <c r="BR111" t="s">
        <v>84</v>
      </c>
      <c r="BS111" s="3">
        <v>45968</v>
      </c>
      <c r="BT111" s="4">
        <v>0.46319444444444446</v>
      </c>
      <c r="BU111" t="s">
        <v>544</v>
      </c>
      <c r="BV111" t="s">
        <v>86</v>
      </c>
      <c r="BY111">
        <v>11940.5</v>
      </c>
      <c r="BZ111" t="s">
        <v>126</v>
      </c>
      <c r="CA111" t="s">
        <v>545</v>
      </c>
      <c r="CC111" t="s">
        <v>542</v>
      </c>
      <c r="CD111">
        <v>6705</v>
      </c>
      <c r="CE111" t="s">
        <v>329</v>
      </c>
      <c r="CF111" s="3">
        <v>45971</v>
      </c>
      <c r="CI111">
        <v>2</v>
      </c>
      <c r="CJ111">
        <v>1</v>
      </c>
      <c r="CK111">
        <v>24</v>
      </c>
      <c r="CL111" t="s">
        <v>89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"GAB2029635"</f>
        <v>GAB2029635</v>
      </c>
      <c r="F112" s="3">
        <v>45967</v>
      </c>
      <c r="G112">
        <v>202608</v>
      </c>
      <c r="H112" t="s">
        <v>75</v>
      </c>
      <c r="I112" t="s">
        <v>76</v>
      </c>
      <c r="J112" t="s">
        <v>77</v>
      </c>
      <c r="K112" t="s">
        <v>78</v>
      </c>
      <c r="L112" t="s">
        <v>162</v>
      </c>
      <c r="M112" t="s">
        <v>163</v>
      </c>
      <c r="N112" t="s">
        <v>546</v>
      </c>
      <c r="O112" t="s">
        <v>124</v>
      </c>
      <c r="P112" t="str">
        <f>"INVOICE00041202 ORDGS037842   "</f>
        <v xml:space="preserve">INVOICE00041202 ORDGS037842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26.73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0.3</v>
      </c>
      <c r="BJ112">
        <v>2.1</v>
      </c>
      <c r="BK112">
        <v>2.5</v>
      </c>
      <c r="BL112">
        <v>87.47</v>
      </c>
      <c r="BM112">
        <v>13.12</v>
      </c>
      <c r="BN112">
        <v>100.59</v>
      </c>
      <c r="BO112">
        <v>100.59</v>
      </c>
      <c r="BQ112" t="s">
        <v>547</v>
      </c>
      <c r="BR112" t="s">
        <v>84</v>
      </c>
      <c r="BS112" s="3">
        <v>45968</v>
      </c>
      <c r="BT112" s="4">
        <v>0.4236111111111111</v>
      </c>
      <c r="BU112" t="s">
        <v>287</v>
      </c>
      <c r="BV112" t="s">
        <v>86</v>
      </c>
      <c r="BY112">
        <v>10413.18</v>
      </c>
      <c r="BZ112" t="s">
        <v>126</v>
      </c>
      <c r="CA112" t="s">
        <v>288</v>
      </c>
      <c r="CC112" t="s">
        <v>163</v>
      </c>
      <c r="CD112">
        <v>6001</v>
      </c>
      <c r="CE112" t="s">
        <v>548</v>
      </c>
      <c r="CF112" s="3">
        <v>45968</v>
      </c>
      <c r="CI112">
        <v>2</v>
      </c>
      <c r="CJ112">
        <v>1</v>
      </c>
      <c r="CK112">
        <v>21</v>
      </c>
      <c r="CL112" t="s">
        <v>89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"GAB2029636"</f>
        <v>GAB2029636</v>
      </c>
      <c r="F113" s="3">
        <v>45967</v>
      </c>
      <c r="G113">
        <v>202608</v>
      </c>
      <c r="H113" t="s">
        <v>75</v>
      </c>
      <c r="I113" t="s">
        <v>76</v>
      </c>
      <c r="J113" t="s">
        <v>77</v>
      </c>
      <c r="K113" t="s">
        <v>78</v>
      </c>
      <c r="L113" t="s">
        <v>230</v>
      </c>
      <c r="M113" t="s">
        <v>231</v>
      </c>
      <c r="N113" t="s">
        <v>549</v>
      </c>
      <c r="O113" t="s">
        <v>124</v>
      </c>
      <c r="P113" t="str">
        <f>"INVOICE00122475 CT098096      "</f>
        <v xml:space="preserve">INVOICE00122475 CT098096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21.38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0.7</v>
      </c>
      <c r="BJ113">
        <v>1.8</v>
      </c>
      <c r="BK113">
        <v>2</v>
      </c>
      <c r="BL113">
        <v>69.98</v>
      </c>
      <c r="BM113">
        <v>10.5</v>
      </c>
      <c r="BN113">
        <v>80.48</v>
      </c>
      <c r="BO113">
        <v>80.48</v>
      </c>
      <c r="BR113" t="s">
        <v>84</v>
      </c>
      <c r="BS113" s="3">
        <v>45968</v>
      </c>
      <c r="BT113" s="4">
        <v>0.40208333333333335</v>
      </c>
      <c r="BU113" t="s">
        <v>550</v>
      </c>
      <c r="BV113" t="s">
        <v>86</v>
      </c>
      <c r="BY113">
        <v>9028.7999999999993</v>
      </c>
      <c r="BZ113" t="s">
        <v>126</v>
      </c>
      <c r="CA113">
        <v>9406055553085</v>
      </c>
      <c r="CC113" t="s">
        <v>231</v>
      </c>
      <c r="CD113" s="5" t="s">
        <v>455</v>
      </c>
      <c r="CE113" t="s">
        <v>446</v>
      </c>
      <c r="CF113" s="3">
        <v>45968</v>
      </c>
      <c r="CI113">
        <v>1</v>
      </c>
      <c r="CJ113">
        <v>1</v>
      </c>
      <c r="CK113">
        <v>21</v>
      </c>
      <c r="CL113" t="s">
        <v>89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"GAB2029637"</f>
        <v>GAB2029637</v>
      </c>
      <c r="F114" s="3">
        <v>45967</v>
      </c>
      <c r="G114">
        <v>202608</v>
      </c>
      <c r="H114" t="s">
        <v>75</v>
      </c>
      <c r="I114" t="s">
        <v>76</v>
      </c>
      <c r="J114" t="s">
        <v>77</v>
      </c>
      <c r="K114" t="s">
        <v>78</v>
      </c>
      <c r="L114" t="s">
        <v>169</v>
      </c>
      <c r="M114" t="s">
        <v>170</v>
      </c>
      <c r="N114" t="s">
        <v>551</v>
      </c>
      <c r="O114" t="s">
        <v>124</v>
      </c>
      <c r="P114" t="str">
        <f>"INVOICE00041203 ORDGS037892   "</f>
        <v xml:space="preserve">INVOICE00041203 ORDGS037892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26.73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0.4</v>
      </c>
      <c r="BJ114">
        <v>2.5</v>
      </c>
      <c r="BK114">
        <v>2.5</v>
      </c>
      <c r="BL114">
        <v>87.47</v>
      </c>
      <c r="BM114">
        <v>13.12</v>
      </c>
      <c r="BN114">
        <v>100.59</v>
      </c>
      <c r="BO114">
        <v>100.59</v>
      </c>
      <c r="BQ114" t="s">
        <v>552</v>
      </c>
      <c r="BR114" t="s">
        <v>84</v>
      </c>
      <c r="BS114" s="3">
        <v>45968</v>
      </c>
      <c r="BT114" s="4">
        <v>0.34305555555555556</v>
      </c>
      <c r="BU114" t="s">
        <v>553</v>
      </c>
      <c r="BV114" t="s">
        <v>86</v>
      </c>
      <c r="BY114">
        <v>12679.84</v>
      </c>
      <c r="BZ114" t="s">
        <v>126</v>
      </c>
      <c r="CA114" t="s">
        <v>480</v>
      </c>
      <c r="CC114" t="s">
        <v>170</v>
      </c>
      <c r="CD114">
        <v>2001</v>
      </c>
      <c r="CE114" t="s">
        <v>181</v>
      </c>
      <c r="CF114" s="3">
        <v>45968</v>
      </c>
      <c r="CI114">
        <v>1</v>
      </c>
      <c r="CJ114">
        <v>1</v>
      </c>
      <c r="CK114">
        <v>21</v>
      </c>
      <c r="CL114" t="s">
        <v>89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"GAB2029638"</f>
        <v>GAB2029638</v>
      </c>
      <c r="F115" s="3">
        <v>45967</v>
      </c>
      <c r="G115">
        <v>202608</v>
      </c>
      <c r="H115" t="s">
        <v>75</v>
      </c>
      <c r="I115" t="s">
        <v>76</v>
      </c>
      <c r="J115" t="s">
        <v>77</v>
      </c>
      <c r="K115" t="s">
        <v>78</v>
      </c>
      <c r="L115" t="s">
        <v>292</v>
      </c>
      <c r="M115" t="s">
        <v>293</v>
      </c>
      <c r="N115" t="s">
        <v>554</v>
      </c>
      <c r="O115" t="s">
        <v>124</v>
      </c>
      <c r="P115" t="str">
        <f>"INVOICE00122479 CT098102      "</f>
        <v xml:space="preserve">INVOICE00122479 CT098102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26.73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0.3</v>
      </c>
      <c r="BJ115">
        <v>2.4</v>
      </c>
      <c r="BK115">
        <v>2.5</v>
      </c>
      <c r="BL115">
        <v>87.47</v>
      </c>
      <c r="BM115">
        <v>13.12</v>
      </c>
      <c r="BN115">
        <v>100.59</v>
      </c>
      <c r="BO115">
        <v>100.59</v>
      </c>
      <c r="BR115" t="s">
        <v>84</v>
      </c>
      <c r="BS115" s="3">
        <v>45968</v>
      </c>
      <c r="BT115" s="4">
        <v>0.4</v>
      </c>
      <c r="BU115" t="s">
        <v>555</v>
      </c>
      <c r="BV115" t="s">
        <v>86</v>
      </c>
      <c r="BY115">
        <v>12224.85</v>
      </c>
      <c r="BZ115" t="s">
        <v>126</v>
      </c>
      <c r="CA115" t="s">
        <v>406</v>
      </c>
      <c r="CC115" t="s">
        <v>293</v>
      </c>
      <c r="CD115">
        <v>1449</v>
      </c>
      <c r="CE115" t="s">
        <v>128</v>
      </c>
      <c r="CF115" s="3">
        <v>45968</v>
      </c>
      <c r="CI115">
        <v>1</v>
      </c>
      <c r="CJ115">
        <v>1</v>
      </c>
      <c r="CK115">
        <v>21</v>
      </c>
      <c r="CL115" t="s">
        <v>89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"GAB2029639"</f>
        <v>GAB2029639</v>
      </c>
      <c r="F116" s="3">
        <v>45967</v>
      </c>
      <c r="G116">
        <v>202608</v>
      </c>
      <c r="H116" t="s">
        <v>75</v>
      </c>
      <c r="I116" t="s">
        <v>76</v>
      </c>
      <c r="J116" t="s">
        <v>77</v>
      </c>
      <c r="K116" t="s">
        <v>78</v>
      </c>
      <c r="L116" t="s">
        <v>143</v>
      </c>
      <c r="M116" t="s">
        <v>144</v>
      </c>
      <c r="N116" t="s">
        <v>556</v>
      </c>
      <c r="O116" t="s">
        <v>124</v>
      </c>
      <c r="P116" t="str">
        <f>"INVOICE00122480 CT098104      "</f>
        <v xml:space="preserve">INVOICE00122480 CT098104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16.7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0.3</v>
      </c>
      <c r="BJ116">
        <v>1.9</v>
      </c>
      <c r="BK116">
        <v>2</v>
      </c>
      <c r="BL116">
        <v>54.66</v>
      </c>
      <c r="BM116">
        <v>8.1999999999999993</v>
      </c>
      <c r="BN116">
        <v>62.86</v>
      </c>
      <c r="BO116">
        <v>62.86</v>
      </c>
      <c r="BQ116" t="s">
        <v>557</v>
      </c>
      <c r="BR116" t="s">
        <v>84</v>
      </c>
      <c r="BS116" s="3">
        <v>45968</v>
      </c>
      <c r="BT116" s="4">
        <v>0.41666666666666669</v>
      </c>
      <c r="BU116" t="s">
        <v>558</v>
      </c>
      <c r="BV116" t="s">
        <v>86</v>
      </c>
      <c r="BY116">
        <v>9421.57</v>
      </c>
      <c r="BZ116" t="s">
        <v>126</v>
      </c>
      <c r="CC116" t="s">
        <v>144</v>
      </c>
      <c r="CD116">
        <v>7600</v>
      </c>
      <c r="CE116" t="s">
        <v>128</v>
      </c>
      <c r="CF116" s="3">
        <v>45971</v>
      </c>
      <c r="CI116">
        <v>1</v>
      </c>
      <c r="CJ116">
        <v>1</v>
      </c>
      <c r="CK116">
        <v>22</v>
      </c>
      <c r="CL116" t="s">
        <v>89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"GAB2029640"</f>
        <v>GAB2029640</v>
      </c>
      <c r="F117" s="3">
        <v>45967</v>
      </c>
      <c r="G117">
        <v>202608</v>
      </c>
      <c r="H117" t="s">
        <v>75</v>
      </c>
      <c r="I117" t="s">
        <v>76</v>
      </c>
      <c r="J117" t="s">
        <v>77</v>
      </c>
      <c r="K117" t="s">
        <v>78</v>
      </c>
      <c r="L117" t="s">
        <v>143</v>
      </c>
      <c r="M117" t="s">
        <v>144</v>
      </c>
      <c r="N117" t="s">
        <v>145</v>
      </c>
      <c r="O117" t="s">
        <v>124</v>
      </c>
      <c r="P117" t="str">
        <f>"INVOICE00122481 CT098105      "</f>
        <v xml:space="preserve">INVOICE00122481 CT098105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16.7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0.2</v>
      </c>
      <c r="BJ117">
        <v>2.1</v>
      </c>
      <c r="BK117">
        <v>3</v>
      </c>
      <c r="BL117">
        <v>54.66</v>
      </c>
      <c r="BM117">
        <v>8.1999999999999993</v>
      </c>
      <c r="BN117">
        <v>62.86</v>
      </c>
      <c r="BO117">
        <v>62.86</v>
      </c>
      <c r="BQ117" t="s">
        <v>146</v>
      </c>
      <c r="BR117" t="s">
        <v>84</v>
      </c>
      <c r="BS117" s="3">
        <v>45968</v>
      </c>
      <c r="BT117" s="4">
        <v>0.48680555555555555</v>
      </c>
      <c r="BU117" t="s">
        <v>559</v>
      </c>
      <c r="BV117" t="s">
        <v>86</v>
      </c>
      <c r="BY117">
        <v>10548.5</v>
      </c>
      <c r="BZ117" t="s">
        <v>126</v>
      </c>
      <c r="CC117" t="s">
        <v>144</v>
      </c>
      <c r="CD117">
        <v>7600</v>
      </c>
      <c r="CE117" t="s">
        <v>367</v>
      </c>
      <c r="CF117" s="3">
        <v>45971</v>
      </c>
      <c r="CI117">
        <v>1</v>
      </c>
      <c r="CJ117">
        <v>1</v>
      </c>
      <c r="CK117">
        <v>22</v>
      </c>
      <c r="CL117" t="s">
        <v>89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"GAB2029641"</f>
        <v>GAB2029641</v>
      </c>
      <c r="F118" s="3">
        <v>45967</v>
      </c>
      <c r="G118">
        <v>202608</v>
      </c>
      <c r="H118" t="s">
        <v>75</v>
      </c>
      <c r="I118" t="s">
        <v>76</v>
      </c>
      <c r="J118" t="s">
        <v>77</v>
      </c>
      <c r="K118" t="s">
        <v>78</v>
      </c>
      <c r="L118" t="s">
        <v>137</v>
      </c>
      <c r="M118" t="s">
        <v>138</v>
      </c>
      <c r="N118" t="s">
        <v>139</v>
      </c>
      <c r="O118" t="s">
        <v>124</v>
      </c>
      <c r="P118" t="str">
        <f>"INVOICE00122494 CT098085      "</f>
        <v xml:space="preserve">INVOICE00122494 CT098085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41.43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0.2</v>
      </c>
      <c r="BJ118">
        <v>1.9</v>
      </c>
      <c r="BK118">
        <v>2</v>
      </c>
      <c r="BL118">
        <v>135.59</v>
      </c>
      <c r="BM118">
        <v>20.34</v>
      </c>
      <c r="BN118">
        <v>155.93</v>
      </c>
      <c r="BO118">
        <v>155.93</v>
      </c>
      <c r="BR118" t="s">
        <v>84</v>
      </c>
      <c r="BS118" s="3">
        <v>45971</v>
      </c>
      <c r="BT118" s="4">
        <v>0.52083333333333337</v>
      </c>
      <c r="BU118" t="s">
        <v>140</v>
      </c>
      <c r="BV118" t="s">
        <v>86</v>
      </c>
      <c r="BY118">
        <v>9593.1</v>
      </c>
      <c r="BZ118" t="s">
        <v>126</v>
      </c>
      <c r="CA118" t="s">
        <v>141</v>
      </c>
      <c r="CC118" t="s">
        <v>138</v>
      </c>
      <c r="CD118" s="5" t="s">
        <v>142</v>
      </c>
      <c r="CE118" t="s">
        <v>367</v>
      </c>
      <c r="CF118" s="3">
        <v>45971</v>
      </c>
      <c r="CI118">
        <v>2</v>
      </c>
      <c r="CJ118">
        <v>2</v>
      </c>
      <c r="CK118">
        <v>23</v>
      </c>
      <c r="CL118" t="s">
        <v>89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"GAB2029644"</f>
        <v>GAB2029644</v>
      </c>
      <c r="F119" s="3">
        <v>45967</v>
      </c>
      <c r="G119">
        <v>202608</v>
      </c>
      <c r="H119" t="s">
        <v>75</v>
      </c>
      <c r="I119" t="s">
        <v>76</v>
      </c>
      <c r="J119" t="s">
        <v>77</v>
      </c>
      <c r="K119" t="s">
        <v>78</v>
      </c>
      <c r="L119" t="s">
        <v>246</v>
      </c>
      <c r="M119" t="s">
        <v>247</v>
      </c>
      <c r="N119" t="s">
        <v>560</v>
      </c>
      <c r="O119" t="s">
        <v>124</v>
      </c>
      <c r="P119" t="str">
        <f>"INVOICE00122505 CT098117      "</f>
        <v xml:space="preserve">INVOICE00122505 CT098117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149.58000000000001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4.4000000000000004</v>
      </c>
      <c r="BJ119">
        <v>13.9</v>
      </c>
      <c r="BK119">
        <v>14</v>
      </c>
      <c r="BL119">
        <v>489.54</v>
      </c>
      <c r="BM119">
        <v>73.430000000000007</v>
      </c>
      <c r="BN119">
        <v>562.97</v>
      </c>
      <c r="BO119">
        <v>562.97</v>
      </c>
      <c r="BR119" t="s">
        <v>84</v>
      </c>
      <c r="BS119" s="3">
        <v>45971</v>
      </c>
      <c r="BT119" s="4">
        <v>0.54305555555555551</v>
      </c>
      <c r="BU119" t="s">
        <v>561</v>
      </c>
      <c r="BV119" t="s">
        <v>89</v>
      </c>
      <c r="BW119" t="s">
        <v>562</v>
      </c>
      <c r="BX119" t="s">
        <v>563</v>
      </c>
      <c r="BY119">
        <v>69745</v>
      </c>
      <c r="BZ119" t="s">
        <v>126</v>
      </c>
      <c r="CA119" t="s">
        <v>564</v>
      </c>
      <c r="CC119" t="s">
        <v>247</v>
      </c>
      <c r="CD119">
        <v>9301</v>
      </c>
      <c r="CE119" t="s">
        <v>565</v>
      </c>
      <c r="CF119" s="3">
        <v>45972</v>
      </c>
      <c r="CI119">
        <v>2</v>
      </c>
      <c r="CJ119">
        <v>2</v>
      </c>
      <c r="CK119">
        <v>21</v>
      </c>
      <c r="CL119" t="s">
        <v>89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"GAB2029645"</f>
        <v>GAB2029645</v>
      </c>
      <c r="F120" s="3">
        <v>45967</v>
      </c>
      <c r="G120">
        <v>202608</v>
      </c>
      <c r="H120" t="s">
        <v>75</v>
      </c>
      <c r="I120" t="s">
        <v>76</v>
      </c>
      <c r="J120" t="s">
        <v>77</v>
      </c>
      <c r="K120" t="s">
        <v>78</v>
      </c>
      <c r="L120" t="s">
        <v>566</v>
      </c>
      <c r="M120" t="s">
        <v>567</v>
      </c>
      <c r="N120" t="s">
        <v>568</v>
      </c>
      <c r="O120" t="s">
        <v>124</v>
      </c>
      <c r="P120" t="str">
        <f>"INVOICE00041215 ORDGS037904   "</f>
        <v xml:space="preserve">INVOICE00041215 ORDGS037904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41.43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16.739999999999998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0.8</v>
      </c>
      <c r="BJ120">
        <v>1.7</v>
      </c>
      <c r="BK120">
        <v>2</v>
      </c>
      <c r="BL120">
        <v>152.33000000000001</v>
      </c>
      <c r="BM120">
        <v>22.85</v>
      </c>
      <c r="BN120">
        <v>175.18</v>
      </c>
      <c r="BO120">
        <v>175.18</v>
      </c>
      <c r="BQ120" t="s">
        <v>118</v>
      </c>
      <c r="BR120" t="s">
        <v>84</v>
      </c>
      <c r="BS120" s="3">
        <v>45971</v>
      </c>
      <c r="BT120" s="4">
        <v>0.50972222222222219</v>
      </c>
      <c r="BU120" t="s">
        <v>569</v>
      </c>
      <c r="BV120" t="s">
        <v>86</v>
      </c>
      <c r="BY120">
        <v>8381.01</v>
      </c>
      <c r="BZ120" t="s">
        <v>180</v>
      </c>
      <c r="CC120" t="s">
        <v>567</v>
      </c>
      <c r="CD120">
        <v>8584</v>
      </c>
      <c r="CE120" t="s">
        <v>136</v>
      </c>
      <c r="CF120" s="3">
        <v>45972</v>
      </c>
      <c r="CI120">
        <v>2</v>
      </c>
      <c r="CJ120">
        <v>2</v>
      </c>
      <c r="CK120">
        <v>23</v>
      </c>
      <c r="CL120" t="s">
        <v>89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"GAB2029646"</f>
        <v>GAB2029646</v>
      </c>
      <c r="F121" s="3">
        <v>45967</v>
      </c>
      <c r="G121">
        <v>202608</v>
      </c>
      <c r="H121" t="s">
        <v>75</v>
      </c>
      <c r="I121" t="s">
        <v>76</v>
      </c>
      <c r="J121" t="s">
        <v>77</v>
      </c>
      <c r="K121" t="s">
        <v>78</v>
      </c>
      <c r="L121" t="s">
        <v>570</v>
      </c>
      <c r="M121" t="s">
        <v>571</v>
      </c>
      <c r="N121" t="s">
        <v>572</v>
      </c>
      <c r="O121" t="s">
        <v>124</v>
      </c>
      <c r="P121" t="str">
        <f>"INVOICE00122486 CT098100      "</f>
        <v xml:space="preserve">INVOICE00122486 CT098100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32.07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0.4</v>
      </c>
      <c r="BJ121">
        <v>2.6</v>
      </c>
      <c r="BK121">
        <v>3</v>
      </c>
      <c r="BL121">
        <v>104.95</v>
      </c>
      <c r="BM121">
        <v>15.74</v>
      </c>
      <c r="BN121">
        <v>120.69</v>
      </c>
      <c r="BO121">
        <v>120.69</v>
      </c>
      <c r="BR121" t="s">
        <v>84</v>
      </c>
      <c r="BS121" s="3">
        <v>45968</v>
      </c>
      <c r="BT121" s="4">
        <v>0.40486111111111112</v>
      </c>
      <c r="BU121" t="s">
        <v>573</v>
      </c>
      <c r="BV121" t="s">
        <v>86</v>
      </c>
      <c r="BY121">
        <v>13151.6</v>
      </c>
      <c r="BZ121" t="s">
        <v>126</v>
      </c>
      <c r="CA121" t="s">
        <v>574</v>
      </c>
      <c r="CC121" t="s">
        <v>571</v>
      </c>
      <c r="CD121">
        <v>1501</v>
      </c>
      <c r="CE121" t="s">
        <v>181</v>
      </c>
      <c r="CF121" s="3">
        <v>45968</v>
      </c>
      <c r="CI121">
        <v>1</v>
      </c>
      <c r="CJ121">
        <v>1</v>
      </c>
      <c r="CK121">
        <v>21</v>
      </c>
      <c r="CL121" t="s">
        <v>89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"GAB2029647"</f>
        <v>GAB2029647</v>
      </c>
      <c r="F122" s="3">
        <v>45967</v>
      </c>
      <c r="G122">
        <v>202608</v>
      </c>
      <c r="H122" t="s">
        <v>75</v>
      </c>
      <c r="I122" t="s">
        <v>76</v>
      </c>
      <c r="J122" t="s">
        <v>77</v>
      </c>
      <c r="K122" t="s">
        <v>78</v>
      </c>
      <c r="L122" t="s">
        <v>75</v>
      </c>
      <c r="M122" t="s">
        <v>76</v>
      </c>
      <c r="N122" t="s">
        <v>575</v>
      </c>
      <c r="O122" t="s">
        <v>124</v>
      </c>
      <c r="P122" t="str">
        <f>"INVOICE00122487 CT098103      "</f>
        <v xml:space="preserve">INVOICE00122487 CT098103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16.7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0.5</v>
      </c>
      <c r="BJ122">
        <v>2.6</v>
      </c>
      <c r="BK122">
        <v>3</v>
      </c>
      <c r="BL122">
        <v>54.66</v>
      </c>
      <c r="BM122">
        <v>8.1999999999999993</v>
      </c>
      <c r="BN122">
        <v>62.86</v>
      </c>
      <c r="BO122">
        <v>62.86</v>
      </c>
      <c r="BR122" t="s">
        <v>84</v>
      </c>
      <c r="BS122" s="3">
        <v>45968</v>
      </c>
      <c r="BT122" s="4">
        <v>0.37083333333333335</v>
      </c>
      <c r="BU122" t="s">
        <v>576</v>
      </c>
      <c r="BV122" t="s">
        <v>86</v>
      </c>
      <c r="BY122">
        <v>12880.28</v>
      </c>
      <c r="BZ122" t="s">
        <v>126</v>
      </c>
      <c r="CA122" t="s">
        <v>373</v>
      </c>
      <c r="CC122" t="s">
        <v>76</v>
      </c>
      <c r="CD122">
        <v>7700</v>
      </c>
      <c r="CE122" t="s">
        <v>452</v>
      </c>
      <c r="CF122" s="3">
        <v>45971</v>
      </c>
      <c r="CI122">
        <v>1</v>
      </c>
      <c r="CJ122">
        <v>1</v>
      </c>
      <c r="CK122">
        <v>22</v>
      </c>
      <c r="CL122" t="s">
        <v>89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"GAB2029648"</f>
        <v>GAB2029648</v>
      </c>
      <c r="F123" s="3">
        <v>45967</v>
      </c>
      <c r="G123">
        <v>202608</v>
      </c>
      <c r="H123" t="s">
        <v>75</v>
      </c>
      <c r="I123" t="s">
        <v>76</v>
      </c>
      <c r="J123" t="s">
        <v>77</v>
      </c>
      <c r="K123" t="s">
        <v>78</v>
      </c>
      <c r="L123" t="s">
        <v>435</v>
      </c>
      <c r="M123" t="s">
        <v>435</v>
      </c>
      <c r="N123" t="s">
        <v>577</v>
      </c>
      <c r="O123" t="s">
        <v>124</v>
      </c>
      <c r="P123" t="str">
        <f>"invoice00122497 CT098112      "</f>
        <v xml:space="preserve">invoice00122497 CT098112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30.07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0.6</v>
      </c>
      <c r="BJ123">
        <v>1.7</v>
      </c>
      <c r="BK123">
        <v>2</v>
      </c>
      <c r="BL123">
        <v>98.42</v>
      </c>
      <c r="BM123">
        <v>14.76</v>
      </c>
      <c r="BN123">
        <v>113.18</v>
      </c>
      <c r="BO123">
        <v>113.18</v>
      </c>
      <c r="BQ123" t="s">
        <v>578</v>
      </c>
      <c r="BR123" t="s">
        <v>84</v>
      </c>
      <c r="BS123" s="3">
        <v>45968</v>
      </c>
      <c r="BT123" s="4">
        <v>0.52083333333333337</v>
      </c>
      <c r="BU123" t="s">
        <v>579</v>
      </c>
      <c r="BV123" t="s">
        <v>86</v>
      </c>
      <c r="BY123">
        <v>8498.16</v>
      </c>
      <c r="BZ123" t="s">
        <v>126</v>
      </c>
      <c r="CA123" t="s">
        <v>328</v>
      </c>
      <c r="CC123" t="s">
        <v>435</v>
      </c>
      <c r="CD123">
        <v>7646</v>
      </c>
      <c r="CE123" t="s">
        <v>580</v>
      </c>
      <c r="CF123" s="3">
        <v>45971</v>
      </c>
      <c r="CI123">
        <v>1</v>
      </c>
      <c r="CJ123">
        <v>1</v>
      </c>
      <c r="CK123">
        <v>24</v>
      </c>
      <c r="CL123" t="s">
        <v>89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"GAB2029650"</f>
        <v>GAB2029650</v>
      </c>
      <c r="F124" s="3">
        <v>45967</v>
      </c>
      <c r="G124">
        <v>202608</v>
      </c>
      <c r="H124" t="s">
        <v>75</v>
      </c>
      <c r="I124" t="s">
        <v>76</v>
      </c>
      <c r="J124" t="s">
        <v>77</v>
      </c>
      <c r="K124" t="s">
        <v>78</v>
      </c>
      <c r="L124" t="s">
        <v>79</v>
      </c>
      <c r="M124" t="s">
        <v>80</v>
      </c>
      <c r="N124" t="s">
        <v>236</v>
      </c>
      <c r="O124" t="s">
        <v>124</v>
      </c>
      <c r="P124" t="str">
        <f>"INVOICE00122498 CT098109      "</f>
        <v xml:space="preserve">INVOICE00122498 CT098109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32.07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0.4</v>
      </c>
      <c r="BJ124">
        <v>2.7</v>
      </c>
      <c r="BK124">
        <v>3</v>
      </c>
      <c r="BL124">
        <v>104.95</v>
      </c>
      <c r="BM124">
        <v>15.74</v>
      </c>
      <c r="BN124">
        <v>120.69</v>
      </c>
      <c r="BO124">
        <v>120.69</v>
      </c>
      <c r="BQ124" t="s">
        <v>322</v>
      </c>
      <c r="BR124" t="s">
        <v>84</v>
      </c>
      <c r="BS124" s="3">
        <v>45968</v>
      </c>
      <c r="BT124" s="4">
        <v>0.35555555555555557</v>
      </c>
      <c r="BU124" t="s">
        <v>85</v>
      </c>
      <c r="BV124" t="s">
        <v>86</v>
      </c>
      <c r="BY124">
        <v>13450.5</v>
      </c>
      <c r="BZ124" t="s">
        <v>126</v>
      </c>
      <c r="CA124">
        <v>8601266266086</v>
      </c>
      <c r="CC124" t="s">
        <v>80</v>
      </c>
      <c r="CD124" s="5" t="s">
        <v>87</v>
      </c>
      <c r="CE124" t="s">
        <v>383</v>
      </c>
      <c r="CF124" s="3">
        <v>45968</v>
      </c>
      <c r="CI124">
        <v>1</v>
      </c>
      <c r="CJ124">
        <v>1</v>
      </c>
      <c r="CK124">
        <v>21</v>
      </c>
      <c r="CL124" t="s">
        <v>89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"GAB2029651"</f>
        <v>GAB2029651</v>
      </c>
      <c r="F125" s="3">
        <v>45968</v>
      </c>
      <c r="G125">
        <v>202608</v>
      </c>
      <c r="H125" t="s">
        <v>75</v>
      </c>
      <c r="I125" t="s">
        <v>76</v>
      </c>
      <c r="J125" t="s">
        <v>77</v>
      </c>
      <c r="K125" t="s">
        <v>78</v>
      </c>
      <c r="L125" t="s">
        <v>246</v>
      </c>
      <c r="M125" t="s">
        <v>247</v>
      </c>
      <c r="N125" t="s">
        <v>581</v>
      </c>
      <c r="O125" t="s">
        <v>82</v>
      </c>
      <c r="P125" t="str">
        <f>"invoices 00122515 00122514 CT0"</f>
        <v>invoices 00122515 00122514 CT0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5.87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41.35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2.8</v>
      </c>
      <c r="BJ125">
        <v>6.6</v>
      </c>
      <c r="BK125">
        <v>7</v>
      </c>
      <c r="BL125">
        <v>141.19999999999999</v>
      </c>
      <c r="BM125">
        <v>21.18</v>
      </c>
      <c r="BN125">
        <v>162.38</v>
      </c>
      <c r="BO125">
        <v>162.38</v>
      </c>
      <c r="BQ125" t="s">
        <v>582</v>
      </c>
      <c r="BR125" t="s">
        <v>84</v>
      </c>
      <c r="BS125" s="3">
        <v>45971</v>
      </c>
      <c r="BT125" s="4">
        <v>0.4375</v>
      </c>
      <c r="BU125" t="s">
        <v>583</v>
      </c>
      <c r="BV125" t="s">
        <v>86</v>
      </c>
      <c r="BY125">
        <v>32818.28</v>
      </c>
      <c r="CC125" t="s">
        <v>247</v>
      </c>
      <c r="CD125">
        <v>9301</v>
      </c>
      <c r="CE125" t="s">
        <v>88</v>
      </c>
      <c r="CF125" s="3">
        <v>45972</v>
      </c>
      <c r="CI125">
        <v>4</v>
      </c>
      <c r="CJ125">
        <v>1</v>
      </c>
      <c r="CK125">
        <v>41</v>
      </c>
      <c r="CL125" t="s">
        <v>89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"GAB2029652"</f>
        <v>GAB2029652</v>
      </c>
      <c r="F126" s="3">
        <v>45968</v>
      </c>
      <c r="G126">
        <v>202608</v>
      </c>
      <c r="H126" t="s">
        <v>75</v>
      </c>
      <c r="I126" t="s">
        <v>76</v>
      </c>
      <c r="J126" t="s">
        <v>77</v>
      </c>
      <c r="K126" t="s">
        <v>78</v>
      </c>
      <c r="L126" t="s">
        <v>584</v>
      </c>
      <c r="M126" t="s">
        <v>585</v>
      </c>
      <c r="N126" t="s">
        <v>586</v>
      </c>
      <c r="O126" t="s">
        <v>82</v>
      </c>
      <c r="P126" t="str">
        <f>"INVOICE 00122517 CT098123     "</f>
        <v xml:space="preserve">INVOICE 00122517 CT098123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5.87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58.32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4.2</v>
      </c>
      <c r="BJ126">
        <v>14</v>
      </c>
      <c r="BK126">
        <v>14</v>
      </c>
      <c r="BL126">
        <v>196.74</v>
      </c>
      <c r="BM126">
        <v>29.51</v>
      </c>
      <c r="BN126">
        <v>226.25</v>
      </c>
      <c r="BO126">
        <v>226.25</v>
      </c>
      <c r="BR126" t="s">
        <v>84</v>
      </c>
      <c r="BS126" s="3">
        <v>45972</v>
      </c>
      <c r="BT126" s="4">
        <v>0.3576388888888889</v>
      </c>
      <c r="BU126" t="s">
        <v>587</v>
      </c>
      <c r="BV126" t="s">
        <v>86</v>
      </c>
      <c r="BY126">
        <v>69865.25</v>
      </c>
      <c r="CA126" t="s">
        <v>588</v>
      </c>
      <c r="CC126" t="s">
        <v>585</v>
      </c>
      <c r="CD126">
        <v>3900</v>
      </c>
      <c r="CE126" t="s">
        <v>114</v>
      </c>
      <c r="CF126" s="3">
        <v>45972</v>
      </c>
      <c r="CI126">
        <v>4</v>
      </c>
      <c r="CJ126">
        <v>2</v>
      </c>
      <c r="CK126">
        <v>43</v>
      </c>
      <c r="CL126" t="s">
        <v>89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"GAB2029653"</f>
        <v>GAB2029653</v>
      </c>
      <c r="F127" s="3">
        <v>45968</v>
      </c>
      <c r="G127">
        <v>202608</v>
      </c>
      <c r="H127" t="s">
        <v>75</v>
      </c>
      <c r="I127" t="s">
        <v>76</v>
      </c>
      <c r="J127" t="s">
        <v>77</v>
      </c>
      <c r="K127" t="s">
        <v>78</v>
      </c>
      <c r="L127" t="s">
        <v>353</v>
      </c>
      <c r="M127" t="s">
        <v>354</v>
      </c>
      <c r="N127" t="s">
        <v>589</v>
      </c>
      <c r="O127" t="s">
        <v>82</v>
      </c>
      <c r="P127" t="str">
        <f>"INVOICE 00041257 ORTDGS037728 "</f>
        <v xml:space="preserve">INVOICE 00041257 ORTDGS037728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5.87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70.239999999999995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2</v>
      </c>
      <c r="BI127">
        <v>9.6999999999999993</v>
      </c>
      <c r="BJ127">
        <v>18.2</v>
      </c>
      <c r="BK127">
        <v>19</v>
      </c>
      <c r="BL127">
        <v>235.74</v>
      </c>
      <c r="BM127">
        <v>35.36</v>
      </c>
      <c r="BN127">
        <v>271.10000000000002</v>
      </c>
      <c r="BO127">
        <v>271.10000000000002</v>
      </c>
      <c r="BQ127" t="s">
        <v>185</v>
      </c>
      <c r="BR127" t="s">
        <v>84</v>
      </c>
      <c r="BS127" s="3">
        <v>45975</v>
      </c>
      <c r="BT127" s="4">
        <v>0.625</v>
      </c>
      <c r="BU127" t="s">
        <v>590</v>
      </c>
      <c r="BV127" t="s">
        <v>89</v>
      </c>
      <c r="BY127">
        <v>90865.58</v>
      </c>
      <c r="CC127" t="s">
        <v>354</v>
      </c>
      <c r="CD127">
        <v>1050</v>
      </c>
      <c r="CE127" t="s">
        <v>103</v>
      </c>
      <c r="CF127" s="3">
        <v>45975</v>
      </c>
      <c r="CI127">
        <v>3</v>
      </c>
      <c r="CJ127">
        <v>5</v>
      </c>
      <c r="CK127">
        <v>43</v>
      </c>
      <c r="CL127" t="s">
        <v>89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"GAB2029655"</f>
        <v>GAB2029655</v>
      </c>
      <c r="F128" s="3">
        <v>45968</v>
      </c>
      <c r="G128">
        <v>202608</v>
      </c>
      <c r="H128" t="s">
        <v>75</v>
      </c>
      <c r="I128" t="s">
        <v>76</v>
      </c>
      <c r="J128" t="s">
        <v>77</v>
      </c>
      <c r="K128" t="s">
        <v>78</v>
      </c>
      <c r="L128" t="s">
        <v>175</v>
      </c>
      <c r="M128" t="s">
        <v>176</v>
      </c>
      <c r="N128" t="s">
        <v>591</v>
      </c>
      <c r="O128" t="s">
        <v>82</v>
      </c>
      <c r="P128" t="str">
        <f>"INVOICES00122519 00122526 0012"</f>
        <v>INVOICES00122519 00122526 0012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243.01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4</v>
      </c>
      <c r="BI128">
        <v>34.1</v>
      </c>
      <c r="BJ128">
        <v>76.400000000000006</v>
      </c>
      <c r="BK128">
        <v>77</v>
      </c>
      <c r="BL128">
        <v>801.17</v>
      </c>
      <c r="BM128">
        <v>120.18</v>
      </c>
      <c r="BN128">
        <v>921.35</v>
      </c>
      <c r="BO128">
        <v>921.35</v>
      </c>
      <c r="BQ128" t="s">
        <v>592</v>
      </c>
      <c r="BR128" t="s">
        <v>84</v>
      </c>
      <c r="BS128" s="3">
        <v>45971</v>
      </c>
      <c r="BT128" s="4">
        <v>0.62291666666666667</v>
      </c>
      <c r="BU128" t="s">
        <v>593</v>
      </c>
      <c r="BV128" t="s">
        <v>86</v>
      </c>
      <c r="BY128">
        <v>382024.55</v>
      </c>
      <c r="CA128" t="s">
        <v>594</v>
      </c>
      <c r="CC128" t="s">
        <v>176</v>
      </c>
      <c r="CD128">
        <v>2745</v>
      </c>
      <c r="CE128" t="s">
        <v>103</v>
      </c>
      <c r="CF128" s="3">
        <v>45979</v>
      </c>
      <c r="CI128">
        <v>3</v>
      </c>
      <c r="CJ128">
        <v>1</v>
      </c>
      <c r="CK128">
        <v>43</v>
      </c>
      <c r="CL128" t="s">
        <v>89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"GAB2029659"</f>
        <v>GAB2029659</v>
      </c>
      <c r="F129" s="3">
        <v>45968</v>
      </c>
      <c r="G129">
        <v>202608</v>
      </c>
      <c r="H129" t="s">
        <v>75</v>
      </c>
      <c r="I129" t="s">
        <v>76</v>
      </c>
      <c r="J129" t="s">
        <v>77</v>
      </c>
      <c r="K129" t="s">
        <v>78</v>
      </c>
      <c r="L129" t="s">
        <v>595</v>
      </c>
      <c r="M129" t="s">
        <v>596</v>
      </c>
      <c r="N129" t="s">
        <v>597</v>
      </c>
      <c r="O129" t="s">
        <v>82</v>
      </c>
      <c r="P129" t="str">
        <f>"INVOICE 00122537 CT098143     "</f>
        <v xml:space="preserve">INVOICE 00122537 CT098143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5.87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58.32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5.4</v>
      </c>
      <c r="BJ129">
        <v>13.6</v>
      </c>
      <c r="BK129">
        <v>14</v>
      </c>
      <c r="BL129">
        <v>196.74</v>
      </c>
      <c r="BM129">
        <v>29.51</v>
      </c>
      <c r="BN129">
        <v>226.25</v>
      </c>
      <c r="BO129">
        <v>226.25</v>
      </c>
      <c r="BQ129" t="s">
        <v>598</v>
      </c>
      <c r="BR129" t="s">
        <v>84</v>
      </c>
      <c r="BS129" s="3">
        <v>45973</v>
      </c>
      <c r="BT129" s="4">
        <v>0.3923611111111111</v>
      </c>
      <c r="BU129" t="s">
        <v>599</v>
      </c>
      <c r="BV129" t="s">
        <v>86</v>
      </c>
      <c r="BY129">
        <v>67838.5</v>
      </c>
      <c r="CA129" t="s">
        <v>600</v>
      </c>
      <c r="CC129" t="s">
        <v>596</v>
      </c>
      <c r="CD129">
        <v>8800</v>
      </c>
      <c r="CE129" t="s">
        <v>103</v>
      </c>
      <c r="CF129" s="3">
        <v>45974</v>
      </c>
      <c r="CI129">
        <v>5</v>
      </c>
      <c r="CJ129">
        <v>3</v>
      </c>
      <c r="CK129">
        <v>43</v>
      </c>
      <c r="CL129" t="s">
        <v>89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"GAB2029666"</f>
        <v>GAB2029666</v>
      </c>
      <c r="F130" s="3">
        <v>45968</v>
      </c>
      <c r="G130">
        <v>202608</v>
      </c>
      <c r="H130" t="s">
        <v>75</v>
      </c>
      <c r="I130" t="s">
        <v>76</v>
      </c>
      <c r="J130" t="s">
        <v>77</v>
      </c>
      <c r="K130" t="s">
        <v>78</v>
      </c>
      <c r="L130" t="s">
        <v>212</v>
      </c>
      <c r="M130" t="s">
        <v>213</v>
      </c>
      <c r="N130" t="s">
        <v>601</v>
      </c>
      <c r="O130" t="s">
        <v>82</v>
      </c>
      <c r="P130" t="str">
        <f>"INVOICE 00041255 ORDGS037941  "</f>
        <v xml:space="preserve">INVOICE 00041255 ORDGS037941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5.87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48.18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2</v>
      </c>
      <c r="BI130">
        <v>8.6999999999999993</v>
      </c>
      <c r="BJ130">
        <v>19</v>
      </c>
      <c r="BK130">
        <v>19</v>
      </c>
      <c r="BL130">
        <v>163.55000000000001</v>
      </c>
      <c r="BM130">
        <v>24.53</v>
      </c>
      <c r="BN130">
        <v>188.08</v>
      </c>
      <c r="BO130">
        <v>188.08</v>
      </c>
      <c r="BR130" t="s">
        <v>84</v>
      </c>
      <c r="BS130" s="3">
        <v>45975</v>
      </c>
      <c r="BT130" s="4">
        <v>0.48680555555555555</v>
      </c>
      <c r="BU130" t="s">
        <v>602</v>
      </c>
      <c r="BV130" t="s">
        <v>89</v>
      </c>
      <c r="BW130" t="s">
        <v>562</v>
      </c>
      <c r="BX130" t="s">
        <v>217</v>
      </c>
      <c r="BY130">
        <v>94852.800000000003</v>
      </c>
      <c r="CC130" t="s">
        <v>213</v>
      </c>
      <c r="CD130">
        <v>5201</v>
      </c>
      <c r="CE130" t="s">
        <v>103</v>
      </c>
      <c r="CF130" s="3">
        <v>45975</v>
      </c>
      <c r="CI130">
        <v>3</v>
      </c>
      <c r="CJ130">
        <v>5</v>
      </c>
      <c r="CK130">
        <v>41</v>
      </c>
      <c r="CL130" t="s">
        <v>89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"GAB2029672"</f>
        <v>GAB2029672</v>
      </c>
      <c r="F131" s="3">
        <v>45968</v>
      </c>
      <c r="G131">
        <v>202608</v>
      </c>
      <c r="H131" t="s">
        <v>75</v>
      </c>
      <c r="I131" t="s">
        <v>76</v>
      </c>
      <c r="J131" t="s">
        <v>77</v>
      </c>
      <c r="K131" t="s">
        <v>78</v>
      </c>
      <c r="L131" t="s">
        <v>603</v>
      </c>
      <c r="M131" t="s">
        <v>604</v>
      </c>
      <c r="N131" t="s">
        <v>605</v>
      </c>
      <c r="O131" t="s">
        <v>82</v>
      </c>
      <c r="P131" t="str">
        <f>"INVOICE 00041230 ORDGS037933  "</f>
        <v xml:space="preserve">INVOICE 00041230 ORDGS037933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5.87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58.32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2.6</v>
      </c>
      <c r="BJ131">
        <v>6.1</v>
      </c>
      <c r="BK131">
        <v>7</v>
      </c>
      <c r="BL131">
        <v>196.74</v>
      </c>
      <c r="BM131">
        <v>29.51</v>
      </c>
      <c r="BN131">
        <v>226.25</v>
      </c>
      <c r="BO131">
        <v>226.25</v>
      </c>
      <c r="BQ131" t="s">
        <v>185</v>
      </c>
      <c r="BR131" t="s">
        <v>84</v>
      </c>
      <c r="BS131" s="3">
        <v>45973</v>
      </c>
      <c r="BT131" s="4">
        <v>0.65416666666666667</v>
      </c>
      <c r="BU131" t="s">
        <v>606</v>
      </c>
      <c r="BV131" t="s">
        <v>86</v>
      </c>
      <c r="BY131">
        <v>30429</v>
      </c>
      <c r="CA131" t="s">
        <v>607</v>
      </c>
      <c r="CC131" t="s">
        <v>604</v>
      </c>
      <c r="CD131">
        <v>3242</v>
      </c>
      <c r="CE131" t="s">
        <v>103</v>
      </c>
      <c r="CF131" s="3">
        <v>45974</v>
      </c>
      <c r="CI131">
        <v>5</v>
      </c>
      <c r="CJ131">
        <v>3</v>
      </c>
      <c r="CK131">
        <v>43</v>
      </c>
      <c r="CL131" t="s">
        <v>89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"GAB2029676"</f>
        <v>GAB2029676</v>
      </c>
      <c r="F132" s="3">
        <v>45968</v>
      </c>
      <c r="G132">
        <v>202608</v>
      </c>
      <c r="H132" t="s">
        <v>75</v>
      </c>
      <c r="I132" t="s">
        <v>76</v>
      </c>
      <c r="J132" t="s">
        <v>77</v>
      </c>
      <c r="K132" t="s">
        <v>78</v>
      </c>
      <c r="L132" t="s">
        <v>230</v>
      </c>
      <c r="M132" t="s">
        <v>231</v>
      </c>
      <c r="N132" t="s">
        <v>462</v>
      </c>
      <c r="O132" t="s">
        <v>82</v>
      </c>
      <c r="P132" t="str">
        <f>"INVOICE 00122516 CT098122     "</f>
        <v xml:space="preserve">INVOICE 00122516 CT098122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5.87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41.35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4.4000000000000004</v>
      </c>
      <c r="BJ132">
        <v>12.8</v>
      </c>
      <c r="BK132">
        <v>13</v>
      </c>
      <c r="BL132">
        <v>141.19999999999999</v>
      </c>
      <c r="BM132">
        <v>21.18</v>
      </c>
      <c r="BN132">
        <v>162.38</v>
      </c>
      <c r="BO132">
        <v>162.38</v>
      </c>
      <c r="BQ132" t="s">
        <v>463</v>
      </c>
      <c r="BR132" t="s">
        <v>84</v>
      </c>
      <c r="BS132" s="3">
        <v>45971</v>
      </c>
      <c r="BT132" s="4">
        <v>0.37847222222222221</v>
      </c>
      <c r="BU132" t="s">
        <v>608</v>
      </c>
      <c r="BV132" t="s">
        <v>86</v>
      </c>
      <c r="BY132">
        <v>64180.2</v>
      </c>
      <c r="CA132">
        <v>9107126013089</v>
      </c>
      <c r="CC132" t="s">
        <v>231</v>
      </c>
      <c r="CD132" s="5" t="s">
        <v>382</v>
      </c>
      <c r="CE132" t="s">
        <v>114</v>
      </c>
      <c r="CF132" s="3">
        <v>45971</v>
      </c>
      <c r="CI132">
        <v>3</v>
      </c>
      <c r="CJ132">
        <v>1</v>
      </c>
      <c r="CK132">
        <v>41</v>
      </c>
      <c r="CL132" t="s">
        <v>89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"GAB2029684"</f>
        <v>GAB2029684</v>
      </c>
      <c r="F133" s="3">
        <v>45968</v>
      </c>
      <c r="G133">
        <v>202608</v>
      </c>
      <c r="H133" t="s">
        <v>75</v>
      </c>
      <c r="I133" t="s">
        <v>76</v>
      </c>
      <c r="J133" t="s">
        <v>77</v>
      </c>
      <c r="K133" t="s">
        <v>78</v>
      </c>
      <c r="L133" t="s">
        <v>137</v>
      </c>
      <c r="M133" t="s">
        <v>138</v>
      </c>
      <c r="N133" t="s">
        <v>609</v>
      </c>
      <c r="O133" t="s">
        <v>82</v>
      </c>
      <c r="P133" t="str">
        <f>"INVOICE 00122550 CT098116     "</f>
        <v xml:space="preserve">INVOICE 00122550 CT098116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5.87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58.32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1.5</v>
      </c>
      <c r="BJ133">
        <v>6</v>
      </c>
      <c r="BK133">
        <v>6</v>
      </c>
      <c r="BL133">
        <v>196.74</v>
      </c>
      <c r="BM133">
        <v>29.51</v>
      </c>
      <c r="BN133">
        <v>226.25</v>
      </c>
      <c r="BO133">
        <v>226.25</v>
      </c>
      <c r="BQ133" t="s">
        <v>610</v>
      </c>
      <c r="BR133" t="s">
        <v>84</v>
      </c>
      <c r="BS133" s="3">
        <v>45971</v>
      </c>
      <c r="BT133" s="4">
        <v>0.60416666666666663</v>
      </c>
      <c r="BU133" t="s">
        <v>140</v>
      </c>
      <c r="BV133" t="s">
        <v>86</v>
      </c>
      <c r="BY133">
        <v>29765.89</v>
      </c>
      <c r="CA133" t="s">
        <v>141</v>
      </c>
      <c r="CC133" t="s">
        <v>138</v>
      </c>
      <c r="CD133" s="5" t="s">
        <v>142</v>
      </c>
      <c r="CE133" t="s">
        <v>611</v>
      </c>
      <c r="CF133" s="3">
        <v>45971</v>
      </c>
      <c r="CI133">
        <v>3</v>
      </c>
      <c r="CJ133">
        <v>1</v>
      </c>
      <c r="CK133">
        <v>43</v>
      </c>
      <c r="CL133" t="s">
        <v>89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"GAB2029686"</f>
        <v>GAB2029686</v>
      </c>
      <c r="F134" s="3">
        <v>45968</v>
      </c>
      <c r="G134">
        <v>202608</v>
      </c>
      <c r="H134" t="s">
        <v>75</v>
      </c>
      <c r="I134" t="s">
        <v>76</v>
      </c>
      <c r="J134" t="s">
        <v>77</v>
      </c>
      <c r="K134" t="s">
        <v>78</v>
      </c>
      <c r="L134" t="s">
        <v>121</v>
      </c>
      <c r="M134" t="s">
        <v>122</v>
      </c>
      <c r="N134" t="s">
        <v>612</v>
      </c>
      <c r="O134" t="s">
        <v>82</v>
      </c>
      <c r="P134" t="str">
        <f>"INVOICE 00122549 CT098148     "</f>
        <v xml:space="preserve">INVOICE 00122549 CT098148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5.87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130.13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5</v>
      </c>
      <c r="BI134">
        <v>25.3</v>
      </c>
      <c r="BJ134">
        <v>66.099999999999994</v>
      </c>
      <c r="BK134">
        <v>67</v>
      </c>
      <c r="BL134">
        <v>431.74</v>
      </c>
      <c r="BM134">
        <v>64.760000000000005</v>
      </c>
      <c r="BN134">
        <v>496.5</v>
      </c>
      <c r="BO134">
        <v>496.5</v>
      </c>
      <c r="BQ134" t="s">
        <v>613</v>
      </c>
      <c r="BR134" t="s">
        <v>84</v>
      </c>
      <c r="BS134" s="3">
        <v>45971</v>
      </c>
      <c r="BT134" s="4">
        <v>0.4236111111111111</v>
      </c>
      <c r="BU134" t="s">
        <v>614</v>
      </c>
      <c r="BV134" t="s">
        <v>86</v>
      </c>
      <c r="BY134">
        <v>330486.8</v>
      </c>
      <c r="CA134" t="s">
        <v>127</v>
      </c>
      <c r="CC134" t="s">
        <v>122</v>
      </c>
      <c r="CD134">
        <v>1200</v>
      </c>
      <c r="CE134" t="s">
        <v>108</v>
      </c>
      <c r="CF134" s="3">
        <v>45971</v>
      </c>
      <c r="CI134">
        <v>3</v>
      </c>
      <c r="CJ134">
        <v>1</v>
      </c>
      <c r="CK134">
        <v>41</v>
      </c>
      <c r="CL134" t="s">
        <v>89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"GAB2029687"</f>
        <v>GAB2029687</v>
      </c>
      <c r="F135" s="3">
        <v>45968</v>
      </c>
      <c r="G135">
        <v>202608</v>
      </c>
      <c r="H135" t="s">
        <v>75</v>
      </c>
      <c r="I135" t="s">
        <v>76</v>
      </c>
      <c r="J135" t="s">
        <v>77</v>
      </c>
      <c r="K135" t="s">
        <v>78</v>
      </c>
      <c r="L135" t="s">
        <v>90</v>
      </c>
      <c r="M135" t="s">
        <v>91</v>
      </c>
      <c r="N135" t="s">
        <v>615</v>
      </c>
      <c r="O135" t="s">
        <v>82</v>
      </c>
      <c r="P135" t="str">
        <f>"INVOICE  00122552 CT098145    "</f>
        <v xml:space="preserve">INVOICE  00122552 CT098145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5.87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87.45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3</v>
      </c>
      <c r="BI135">
        <v>12.4</v>
      </c>
      <c r="BJ135">
        <v>41.6</v>
      </c>
      <c r="BK135">
        <v>42</v>
      </c>
      <c r="BL135">
        <v>292.06</v>
      </c>
      <c r="BM135">
        <v>43.81</v>
      </c>
      <c r="BN135">
        <v>335.87</v>
      </c>
      <c r="BO135">
        <v>335.87</v>
      </c>
      <c r="BQ135" t="s">
        <v>616</v>
      </c>
      <c r="BR135" t="s">
        <v>84</v>
      </c>
      <c r="BS135" s="3">
        <v>45971</v>
      </c>
      <c r="BT135" s="4">
        <v>0.40138888888888891</v>
      </c>
      <c r="BU135" t="s">
        <v>617</v>
      </c>
      <c r="BV135" t="s">
        <v>86</v>
      </c>
      <c r="BY135">
        <v>208139.85</v>
      </c>
      <c r="CA135" t="s">
        <v>618</v>
      </c>
      <c r="CC135" t="s">
        <v>91</v>
      </c>
      <c r="CD135">
        <v>4001</v>
      </c>
      <c r="CE135" t="s">
        <v>108</v>
      </c>
      <c r="CF135" s="3">
        <v>45972</v>
      </c>
      <c r="CI135">
        <v>3</v>
      </c>
      <c r="CJ135">
        <v>1</v>
      </c>
      <c r="CK135">
        <v>41</v>
      </c>
      <c r="CL135" t="s">
        <v>89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"GAB2029656"</f>
        <v>GAB2029656</v>
      </c>
      <c r="F136" s="3">
        <v>45968</v>
      </c>
      <c r="G136">
        <v>202608</v>
      </c>
      <c r="H136" t="s">
        <v>75</v>
      </c>
      <c r="I136" t="s">
        <v>76</v>
      </c>
      <c r="J136" t="s">
        <v>77</v>
      </c>
      <c r="K136" t="s">
        <v>78</v>
      </c>
      <c r="L136" t="s">
        <v>374</v>
      </c>
      <c r="M136" t="s">
        <v>375</v>
      </c>
      <c r="N136" t="s">
        <v>376</v>
      </c>
      <c r="O136" t="s">
        <v>124</v>
      </c>
      <c r="P136" t="str">
        <f>"INVOICE 00122520 CT098138     "</f>
        <v xml:space="preserve">INVOICE 00122520 CT098138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21.38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0.3</v>
      </c>
      <c r="BJ136">
        <v>1.8</v>
      </c>
      <c r="BK136">
        <v>2</v>
      </c>
      <c r="BL136">
        <v>69.98</v>
      </c>
      <c r="BM136">
        <v>10.5</v>
      </c>
      <c r="BN136">
        <v>80.48</v>
      </c>
      <c r="BO136">
        <v>80.48</v>
      </c>
      <c r="BR136" t="s">
        <v>84</v>
      </c>
      <c r="BS136" s="3">
        <v>45971</v>
      </c>
      <c r="BT136" s="4">
        <v>0.42708333333333331</v>
      </c>
      <c r="BU136" t="s">
        <v>377</v>
      </c>
      <c r="BV136" t="s">
        <v>86</v>
      </c>
      <c r="BY136">
        <v>8798.08</v>
      </c>
      <c r="BZ136" t="s">
        <v>126</v>
      </c>
      <c r="CA136" t="s">
        <v>378</v>
      </c>
      <c r="CC136" t="s">
        <v>375</v>
      </c>
      <c r="CD136">
        <v>2146</v>
      </c>
      <c r="CE136" t="s">
        <v>619</v>
      </c>
      <c r="CF136" s="3">
        <v>45972</v>
      </c>
      <c r="CI136">
        <v>1</v>
      </c>
      <c r="CJ136">
        <v>1</v>
      </c>
      <c r="CK136">
        <v>21</v>
      </c>
      <c r="CL136" t="s">
        <v>89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"GAB2029657"</f>
        <v>GAB2029657</v>
      </c>
      <c r="F137" s="3">
        <v>45968</v>
      </c>
      <c r="G137">
        <v>202608</v>
      </c>
      <c r="H137" t="s">
        <v>75</v>
      </c>
      <c r="I137" t="s">
        <v>76</v>
      </c>
      <c r="J137" t="s">
        <v>77</v>
      </c>
      <c r="K137" t="s">
        <v>78</v>
      </c>
      <c r="L137" t="s">
        <v>620</v>
      </c>
      <c r="M137" t="s">
        <v>621</v>
      </c>
      <c r="N137" t="s">
        <v>622</v>
      </c>
      <c r="O137" t="s">
        <v>124</v>
      </c>
      <c r="P137" t="str">
        <f>"INVOICE 00122527 CT098139     "</f>
        <v xml:space="preserve">INVOICE 00122527 CT098139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37.4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0.2</v>
      </c>
      <c r="BJ137">
        <v>2.5</v>
      </c>
      <c r="BK137">
        <v>2.5</v>
      </c>
      <c r="BL137">
        <v>122.39</v>
      </c>
      <c r="BM137">
        <v>18.36</v>
      </c>
      <c r="BN137">
        <v>140.75</v>
      </c>
      <c r="BO137">
        <v>140.75</v>
      </c>
      <c r="BQ137" t="s">
        <v>623</v>
      </c>
      <c r="BR137" t="s">
        <v>84</v>
      </c>
      <c r="BS137" s="3">
        <v>45971</v>
      </c>
      <c r="BT137" s="4">
        <v>0.40138888888888891</v>
      </c>
      <c r="BU137" t="s">
        <v>624</v>
      </c>
      <c r="BV137" t="s">
        <v>86</v>
      </c>
      <c r="BY137">
        <v>12634.25</v>
      </c>
      <c r="BZ137" t="s">
        <v>126</v>
      </c>
      <c r="CA137" t="s">
        <v>625</v>
      </c>
      <c r="CC137" t="s">
        <v>621</v>
      </c>
      <c r="CD137">
        <v>7130</v>
      </c>
      <c r="CE137" t="s">
        <v>154</v>
      </c>
      <c r="CF137" s="3">
        <v>45972</v>
      </c>
      <c r="CI137">
        <v>1</v>
      </c>
      <c r="CJ137">
        <v>1</v>
      </c>
      <c r="CK137">
        <v>24</v>
      </c>
      <c r="CL137" t="s">
        <v>89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"GAB2029658"</f>
        <v>GAB2029658</v>
      </c>
      <c r="F138" s="3">
        <v>45968</v>
      </c>
      <c r="G138">
        <v>202608</v>
      </c>
      <c r="H138" t="s">
        <v>75</v>
      </c>
      <c r="I138" t="s">
        <v>76</v>
      </c>
      <c r="J138" t="s">
        <v>77</v>
      </c>
      <c r="K138" t="s">
        <v>78</v>
      </c>
      <c r="L138" t="s">
        <v>75</v>
      </c>
      <c r="M138" t="s">
        <v>76</v>
      </c>
      <c r="N138" t="s">
        <v>150</v>
      </c>
      <c r="O138" t="s">
        <v>124</v>
      </c>
      <c r="P138" t="str">
        <f>"INVOICE 00041259 ORDGS037488  "</f>
        <v xml:space="preserve">INVOICE 00041259 ORDGS037488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16.7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0.2</v>
      </c>
      <c r="BJ138">
        <v>1.7</v>
      </c>
      <c r="BK138">
        <v>2</v>
      </c>
      <c r="BL138">
        <v>54.66</v>
      </c>
      <c r="BM138">
        <v>8.1999999999999993</v>
      </c>
      <c r="BN138">
        <v>62.86</v>
      </c>
      <c r="BO138">
        <v>62.86</v>
      </c>
      <c r="BQ138" t="s">
        <v>151</v>
      </c>
      <c r="BR138" t="s">
        <v>84</v>
      </c>
      <c r="BS138" s="3">
        <v>45971</v>
      </c>
      <c r="BT138" s="4">
        <v>0.41666666666666669</v>
      </c>
      <c r="BU138" t="s">
        <v>626</v>
      </c>
      <c r="BV138" t="s">
        <v>86</v>
      </c>
      <c r="BY138">
        <v>8592.48</v>
      </c>
      <c r="BZ138" t="s">
        <v>126</v>
      </c>
      <c r="CA138" t="s">
        <v>373</v>
      </c>
      <c r="CC138" t="s">
        <v>76</v>
      </c>
      <c r="CD138">
        <v>7735</v>
      </c>
      <c r="CE138" t="s">
        <v>627</v>
      </c>
      <c r="CF138" s="3">
        <v>45972</v>
      </c>
      <c r="CI138">
        <v>1</v>
      </c>
      <c r="CJ138">
        <v>1</v>
      </c>
      <c r="CK138">
        <v>22</v>
      </c>
      <c r="CL138" t="s">
        <v>89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"GAB2029660"</f>
        <v>GAB2029660</v>
      </c>
      <c r="F139" s="3">
        <v>45968</v>
      </c>
      <c r="G139">
        <v>202608</v>
      </c>
      <c r="H139" t="s">
        <v>75</v>
      </c>
      <c r="I139" t="s">
        <v>76</v>
      </c>
      <c r="J139" t="s">
        <v>77</v>
      </c>
      <c r="K139" t="s">
        <v>78</v>
      </c>
      <c r="L139" t="s">
        <v>628</v>
      </c>
      <c r="M139" t="s">
        <v>629</v>
      </c>
      <c r="N139" t="s">
        <v>630</v>
      </c>
      <c r="O139" t="s">
        <v>124</v>
      </c>
      <c r="P139" t="str">
        <f>"INVOICE 00041261 ORDGS037948  "</f>
        <v xml:space="preserve">INVOICE 00041261 ORDGS037948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21.38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0.4</v>
      </c>
      <c r="BJ139">
        <v>1.7</v>
      </c>
      <c r="BK139">
        <v>2</v>
      </c>
      <c r="BL139">
        <v>69.98</v>
      </c>
      <c r="BM139">
        <v>10.5</v>
      </c>
      <c r="BN139">
        <v>80.48</v>
      </c>
      <c r="BO139">
        <v>80.48</v>
      </c>
      <c r="BQ139" t="s">
        <v>380</v>
      </c>
      <c r="BR139" t="s">
        <v>84</v>
      </c>
      <c r="BS139" s="3">
        <v>45971</v>
      </c>
      <c r="BT139" s="4">
        <v>0.36805555555555558</v>
      </c>
      <c r="BU139" t="s">
        <v>631</v>
      </c>
      <c r="BV139" t="s">
        <v>86</v>
      </c>
      <c r="BY139">
        <v>8441.76</v>
      </c>
      <c r="BZ139" t="s">
        <v>126</v>
      </c>
      <c r="CA139" t="s">
        <v>632</v>
      </c>
      <c r="CC139" t="s">
        <v>629</v>
      </c>
      <c r="CD139">
        <v>6230</v>
      </c>
      <c r="CE139" t="s">
        <v>149</v>
      </c>
      <c r="CF139" s="3">
        <v>45971</v>
      </c>
      <c r="CI139">
        <v>2</v>
      </c>
      <c r="CJ139">
        <v>1</v>
      </c>
      <c r="CK139">
        <v>21</v>
      </c>
      <c r="CL139" t="s">
        <v>89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"GAB2029661"</f>
        <v>GAB2029661</v>
      </c>
      <c r="F140" s="3">
        <v>45968</v>
      </c>
      <c r="G140">
        <v>202608</v>
      </c>
      <c r="H140" t="s">
        <v>75</v>
      </c>
      <c r="I140" t="s">
        <v>76</v>
      </c>
      <c r="J140" t="s">
        <v>77</v>
      </c>
      <c r="K140" t="s">
        <v>78</v>
      </c>
      <c r="L140" t="s">
        <v>155</v>
      </c>
      <c r="M140" t="s">
        <v>156</v>
      </c>
      <c r="N140" t="s">
        <v>157</v>
      </c>
      <c r="O140" t="s">
        <v>124</v>
      </c>
      <c r="P140" t="str">
        <f>"INVOICE 00041260 ORTDGS037944 "</f>
        <v xml:space="preserve">INVOICE 00041260 ORTDGS037944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21.38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0.2</v>
      </c>
      <c r="BJ140">
        <v>2</v>
      </c>
      <c r="BK140">
        <v>2</v>
      </c>
      <c r="BL140">
        <v>69.98</v>
      </c>
      <c r="BM140">
        <v>10.5</v>
      </c>
      <c r="BN140">
        <v>80.48</v>
      </c>
      <c r="BO140">
        <v>80.48</v>
      </c>
      <c r="BQ140" t="s">
        <v>158</v>
      </c>
      <c r="BR140" t="s">
        <v>84</v>
      </c>
      <c r="BS140" s="3">
        <v>45971</v>
      </c>
      <c r="BT140" s="4">
        <v>0.32430555555555557</v>
      </c>
      <c r="BU140" t="s">
        <v>633</v>
      </c>
      <c r="BV140" t="s">
        <v>86</v>
      </c>
      <c r="BY140">
        <v>9961.83</v>
      </c>
      <c r="BZ140" t="s">
        <v>126</v>
      </c>
      <c r="CA140" t="s">
        <v>160</v>
      </c>
      <c r="CC140" t="s">
        <v>156</v>
      </c>
      <c r="CD140">
        <v>1416</v>
      </c>
      <c r="CE140" t="s">
        <v>154</v>
      </c>
      <c r="CF140" s="3">
        <v>45971</v>
      </c>
      <c r="CI140">
        <v>1</v>
      </c>
      <c r="CJ140">
        <v>1</v>
      </c>
      <c r="CK140">
        <v>21</v>
      </c>
      <c r="CL140" t="s">
        <v>89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"GAB2029662"</f>
        <v>GAB2029662</v>
      </c>
      <c r="F141" s="3">
        <v>45968</v>
      </c>
      <c r="G141">
        <v>202608</v>
      </c>
      <c r="H141" t="s">
        <v>75</v>
      </c>
      <c r="I141" t="s">
        <v>76</v>
      </c>
      <c r="J141" t="s">
        <v>77</v>
      </c>
      <c r="K141" t="s">
        <v>78</v>
      </c>
      <c r="L141" t="s">
        <v>394</v>
      </c>
      <c r="M141" t="s">
        <v>395</v>
      </c>
      <c r="N141" t="s">
        <v>634</v>
      </c>
      <c r="O141" t="s">
        <v>124</v>
      </c>
      <c r="P141" t="str">
        <f>"INVOICE 00041258 ORDGS037458  "</f>
        <v xml:space="preserve">INVOICE 00041258 ORDGS037458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50.78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0.2</v>
      </c>
      <c r="BJ141">
        <v>2.2000000000000002</v>
      </c>
      <c r="BK141">
        <v>2.5</v>
      </c>
      <c r="BL141">
        <v>166.2</v>
      </c>
      <c r="BM141">
        <v>24.93</v>
      </c>
      <c r="BN141">
        <v>191.13</v>
      </c>
      <c r="BO141">
        <v>191.13</v>
      </c>
      <c r="BQ141" t="s">
        <v>118</v>
      </c>
      <c r="BR141" t="s">
        <v>84</v>
      </c>
      <c r="BS141" s="3">
        <v>45972</v>
      </c>
      <c r="BT141" s="4">
        <v>0.41805555555555557</v>
      </c>
      <c r="BU141" t="s">
        <v>635</v>
      </c>
      <c r="BV141" t="s">
        <v>86</v>
      </c>
      <c r="BY141">
        <v>10863</v>
      </c>
      <c r="BZ141" t="s">
        <v>126</v>
      </c>
      <c r="CA141" t="s">
        <v>636</v>
      </c>
      <c r="CC141" t="s">
        <v>395</v>
      </c>
      <c r="CD141" s="5" t="s">
        <v>399</v>
      </c>
      <c r="CE141" t="s">
        <v>154</v>
      </c>
      <c r="CF141" s="3">
        <v>45973</v>
      </c>
      <c r="CI141">
        <v>2</v>
      </c>
      <c r="CJ141">
        <v>2</v>
      </c>
      <c r="CK141">
        <v>23</v>
      </c>
      <c r="CL141" t="s">
        <v>89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"GAB2029663"</f>
        <v>GAB2029663</v>
      </c>
      <c r="F142" s="3">
        <v>45968</v>
      </c>
      <c r="G142">
        <v>202608</v>
      </c>
      <c r="H142" t="s">
        <v>75</v>
      </c>
      <c r="I142" t="s">
        <v>76</v>
      </c>
      <c r="J142" t="s">
        <v>77</v>
      </c>
      <c r="K142" t="s">
        <v>78</v>
      </c>
      <c r="L142" t="s">
        <v>353</v>
      </c>
      <c r="M142" t="s">
        <v>354</v>
      </c>
      <c r="N142" t="s">
        <v>637</v>
      </c>
      <c r="O142" t="s">
        <v>124</v>
      </c>
      <c r="P142" t="str">
        <f>"INVOICE 00041256 ORDGS037650  "</f>
        <v xml:space="preserve">INVOICE 00041256 ORDGS037650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41.43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0.2</v>
      </c>
      <c r="BJ142">
        <v>1.8</v>
      </c>
      <c r="BK142">
        <v>2</v>
      </c>
      <c r="BL142">
        <v>135.59</v>
      </c>
      <c r="BM142">
        <v>20.34</v>
      </c>
      <c r="BN142">
        <v>155.93</v>
      </c>
      <c r="BO142">
        <v>155.93</v>
      </c>
      <c r="BQ142" t="s">
        <v>638</v>
      </c>
      <c r="BR142" t="s">
        <v>84</v>
      </c>
      <c r="BS142" s="3">
        <v>45971</v>
      </c>
      <c r="BT142" s="4">
        <v>0.43402777777777779</v>
      </c>
      <c r="BU142" t="s">
        <v>639</v>
      </c>
      <c r="BV142" t="s">
        <v>86</v>
      </c>
      <c r="BY142">
        <v>8992.48</v>
      </c>
      <c r="BZ142" t="s">
        <v>126</v>
      </c>
      <c r="CA142" t="s">
        <v>640</v>
      </c>
      <c r="CC142" t="s">
        <v>354</v>
      </c>
      <c r="CD142">
        <v>1035</v>
      </c>
      <c r="CE142" t="s">
        <v>154</v>
      </c>
      <c r="CF142" s="3">
        <v>45971</v>
      </c>
      <c r="CI142">
        <v>1</v>
      </c>
      <c r="CJ142">
        <v>1</v>
      </c>
      <c r="CK142">
        <v>23</v>
      </c>
      <c r="CL142" t="s">
        <v>89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"GAB2029665"</f>
        <v>GAB2029665</v>
      </c>
      <c r="F143" s="3">
        <v>45968</v>
      </c>
      <c r="G143">
        <v>202608</v>
      </c>
      <c r="H143" t="s">
        <v>75</v>
      </c>
      <c r="I143" t="s">
        <v>76</v>
      </c>
      <c r="J143" t="s">
        <v>77</v>
      </c>
      <c r="K143" t="s">
        <v>78</v>
      </c>
      <c r="L143" t="s">
        <v>195</v>
      </c>
      <c r="M143" t="s">
        <v>196</v>
      </c>
      <c r="N143" t="s">
        <v>641</v>
      </c>
      <c r="O143" t="s">
        <v>124</v>
      </c>
      <c r="P143" t="str">
        <f>"INVOICE 00041253 ORDGS037926  "</f>
        <v xml:space="preserve">INVOICE 00041253 ORDGS037926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26.73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2.4</v>
      </c>
      <c r="BK143">
        <v>2.5</v>
      </c>
      <c r="BL143">
        <v>87.47</v>
      </c>
      <c r="BM143">
        <v>13.12</v>
      </c>
      <c r="BN143">
        <v>100.59</v>
      </c>
      <c r="BO143">
        <v>100.59</v>
      </c>
      <c r="BQ143" t="s">
        <v>642</v>
      </c>
      <c r="BR143" t="s">
        <v>84</v>
      </c>
      <c r="BS143" s="3">
        <v>45971</v>
      </c>
      <c r="BT143" s="4">
        <v>0.28819444444444442</v>
      </c>
      <c r="BU143" t="s">
        <v>643</v>
      </c>
      <c r="BV143" t="s">
        <v>86</v>
      </c>
      <c r="BY143">
        <v>12000</v>
      </c>
      <c r="BZ143" t="s">
        <v>126</v>
      </c>
      <c r="CA143" t="s">
        <v>644</v>
      </c>
      <c r="CC143" t="s">
        <v>196</v>
      </c>
      <c r="CD143">
        <v>1709</v>
      </c>
      <c r="CE143" t="s">
        <v>154</v>
      </c>
      <c r="CF143" s="3">
        <v>45971</v>
      </c>
      <c r="CI143">
        <v>1</v>
      </c>
      <c r="CJ143">
        <v>1</v>
      </c>
      <c r="CK143">
        <v>21</v>
      </c>
      <c r="CL143" t="s">
        <v>89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"GAB2029667"</f>
        <v>GAB2029667</v>
      </c>
      <c r="F144" s="3">
        <v>45968</v>
      </c>
      <c r="G144">
        <v>202608</v>
      </c>
      <c r="H144" t="s">
        <v>75</v>
      </c>
      <c r="I144" t="s">
        <v>76</v>
      </c>
      <c r="J144" t="s">
        <v>77</v>
      </c>
      <c r="K144" t="s">
        <v>78</v>
      </c>
      <c r="L144" t="s">
        <v>570</v>
      </c>
      <c r="M144" t="s">
        <v>571</v>
      </c>
      <c r="N144" t="s">
        <v>645</v>
      </c>
      <c r="O144" t="s">
        <v>124</v>
      </c>
      <c r="P144" t="str">
        <f>"INVOICE 00041227 ORDGS037908  "</f>
        <v xml:space="preserve">INVOICE 00041227 ORDGS037908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26.73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0.2</v>
      </c>
      <c r="BJ144">
        <v>2.1</v>
      </c>
      <c r="BK144">
        <v>2.5</v>
      </c>
      <c r="BL144">
        <v>87.47</v>
      </c>
      <c r="BM144">
        <v>13.12</v>
      </c>
      <c r="BN144">
        <v>100.59</v>
      </c>
      <c r="BO144">
        <v>100.59</v>
      </c>
      <c r="BQ144" t="s">
        <v>646</v>
      </c>
      <c r="BR144" t="s">
        <v>84</v>
      </c>
      <c r="BS144" s="3">
        <v>45971</v>
      </c>
      <c r="BT144" s="4">
        <v>0.30833333333333335</v>
      </c>
      <c r="BU144" t="s">
        <v>647</v>
      </c>
      <c r="BV144" t="s">
        <v>86</v>
      </c>
      <c r="BY144">
        <v>10519</v>
      </c>
      <c r="BZ144" t="s">
        <v>126</v>
      </c>
      <c r="CA144" t="s">
        <v>648</v>
      </c>
      <c r="CC144" t="s">
        <v>571</v>
      </c>
      <c r="CD144">
        <v>1501</v>
      </c>
      <c r="CE144" t="s">
        <v>154</v>
      </c>
      <c r="CF144" s="3">
        <v>45972</v>
      </c>
      <c r="CI144">
        <v>1</v>
      </c>
      <c r="CJ144">
        <v>1</v>
      </c>
      <c r="CK144">
        <v>21</v>
      </c>
      <c r="CL144" t="s">
        <v>89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"GAB2029668"</f>
        <v>GAB2029668</v>
      </c>
      <c r="F145" s="3">
        <v>45968</v>
      </c>
      <c r="G145">
        <v>202608</v>
      </c>
      <c r="H145" t="s">
        <v>75</v>
      </c>
      <c r="I145" t="s">
        <v>76</v>
      </c>
      <c r="J145" t="s">
        <v>77</v>
      </c>
      <c r="K145" t="s">
        <v>78</v>
      </c>
      <c r="L145" t="s">
        <v>394</v>
      </c>
      <c r="M145" t="s">
        <v>395</v>
      </c>
      <c r="N145" t="s">
        <v>634</v>
      </c>
      <c r="O145" t="s">
        <v>124</v>
      </c>
      <c r="P145" t="str">
        <f>"INVOICE 00041228 ORDGS037898  "</f>
        <v xml:space="preserve">INVOICE 00041228 ORDGS037898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50.78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0.4</v>
      </c>
      <c r="BJ145">
        <v>2.2000000000000002</v>
      </c>
      <c r="BK145">
        <v>2.5</v>
      </c>
      <c r="BL145">
        <v>166.2</v>
      </c>
      <c r="BM145">
        <v>24.93</v>
      </c>
      <c r="BN145">
        <v>191.13</v>
      </c>
      <c r="BO145">
        <v>191.13</v>
      </c>
      <c r="BQ145" t="s">
        <v>118</v>
      </c>
      <c r="BR145" t="s">
        <v>84</v>
      </c>
      <c r="BS145" s="3">
        <v>45972</v>
      </c>
      <c r="BT145" s="4">
        <v>0.41805555555555557</v>
      </c>
      <c r="BU145" t="s">
        <v>635</v>
      </c>
      <c r="BV145" t="s">
        <v>86</v>
      </c>
      <c r="BY145">
        <v>10888.43</v>
      </c>
      <c r="BZ145" t="s">
        <v>126</v>
      </c>
      <c r="CA145" t="s">
        <v>636</v>
      </c>
      <c r="CC145" t="s">
        <v>395</v>
      </c>
      <c r="CD145" s="5" t="s">
        <v>399</v>
      </c>
      <c r="CE145" t="s">
        <v>649</v>
      </c>
      <c r="CF145" s="3">
        <v>45973</v>
      </c>
      <c r="CI145">
        <v>2</v>
      </c>
      <c r="CJ145">
        <v>2</v>
      </c>
      <c r="CK145">
        <v>23</v>
      </c>
      <c r="CL145" t="s">
        <v>89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"GAB2029669"</f>
        <v>GAB2029669</v>
      </c>
      <c r="F146" s="3">
        <v>45968</v>
      </c>
      <c r="G146">
        <v>202608</v>
      </c>
      <c r="H146" t="s">
        <v>75</v>
      </c>
      <c r="I146" t="s">
        <v>76</v>
      </c>
      <c r="J146" t="s">
        <v>77</v>
      </c>
      <c r="K146" t="s">
        <v>78</v>
      </c>
      <c r="L146" t="s">
        <v>650</v>
      </c>
      <c r="M146" t="s">
        <v>651</v>
      </c>
      <c r="N146" t="s">
        <v>652</v>
      </c>
      <c r="O146" t="s">
        <v>124</v>
      </c>
      <c r="P146" t="str">
        <f>"INVOICE 00122511 CT098125     "</f>
        <v xml:space="preserve">INVOICE 00122511 CT098125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50.78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0.3</v>
      </c>
      <c r="BJ146">
        <v>2.2999999999999998</v>
      </c>
      <c r="BK146">
        <v>2.5</v>
      </c>
      <c r="BL146">
        <v>166.2</v>
      </c>
      <c r="BM146">
        <v>24.93</v>
      </c>
      <c r="BN146">
        <v>191.13</v>
      </c>
      <c r="BO146">
        <v>191.13</v>
      </c>
      <c r="BR146" t="s">
        <v>84</v>
      </c>
      <c r="BS146" s="3">
        <v>45972</v>
      </c>
      <c r="BT146" s="4">
        <v>0.36805555555555558</v>
      </c>
      <c r="BU146" t="s">
        <v>653</v>
      </c>
      <c r="BV146" t="s">
        <v>86</v>
      </c>
      <c r="BY146">
        <v>11383.2</v>
      </c>
      <c r="BZ146" t="s">
        <v>126</v>
      </c>
      <c r="CA146" t="s">
        <v>654</v>
      </c>
      <c r="CC146" t="s">
        <v>651</v>
      </c>
      <c r="CD146">
        <v>2571</v>
      </c>
      <c r="CE146" t="s">
        <v>655</v>
      </c>
      <c r="CF146" s="3">
        <v>45973</v>
      </c>
      <c r="CI146">
        <v>2</v>
      </c>
      <c r="CJ146">
        <v>2</v>
      </c>
      <c r="CK146">
        <v>23</v>
      </c>
      <c r="CL146" t="s">
        <v>89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"GAB2029670"</f>
        <v>GAB2029670</v>
      </c>
      <c r="F147" s="3">
        <v>45968</v>
      </c>
      <c r="G147">
        <v>202608</v>
      </c>
      <c r="H147" t="s">
        <v>75</v>
      </c>
      <c r="I147" t="s">
        <v>76</v>
      </c>
      <c r="J147" t="s">
        <v>77</v>
      </c>
      <c r="K147" t="s">
        <v>78</v>
      </c>
      <c r="L147" t="s">
        <v>656</v>
      </c>
      <c r="M147" t="s">
        <v>657</v>
      </c>
      <c r="N147" t="s">
        <v>658</v>
      </c>
      <c r="O147" t="s">
        <v>124</v>
      </c>
      <c r="P147" t="str">
        <f>"INVOICE 00122509 CT098118     "</f>
        <v xml:space="preserve">INVOICE 00122509 CT098118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103.29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1.5</v>
      </c>
      <c r="BJ147">
        <v>6.9</v>
      </c>
      <c r="BK147">
        <v>7</v>
      </c>
      <c r="BL147">
        <v>338.04</v>
      </c>
      <c r="BM147">
        <v>50.71</v>
      </c>
      <c r="BN147">
        <v>388.75</v>
      </c>
      <c r="BO147">
        <v>388.75</v>
      </c>
      <c r="BQ147" t="s">
        <v>659</v>
      </c>
      <c r="BR147" t="s">
        <v>84</v>
      </c>
      <c r="BS147" s="3">
        <v>45971</v>
      </c>
      <c r="BT147" s="4">
        <v>0.55138888888888893</v>
      </c>
      <c r="BU147" t="s">
        <v>660</v>
      </c>
      <c r="BV147" t="s">
        <v>86</v>
      </c>
      <c r="BY147">
        <v>34615.35</v>
      </c>
      <c r="BZ147" t="s">
        <v>126</v>
      </c>
      <c r="CA147" t="s">
        <v>661</v>
      </c>
      <c r="CC147" t="s">
        <v>657</v>
      </c>
      <c r="CD147">
        <v>6850</v>
      </c>
      <c r="CE147" t="s">
        <v>662</v>
      </c>
      <c r="CF147" s="3">
        <v>45972</v>
      </c>
      <c r="CI147">
        <v>2</v>
      </c>
      <c r="CJ147">
        <v>1</v>
      </c>
      <c r="CK147">
        <v>24</v>
      </c>
      <c r="CL147" t="s">
        <v>89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"GAB2029671"</f>
        <v>GAB2029671</v>
      </c>
      <c r="F148" s="3">
        <v>45968</v>
      </c>
      <c r="G148">
        <v>202608</v>
      </c>
      <c r="H148" t="s">
        <v>75</v>
      </c>
      <c r="I148" t="s">
        <v>76</v>
      </c>
      <c r="J148" t="s">
        <v>77</v>
      </c>
      <c r="K148" t="s">
        <v>78</v>
      </c>
      <c r="L148" t="s">
        <v>121</v>
      </c>
      <c r="M148" t="s">
        <v>122</v>
      </c>
      <c r="N148" t="s">
        <v>663</v>
      </c>
      <c r="O148" t="s">
        <v>124</v>
      </c>
      <c r="P148" t="str">
        <f>"INVOICE 00122508 CT098115     "</f>
        <v xml:space="preserve">INVOICE 00122508 CT098115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26.73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0.3</v>
      </c>
      <c r="BJ148">
        <v>2.1</v>
      </c>
      <c r="BK148">
        <v>2.5</v>
      </c>
      <c r="BL148">
        <v>87.47</v>
      </c>
      <c r="BM148">
        <v>13.12</v>
      </c>
      <c r="BN148">
        <v>100.59</v>
      </c>
      <c r="BO148">
        <v>100.59</v>
      </c>
      <c r="BQ148" t="s">
        <v>664</v>
      </c>
      <c r="BR148" t="s">
        <v>84</v>
      </c>
      <c r="BS148" s="3">
        <v>45971</v>
      </c>
      <c r="BT148" s="4">
        <v>0.39583333333333331</v>
      </c>
      <c r="BU148" t="s">
        <v>665</v>
      </c>
      <c r="BV148" t="s">
        <v>86</v>
      </c>
      <c r="BY148">
        <v>10313.73</v>
      </c>
      <c r="BZ148" t="s">
        <v>126</v>
      </c>
      <c r="CA148" t="s">
        <v>127</v>
      </c>
      <c r="CC148" t="s">
        <v>122</v>
      </c>
      <c r="CD148">
        <v>1200</v>
      </c>
      <c r="CE148" t="s">
        <v>128</v>
      </c>
      <c r="CF148" s="3">
        <v>45971</v>
      </c>
      <c r="CI148">
        <v>2</v>
      </c>
      <c r="CJ148">
        <v>1</v>
      </c>
      <c r="CK148">
        <v>21</v>
      </c>
      <c r="CL148" t="s">
        <v>89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"GAB2029673"</f>
        <v>GAB2029673</v>
      </c>
      <c r="F149" s="3">
        <v>45968</v>
      </c>
      <c r="G149">
        <v>202608</v>
      </c>
      <c r="H149" t="s">
        <v>75</v>
      </c>
      <c r="I149" t="s">
        <v>76</v>
      </c>
      <c r="J149" t="s">
        <v>77</v>
      </c>
      <c r="K149" t="s">
        <v>78</v>
      </c>
      <c r="L149" t="s">
        <v>435</v>
      </c>
      <c r="M149" t="s">
        <v>435</v>
      </c>
      <c r="N149" t="s">
        <v>577</v>
      </c>
      <c r="O149" t="s">
        <v>124</v>
      </c>
      <c r="P149" t="str">
        <f>"INVOICE 00122501 CT098110     "</f>
        <v xml:space="preserve">INVOICE 00122501 CT098110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59.36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0.4</v>
      </c>
      <c r="BJ149">
        <v>3.8</v>
      </c>
      <c r="BK149">
        <v>4</v>
      </c>
      <c r="BL149">
        <v>194.27</v>
      </c>
      <c r="BM149">
        <v>29.14</v>
      </c>
      <c r="BN149">
        <v>223.41</v>
      </c>
      <c r="BO149">
        <v>223.41</v>
      </c>
      <c r="BQ149" t="s">
        <v>578</v>
      </c>
      <c r="BR149" t="s">
        <v>84</v>
      </c>
      <c r="BS149" s="3">
        <v>45971</v>
      </c>
      <c r="BT149" s="4">
        <v>0.64444444444444449</v>
      </c>
      <c r="BU149" t="s">
        <v>578</v>
      </c>
      <c r="BV149" t="s">
        <v>89</v>
      </c>
      <c r="BW149" t="s">
        <v>413</v>
      </c>
      <c r="BX149" t="s">
        <v>666</v>
      </c>
      <c r="BY149">
        <v>18997.5</v>
      </c>
      <c r="BZ149" t="s">
        <v>126</v>
      </c>
      <c r="CC149" t="s">
        <v>435</v>
      </c>
      <c r="CD149">
        <v>7646</v>
      </c>
      <c r="CE149" t="s">
        <v>452</v>
      </c>
      <c r="CF149" s="3">
        <v>45972</v>
      </c>
      <c r="CI149">
        <v>1</v>
      </c>
      <c r="CJ149">
        <v>1</v>
      </c>
      <c r="CK149">
        <v>24</v>
      </c>
      <c r="CL149" t="s">
        <v>89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"GAB2029674"</f>
        <v>GAB2029674</v>
      </c>
      <c r="F150" s="3">
        <v>45968</v>
      </c>
      <c r="G150">
        <v>202608</v>
      </c>
      <c r="H150" t="s">
        <v>75</v>
      </c>
      <c r="I150" t="s">
        <v>76</v>
      </c>
      <c r="J150" t="s">
        <v>77</v>
      </c>
      <c r="K150" t="s">
        <v>78</v>
      </c>
      <c r="L150" t="s">
        <v>75</v>
      </c>
      <c r="M150" t="s">
        <v>76</v>
      </c>
      <c r="N150" t="s">
        <v>667</v>
      </c>
      <c r="O150" t="s">
        <v>124</v>
      </c>
      <c r="P150" t="str">
        <f>"INVOICE 00122500 CT098111     "</f>
        <v xml:space="preserve">INVOICE 00122500 CT098111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16.7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0.3</v>
      </c>
      <c r="BJ150">
        <v>2.7</v>
      </c>
      <c r="BK150">
        <v>3</v>
      </c>
      <c r="BL150">
        <v>54.66</v>
      </c>
      <c r="BM150">
        <v>8.1999999999999993</v>
      </c>
      <c r="BN150">
        <v>62.86</v>
      </c>
      <c r="BO150">
        <v>62.86</v>
      </c>
      <c r="BQ150" t="s">
        <v>668</v>
      </c>
      <c r="BR150" t="s">
        <v>84</v>
      </c>
      <c r="BS150" s="3">
        <v>45971</v>
      </c>
      <c r="BT150" s="4">
        <v>0.41388888888888886</v>
      </c>
      <c r="BU150" t="s">
        <v>669</v>
      </c>
      <c r="BV150" t="s">
        <v>86</v>
      </c>
      <c r="BY150">
        <v>13721.4</v>
      </c>
      <c r="BZ150" t="s">
        <v>126</v>
      </c>
      <c r="CA150" t="s">
        <v>523</v>
      </c>
      <c r="CC150" t="s">
        <v>76</v>
      </c>
      <c r="CD150">
        <v>7550</v>
      </c>
      <c r="CE150" t="s">
        <v>670</v>
      </c>
      <c r="CF150" s="3">
        <v>45972</v>
      </c>
      <c r="CI150">
        <v>1</v>
      </c>
      <c r="CJ150">
        <v>1</v>
      </c>
      <c r="CK150">
        <v>22</v>
      </c>
      <c r="CL150" t="s">
        <v>89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"GAB2029675"</f>
        <v>GAB2029675</v>
      </c>
      <c r="F151" s="3">
        <v>45968</v>
      </c>
      <c r="G151">
        <v>202608</v>
      </c>
      <c r="H151" t="s">
        <v>75</v>
      </c>
      <c r="I151" t="s">
        <v>76</v>
      </c>
      <c r="J151" t="s">
        <v>77</v>
      </c>
      <c r="K151" t="s">
        <v>78</v>
      </c>
      <c r="L151" t="s">
        <v>75</v>
      </c>
      <c r="M151" t="s">
        <v>76</v>
      </c>
      <c r="N151" t="s">
        <v>671</v>
      </c>
      <c r="O151" t="s">
        <v>124</v>
      </c>
      <c r="P151" t="str">
        <f>"INVOICE 00122499 CT098113     "</f>
        <v xml:space="preserve">INVOICE 00122499 CT098113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16.7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0.3</v>
      </c>
      <c r="BJ151">
        <v>2.7</v>
      </c>
      <c r="BK151">
        <v>3</v>
      </c>
      <c r="BL151">
        <v>54.66</v>
      </c>
      <c r="BM151">
        <v>8.1999999999999993</v>
      </c>
      <c r="BN151">
        <v>62.86</v>
      </c>
      <c r="BO151">
        <v>62.86</v>
      </c>
      <c r="BQ151" t="s">
        <v>672</v>
      </c>
      <c r="BR151" t="s">
        <v>84</v>
      </c>
      <c r="BS151" s="3">
        <v>45971</v>
      </c>
      <c r="BT151" s="4">
        <v>0.39166666666666666</v>
      </c>
      <c r="BU151" t="s">
        <v>673</v>
      </c>
      <c r="BV151" t="s">
        <v>86</v>
      </c>
      <c r="BY151">
        <v>13489</v>
      </c>
      <c r="BZ151" t="s">
        <v>126</v>
      </c>
      <c r="CA151" t="s">
        <v>389</v>
      </c>
      <c r="CC151" t="s">
        <v>76</v>
      </c>
      <c r="CD151">
        <v>7800</v>
      </c>
      <c r="CE151" t="s">
        <v>181</v>
      </c>
      <c r="CF151" s="3">
        <v>45972</v>
      </c>
      <c r="CI151">
        <v>1</v>
      </c>
      <c r="CJ151">
        <v>1</v>
      </c>
      <c r="CK151">
        <v>22</v>
      </c>
      <c r="CL151" t="s">
        <v>89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"GAB2029677"</f>
        <v>GAB2029677</v>
      </c>
      <c r="F152" s="3">
        <v>45968</v>
      </c>
      <c r="G152">
        <v>202608</v>
      </c>
      <c r="H152" t="s">
        <v>75</v>
      </c>
      <c r="I152" t="s">
        <v>76</v>
      </c>
      <c r="J152" t="s">
        <v>77</v>
      </c>
      <c r="K152" t="s">
        <v>78</v>
      </c>
      <c r="L152" t="s">
        <v>75</v>
      </c>
      <c r="M152" t="s">
        <v>76</v>
      </c>
      <c r="N152" t="s">
        <v>674</v>
      </c>
      <c r="O152" t="s">
        <v>124</v>
      </c>
      <c r="P152" t="str">
        <f>"INVOICE 00122518 CT097964     "</f>
        <v xml:space="preserve">INVOICE 00122518 CT097964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16.7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0.2</v>
      </c>
      <c r="BJ152">
        <v>2.2000000000000002</v>
      </c>
      <c r="BK152">
        <v>3</v>
      </c>
      <c r="BL152">
        <v>54.66</v>
      </c>
      <c r="BM152">
        <v>8.1999999999999993</v>
      </c>
      <c r="BN152">
        <v>62.86</v>
      </c>
      <c r="BO152">
        <v>62.86</v>
      </c>
      <c r="BR152" t="s">
        <v>84</v>
      </c>
      <c r="BS152" s="3">
        <v>45971</v>
      </c>
      <c r="BT152" s="4">
        <v>0.38750000000000001</v>
      </c>
      <c r="BU152" t="s">
        <v>675</v>
      </c>
      <c r="BV152" t="s">
        <v>86</v>
      </c>
      <c r="BY152">
        <v>10825.92</v>
      </c>
      <c r="BZ152" t="s">
        <v>126</v>
      </c>
      <c r="CA152" t="s">
        <v>373</v>
      </c>
      <c r="CC152" t="s">
        <v>76</v>
      </c>
      <c r="CD152">
        <v>7700</v>
      </c>
      <c r="CE152" t="s">
        <v>676</v>
      </c>
      <c r="CF152" s="3">
        <v>45972</v>
      </c>
      <c r="CI152">
        <v>1</v>
      </c>
      <c r="CJ152">
        <v>1</v>
      </c>
      <c r="CK152">
        <v>22</v>
      </c>
      <c r="CL152" t="s">
        <v>89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"GAB2029678"</f>
        <v>GAB2029678</v>
      </c>
      <c r="F153" s="3">
        <v>45968</v>
      </c>
      <c r="G153">
        <v>202608</v>
      </c>
      <c r="H153" t="s">
        <v>75</v>
      </c>
      <c r="I153" t="s">
        <v>76</v>
      </c>
      <c r="J153" t="s">
        <v>77</v>
      </c>
      <c r="K153" t="s">
        <v>78</v>
      </c>
      <c r="L153" t="s">
        <v>75</v>
      </c>
      <c r="M153" t="s">
        <v>76</v>
      </c>
      <c r="N153" t="s">
        <v>386</v>
      </c>
      <c r="O153" t="s">
        <v>124</v>
      </c>
      <c r="P153" t="str">
        <f>"INVOICE 00122547 CT098150     "</f>
        <v xml:space="preserve">INVOICE 00122547 CT098150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16.7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0.2</v>
      </c>
      <c r="BJ153">
        <v>2.2000000000000002</v>
      </c>
      <c r="BK153">
        <v>3</v>
      </c>
      <c r="BL153">
        <v>54.66</v>
      </c>
      <c r="BM153">
        <v>8.1999999999999993</v>
      </c>
      <c r="BN153">
        <v>62.86</v>
      </c>
      <c r="BO153">
        <v>62.86</v>
      </c>
      <c r="BQ153" t="s">
        <v>387</v>
      </c>
      <c r="BR153" t="s">
        <v>84</v>
      </c>
      <c r="BS153" s="3">
        <v>45971</v>
      </c>
      <c r="BT153" s="4">
        <v>0.38819444444444445</v>
      </c>
      <c r="BU153" t="s">
        <v>388</v>
      </c>
      <c r="BV153" t="s">
        <v>86</v>
      </c>
      <c r="BY153">
        <v>10944</v>
      </c>
      <c r="BZ153" t="s">
        <v>126</v>
      </c>
      <c r="CA153" t="s">
        <v>389</v>
      </c>
      <c r="CC153" t="s">
        <v>76</v>
      </c>
      <c r="CD153">
        <v>7800</v>
      </c>
      <c r="CE153" t="s">
        <v>154</v>
      </c>
      <c r="CF153" s="3">
        <v>45972</v>
      </c>
      <c r="CI153">
        <v>1</v>
      </c>
      <c r="CJ153">
        <v>1</v>
      </c>
      <c r="CK153">
        <v>22</v>
      </c>
      <c r="CL153" t="s">
        <v>89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"GAB2029679"</f>
        <v>GAB2029679</v>
      </c>
      <c r="F154" s="3">
        <v>45968</v>
      </c>
      <c r="G154">
        <v>202608</v>
      </c>
      <c r="H154" t="s">
        <v>75</v>
      </c>
      <c r="I154" t="s">
        <v>76</v>
      </c>
      <c r="J154" t="s">
        <v>77</v>
      </c>
      <c r="K154" t="s">
        <v>78</v>
      </c>
      <c r="L154" t="s">
        <v>394</v>
      </c>
      <c r="M154" t="s">
        <v>395</v>
      </c>
      <c r="N154" t="s">
        <v>677</v>
      </c>
      <c r="O154" t="s">
        <v>124</v>
      </c>
      <c r="P154" t="str">
        <f>"INVOICES 00041266 ORDGS037942 "</f>
        <v xml:space="preserve">INVOICES 00041266 ORDGS037942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41.43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0.4</v>
      </c>
      <c r="BJ154">
        <v>1.8</v>
      </c>
      <c r="BK154">
        <v>2</v>
      </c>
      <c r="BL154">
        <v>135.59</v>
      </c>
      <c r="BM154">
        <v>20.34</v>
      </c>
      <c r="BN154">
        <v>155.93</v>
      </c>
      <c r="BO154">
        <v>155.93</v>
      </c>
      <c r="BQ154" t="s">
        <v>678</v>
      </c>
      <c r="BR154" t="s">
        <v>84</v>
      </c>
      <c r="BS154" s="3">
        <v>45972</v>
      </c>
      <c r="BT154" s="4">
        <v>0.42152777777777778</v>
      </c>
      <c r="BU154" t="s">
        <v>679</v>
      </c>
      <c r="BV154" t="s">
        <v>86</v>
      </c>
      <c r="BY154">
        <v>9244.9</v>
      </c>
      <c r="BZ154" t="s">
        <v>126</v>
      </c>
      <c r="CA154" t="s">
        <v>398</v>
      </c>
      <c r="CC154" t="s">
        <v>395</v>
      </c>
      <c r="CD154" s="5" t="s">
        <v>399</v>
      </c>
      <c r="CE154" t="s">
        <v>383</v>
      </c>
      <c r="CF154" s="3">
        <v>45973</v>
      </c>
      <c r="CI154">
        <v>2</v>
      </c>
      <c r="CJ154">
        <v>2</v>
      </c>
      <c r="CK154">
        <v>23</v>
      </c>
      <c r="CL154" t="s">
        <v>89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"GAB2029682"</f>
        <v>GAB2029682</v>
      </c>
      <c r="F155" s="3">
        <v>45968</v>
      </c>
      <c r="G155">
        <v>202608</v>
      </c>
      <c r="H155" t="s">
        <v>75</v>
      </c>
      <c r="I155" t="s">
        <v>76</v>
      </c>
      <c r="J155" t="s">
        <v>77</v>
      </c>
      <c r="K155" t="s">
        <v>78</v>
      </c>
      <c r="L155" t="s">
        <v>79</v>
      </c>
      <c r="M155" t="s">
        <v>80</v>
      </c>
      <c r="N155" t="s">
        <v>236</v>
      </c>
      <c r="O155" t="s">
        <v>124</v>
      </c>
      <c r="P155" t="str">
        <f>"MICHELLE FICK                 "</f>
        <v xml:space="preserve">MICHELLE FICK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21.38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0.2</v>
      </c>
      <c r="BJ155">
        <v>2</v>
      </c>
      <c r="BK155">
        <v>2</v>
      </c>
      <c r="BL155">
        <v>69.98</v>
      </c>
      <c r="BM155">
        <v>10.5</v>
      </c>
      <c r="BN155">
        <v>80.48</v>
      </c>
      <c r="BO155">
        <v>80.48</v>
      </c>
      <c r="BQ155" t="s">
        <v>475</v>
      </c>
      <c r="BR155" t="s">
        <v>84</v>
      </c>
      <c r="BS155" s="3">
        <v>45971</v>
      </c>
      <c r="BT155" s="4">
        <v>0.34861111111111109</v>
      </c>
      <c r="BU155" t="s">
        <v>322</v>
      </c>
      <c r="BV155" t="s">
        <v>86</v>
      </c>
      <c r="BY155">
        <v>10227.200000000001</v>
      </c>
      <c r="BZ155" t="s">
        <v>126</v>
      </c>
      <c r="CA155">
        <v>9512275238082</v>
      </c>
      <c r="CC155" t="s">
        <v>80</v>
      </c>
      <c r="CD155" s="5" t="s">
        <v>87</v>
      </c>
      <c r="CE155" t="s">
        <v>680</v>
      </c>
      <c r="CF155" s="3">
        <v>45971</v>
      </c>
      <c r="CI155">
        <v>1</v>
      </c>
      <c r="CJ155">
        <v>1</v>
      </c>
      <c r="CK155">
        <v>21</v>
      </c>
      <c r="CL155" t="s">
        <v>89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"GAB2029683"</f>
        <v>GAB2029683</v>
      </c>
      <c r="F156" s="3">
        <v>45968</v>
      </c>
      <c r="G156">
        <v>202608</v>
      </c>
      <c r="H156" t="s">
        <v>75</v>
      </c>
      <c r="I156" t="s">
        <v>76</v>
      </c>
      <c r="J156" t="s">
        <v>77</v>
      </c>
      <c r="K156" t="s">
        <v>78</v>
      </c>
      <c r="L156" t="s">
        <v>162</v>
      </c>
      <c r="M156" t="s">
        <v>163</v>
      </c>
      <c r="N156" t="s">
        <v>164</v>
      </c>
      <c r="O156" t="s">
        <v>124</v>
      </c>
      <c r="P156" t="str">
        <f>"MICHELLE FICK                 "</f>
        <v xml:space="preserve">MICHELLE FICK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26.73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0.2</v>
      </c>
      <c r="BJ156">
        <v>2.2999999999999998</v>
      </c>
      <c r="BK156">
        <v>2.5</v>
      </c>
      <c r="BL156">
        <v>87.47</v>
      </c>
      <c r="BM156">
        <v>13.12</v>
      </c>
      <c r="BN156">
        <v>100.59</v>
      </c>
      <c r="BO156">
        <v>100.59</v>
      </c>
      <c r="BQ156" t="s">
        <v>681</v>
      </c>
      <c r="BR156" t="s">
        <v>84</v>
      </c>
      <c r="BS156" s="3">
        <v>45971</v>
      </c>
      <c r="BT156" s="4">
        <v>0.38611111111111113</v>
      </c>
      <c r="BU156" t="s">
        <v>682</v>
      </c>
      <c r="BV156" t="s">
        <v>86</v>
      </c>
      <c r="BY156">
        <v>11732.5</v>
      </c>
      <c r="BZ156" t="s">
        <v>126</v>
      </c>
      <c r="CA156" t="s">
        <v>167</v>
      </c>
      <c r="CC156" t="s">
        <v>163</v>
      </c>
      <c r="CD156">
        <v>6045</v>
      </c>
      <c r="CE156" t="s">
        <v>683</v>
      </c>
      <c r="CF156" s="3">
        <v>45971</v>
      </c>
      <c r="CI156">
        <v>2</v>
      </c>
      <c r="CJ156">
        <v>1</v>
      </c>
      <c r="CK156">
        <v>21</v>
      </c>
      <c r="CL156" t="s">
        <v>89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"GAB2029688"</f>
        <v>GAB2029688</v>
      </c>
      <c r="F157" s="3">
        <v>45968</v>
      </c>
      <c r="G157">
        <v>202608</v>
      </c>
      <c r="H157" t="s">
        <v>75</v>
      </c>
      <c r="I157" t="s">
        <v>76</v>
      </c>
      <c r="J157" t="s">
        <v>77</v>
      </c>
      <c r="K157" t="s">
        <v>78</v>
      </c>
      <c r="L157" t="s">
        <v>175</v>
      </c>
      <c r="M157" t="s">
        <v>176</v>
      </c>
      <c r="N157" t="s">
        <v>177</v>
      </c>
      <c r="O157" t="s">
        <v>124</v>
      </c>
      <c r="P157" t="str">
        <f>"INVOICE 00122551 CT098155     "</f>
        <v xml:space="preserve">INVOICE 00122551 CT098155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50.78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16.739999999999998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0.4</v>
      </c>
      <c r="BJ157">
        <v>2.2000000000000002</v>
      </c>
      <c r="BK157">
        <v>2.5</v>
      </c>
      <c r="BL157">
        <v>182.94</v>
      </c>
      <c r="BM157">
        <v>27.44</v>
      </c>
      <c r="BN157">
        <v>210.38</v>
      </c>
      <c r="BO157">
        <v>210.38</v>
      </c>
      <c r="BQ157" t="s">
        <v>684</v>
      </c>
      <c r="BR157" t="s">
        <v>84</v>
      </c>
      <c r="BS157" s="3">
        <v>45971</v>
      </c>
      <c r="BT157" s="4">
        <v>0.3923611111111111</v>
      </c>
      <c r="BU157" t="s">
        <v>532</v>
      </c>
      <c r="BV157" t="s">
        <v>86</v>
      </c>
      <c r="BY157">
        <v>11005.12</v>
      </c>
      <c r="BZ157" t="s">
        <v>180</v>
      </c>
      <c r="CC157" t="s">
        <v>176</v>
      </c>
      <c r="CD157">
        <v>2745</v>
      </c>
      <c r="CE157" t="s">
        <v>181</v>
      </c>
      <c r="CF157" s="3">
        <v>45974</v>
      </c>
      <c r="CI157">
        <v>2</v>
      </c>
      <c r="CJ157">
        <v>1</v>
      </c>
      <c r="CK157">
        <v>23</v>
      </c>
      <c r="CL157" t="s">
        <v>89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"GAB2029689"</f>
        <v>GAB2029689</v>
      </c>
      <c r="F158" s="3">
        <v>45968</v>
      </c>
      <c r="G158">
        <v>202608</v>
      </c>
      <c r="H158" t="s">
        <v>75</v>
      </c>
      <c r="I158" t="s">
        <v>76</v>
      </c>
      <c r="J158" t="s">
        <v>77</v>
      </c>
      <c r="K158" t="s">
        <v>78</v>
      </c>
      <c r="L158" t="s">
        <v>75</v>
      </c>
      <c r="M158" t="s">
        <v>76</v>
      </c>
      <c r="N158" t="s">
        <v>481</v>
      </c>
      <c r="O158" t="s">
        <v>124</v>
      </c>
      <c r="P158" t="str">
        <f>"INVOICE 00122555 CT098152     "</f>
        <v xml:space="preserve">INVOICE 00122555 CT098152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16.7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1.2</v>
      </c>
      <c r="BJ158">
        <v>2.4</v>
      </c>
      <c r="BK158">
        <v>3</v>
      </c>
      <c r="BL158">
        <v>54.66</v>
      </c>
      <c r="BM158">
        <v>8.1999999999999993</v>
      </c>
      <c r="BN158">
        <v>62.86</v>
      </c>
      <c r="BO158">
        <v>62.86</v>
      </c>
      <c r="BQ158" t="s">
        <v>482</v>
      </c>
      <c r="BR158" t="s">
        <v>84</v>
      </c>
      <c r="BS158" s="3">
        <v>45971</v>
      </c>
      <c r="BT158" s="4">
        <v>0.375</v>
      </c>
      <c r="BU158" t="s">
        <v>483</v>
      </c>
      <c r="BV158" t="s">
        <v>86</v>
      </c>
      <c r="BY158">
        <v>12229.5</v>
      </c>
      <c r="BZ158" t="s">
        <v>126</v>
      </c>
      <c r="CA158" t="s">
        <v>484</v>
      </c>
      <c r="CC158" t="s">
        <v>76</v>
      </c>
      <c r="CD158">
        <v>7441</v>
      </c>
      <c r="CE158" t="s">
        <v>685</v>
      </c>
      <c r="CF158" s="3">
        <v>45972</v>
      </c>
      <c r="CI158">
        <v>1</v>
      </c>
      <c r="CJ158">
        <v>1</v>
      </c>
      <c r="CK158">
        <v>22</v>
      </c>
      <c r="CL158" t="s">
        <v>89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"GAB2029690"</f>
        <v>GAB2029690</v>
      </c>
      <c r="F159" s="3">
        <v>45968</v>
      </c>
      <c r="G159">
        <v>202608</v>
      </c>
      <c r="H159" t="s">
        <v>75</v>
      </c>
      <c r="I159" t="s">
        <v>76</v>
      </c>
      <c r="J159" t="s">
        <v>77</v>
      </c>
      <c r="K159" t="s">
        <v>78</v>
      </c>
      <c r="L159" t="s">
        <v>79</v>
      </c>
      <c r="M159" t="s">
        <v>80</v>
      </c>
      <c r="N159" t="s">
        <v>303</v>
      </c>
      <c r="O159" t="s">
        <v>124</v>
      </c>
      <c r="P159" t="str">
        <f>"INVOICES 00122554 CT097763    "</f>
        <v xml:space="preserve">INVOICES 00122554 CT097763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32.07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0.3</v>
      </c>
      <c r="BJ159">
        <v>2.6</v>
      </c>
      <c r="BK159">
        <v>3</v>
      </c>
      <c r="BL159">
        <v>104.95</v>
      </c>
      <c r="BM159">
        <v>15.74</v>
      </c>
      <c r="BN159">
        <v>120.69</v>
      </c>
      <c r="BO159">
        <v>120.69</v>
      </c>
      <c r="BQ159" t="s">
        <v>304</v>
      </c>
      <c r="BR159" t="s">
        <v>84</v>
      </c>
      <c r="BS159" s="3">
        <v>45971</v>
      </c>
      <c r="BT159" s="4">
        <v>0.33680555555555558</v>
      </c>
      <c r="BU159" t="s">
        <v>686</v>
      </c>
      <c r="BV159" t="s">
        <v>86</v>
      </c>
      <c r="BY159">
        <v>13226.4</v>
      </c>
      <c r="BZ159" t="s">
        <v>126</v>
      </c>
      <c r="CA159">
        <v>8601266266086</v>
      </c>
      <c r="CC159" t="s">
        <v>80</v>
      </c>
      <c r="CD159" s="5" t="s">
        <v>87</v>
      </c>
      <c r="CE159" t="s">
        <v>149</v>
      </c>
      <c r="CF159" s="3">
        <v>45971</v>
      </c>
      <c r="CI159">
        <v>1</v>
      </c>
      <c r="CJ159">
        <v>1</v>
      </c>
      <c r="CK159">
        <v>21</v>
      </c>
      <c r="CL159" t="s">
        <v>89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"GAB2029691"</f>
        <v>GAB2029691</v>
      </c>
      <c r="F160" s="3">
        <v>45968</v>
      </c>
      <c r="G160">
        <v>202608</v>
      </c>
      <c r="H160" t="s">
        <v>75</v>
      </c>
      <c r="I160" t="s">
        <v>76</v>
      </c>
      <c r="J160" t="s">
        <v>77</v>
      </c>
      <c r="K160" t="s">
        <v>78</v>
      </c>
      <c r="L160" t="s">
        <v>169</v>
      </c>
      <c r="M160" t="s">
        <v>170</v>
      </c>
      <c r="N160" t="s">
        <v>687</v>
      </c>
      <c r="O160" t="s">
        <v>124</v>
      </c>
      <c r="P160" t="str">
        <f>"INVOICE 00122553 CT097927     "</f>
        <v xml:space="preserve">INVOICE 00122553 CT097927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26.73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0.5</v>
      </c>
      <c r="BJ160">
        <v>2.2999999999999998</v>
      </c>
      <c r="BK160">
        <v>2.5</v>
      </c>
      <c r="BL160">
        <v>87.47</v>
      </c>
      <c r="BM160">
        <v>13.12</v>
      </c>
      <c r="BN160">
        <v>100.59</v>
      </c>
      <c r="BO160">
        <v>100.59</v>
      </c>
      <c r="BQ160" t="s">
        <v>688</v>
      </c>
      <c r="BR160" t="s">
        <v>84</v>
      </c>
      <c r="BS160" s="3">
        <v>45971</v>
      </c>
      <c r="BT160" s="4">
        <v>0.35833333333333334</v>
      </c>
      <c r="BU160" t="s">
        <v>689</v>
      </c>
      <c r="BV160" t="s">
        <v>86</v>
      </c>
      <c r="BY160">
        <v>11262.3</v>
      </c>
      <c r="BZ160" t="s">
        <v>126</v>
      </c>
      <c r="CA160" t="s">
        <v>690</v>
      </c>
      <c r="CC160" t="s">
        <v>170</v>
      </c>
      <c r="CD160">
        <v>2021</v>
      </c>
      <c r="CE160" t="s">
        <v>691</v>
      </c>
      <c r="CF160" s="3">
        <v>45971</v>
      </c>
      <c r="CI160">
        <v>1</v>
      </c>
      <c r="CJ160">
        <v>1</v>
      </c>
      <c r="CK160">
        <v>21</v>
      </c>
      <c r="CL160" t="s">
        <v>89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"GAB2029692"</f>
        <v>GAB2029692</v>
      </c>
      <c r="F161" s="3">
        <v>45968</v>
      </c>
      <c r="G161">
        <v>202608</v>
      </c>
      <c r="H161" t="s">
        <v>75</v>
      </c>
      <c r="I161" t="s">
        <v>76</v>
      </c>
      <c r="J161" t="s">
        <v>77</v>
      </c>
      <c r="K161" t="s">
        <v>78</v>
      </c>
      <c r="L161" t="s">
        <v>169</v>
      </c>
      <c r="M161" t="s">
        <v>170</v>
      </c>
      <c r="N161" t="s">
        <v>692</v>
      </c>
      <c r="O161" t="s">
        <v>124</v>
      </c>
      <c r="P161" t="str">
        <f>"INVOICE 00041272 ORTDGS037960 "</f>
        <v xml:space="preserve">INVOICE 00041272 ORTDGS037960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21.38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0.6</v>
      </c>
      <c r="BJ161">
        <v>1.7</v>
      </c>
      <c r="BK161">
        <v>2</v>
      </c>
      <c r="BL161">
        <v>69.98</v>
      </c>
      <c r="BM161">
        <v>10.5</v>
      </c>
      <c r="BN161">
        <v>80.48</v>
      </c>
      <c r="BO161">
        <v>80.48</v>
      </c>
      <c r="BQ161" t="s">
        <v>118</v>
      </c>
      <c r="BR161" t="s">
        <v>84</v>
      </c>
      <c r="BS161" s="3">
        <v>45971</v>
      </c>
      <c r="BT161" s="4">
        <v>0.40902777777777777</v>
      </c>
      <c r="BU161" t="s">
        <v>693</v>
      </c>
      <c r="BV161" t="s">
        <v>86</v>
      </c>
      <c r="BY161">
        <v>8274.92</v>
      </c>
      <c r="BZ161" t="s">
        <v>126</v>
      </c>
      <c r="CA161" t="s">
        <v>535</v>
      </c>
      <c r="CC161" t="s">
        <v>170</v>
      </c>
      <c r="CD161">
        <v>2196</v>
      </c>
      <c r="CE161" t="s">
        <v>136</v>
      </c>
      <c r="CF161" s="3">
        <v>45971</v>
      </c>
      <c r="CI161">
        <v>1</v>
      </c>
      <c r="CJ161">
        <v>1</v>
      </c>
      <c r="CK161">
        <v>21</v>
      </c>
      <c r="CL161" t="s">
        <v>89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"GAB2029693"</f>
        <v>GAB2029693</v>
      </c>
      <c r="F162" s="3">
        <v>45968</v>
      </c>
      <c r="G162">
        <v>202608</v>
      </c>
      <c r="H162" t="s">
        <v>75</v>
      </c>
      <c r="I162" t="s">
        <v>76</v>
      </c>
      <c r="J162" t="s">
        <v>77</v>
      </c>
      <c r="K162" t="s">
        <v>78</v>
      </c>
      <c r="L162" t="s">
        <v>509</v>
      </c>
      <c r="M162" t="s">
        <v>510</v>
      </c>
      <c r="N162" t="s">
        <v>694</v>
      </c>
      <c r="O162" t="s">
        <v>124</v>
      </c>
      <c r="P162" t="str">
        <f>"invoice     00041273 ORDGS0379"</f>
        <v>invoice     00041273 ORDGS0379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26.73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1.4</v>
      </c>
      <c r="BJ162">
        <v>2.4</v>
      </c>
      <c r="BK162">
        <v>2.5</v>
      </c>
      <c r="BL162">
        <v>87.47</v>
      </c>
      <c r="BM162">
        <v>13.12</v>
      </c>
      <c r="BN162">
        <v>100.59</v>
      </c>
      <c r="BO162">
        <v>100.59</v>
      </c>
      <c r="BQ162" t="s">
        <v>695</v>
      </c>
      <c r="BR162" t="s">
        <v>84</v>
      </c>
      <c r="BS162" s="3">
        <v>45971</v>
      </c>
      <c r="BT162" s="4">
        <v>0.34097222222222223</v>
      </c>
      <c r="BU162" t="s">
        <v>696</v>
      </c>
      <c r="BV162" t="s">
        <v>86</v>
      </c>
      <c r="BY162">
        <v>11761.4</v>
      </c>
      <c r="BZ162" t="s">
        <v>126</v>
      </c>
      <c r="CA162" t="s">
        <v>697</v>
      </c>
      <c r="CC162" t="s">
        <v>510</v>
      </c>
      <c r="CD162">
        <v>1619</v>
      </c>
      <c r="CE162" t="s">
        <v>698</v>
      </c>
      <c r="CF162" s="3">
        <v>45972</v>
      </c>
      <c r="CI162">
        <v>1</v>
      </c>
      <c r="CJ162">
        <v>1</v>
      </c>
      <c r="CK162">
        <v>21</v>
      </c>
      <c r="CL162" t="s">
        <v>89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"GAB2029694"</f>
        <v>GAB2029694</v>
      </c>
      <c r="F163" s="3">
        <v>45968</v>
      </c>
      <c r="G163">
        <v>202608</v>
      </c>
      <c r="H163" t="s">
        <v>75</v>
      </c>
      <c r="I163" t="s">
        <v>76</v>
      </c>
      <c r="J163" t="s">
        <v>77</v>
      </c>
      <c r="K163" t="s">
        <v>78</v>
      </c>
      <c r="L163" t="s">
        <v>423</v>
      </c>
      <c r="M163" t="s">
        <v>424</v>
      </c>
      <c r="N163" t="s">
        <v>425</v>
      </c>
      <c r="O163" t="s">
        <v>124</v>
      </c>
      <c r="P163" t="str">
        <f>"INVOICE 00041274 ORDGS037973  "</f>
        <v xml:space="preserve">INVOICE 00041274 ORDGS037973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26.73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0.4</v>
      </c>
      <c r="BJ163">
        <v>2.5</v>
      </c>
      <c r="BK163">
        <v>2.5</v>
      </c>
      <c r="BL163">
        <v>87.47</v>
      </c>
      <c r="BM163">
        <v>13.12</v>
      </c>
      <c r="BN163">
        <v>100.59</v>
      </c>
      <c r="BO163">
        <v>100.59</v>
      </c>
      <c r="BQ163" t="s">
        <v>699</v>
      </c>
      <c r="BR163" t="s">
        <v>84</v>
      </c>
      <c r="BS163" s="3">
        <v>45971</v>
      </c>
      <c r="BT163" s="4">
        <v>0.4513888888888889</v>
      </c>
      <c r="BU163" t="s">
        <v>700</v>
      </c>
      <c r="BV163" t="s">
        <v>89</v>
      </c>
      <c r="BY163">
        <v>12285.9</v>
      </c>
      <c r="BZ163" t="s">
        <v>126</v>
      </c>
      <c r="CC163" t="s">
        <v>424</v>
      </c>
      <c r="CD163">
        <v>1541</v>
      </c>
      <c r="CE163" t="s">
        <v>149</v>
      </c>
      <c r="CF163" s="3">
        <v>45972</v>
      </c>
      <c r="CI163">
        <v>1</v>
      </c>
      <c r="CJ163">
        <v>1</v>
      </c>
      <c r="CK163">
        <v>21</v>
      </c>
      <c r="CL163" t="s">
        <v>89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"GAB2029695"</f>
        <v>GAB2029695</v>
      </c>
      <c r="F164" s="3">
        <v>45968</v>
      </c>
      <c r="G164">
        <v>202608</v>
      </c>
      <c r="H164" t="s">
        <v>75</v>
      </c>
      <c r="I164" t="s">
        <v>76</v>
      </c>
      <c r="J164" t="s">
        <v>77</v>
      </c>
      <c r="K164" t="s">
        <v>78</v>
      </c>
      <c r="L164" t="s">
        <v>330</v>
      </c>
      <c r="M164" t="s">
        <v>331</v>
      </c>
      <c r="N164" t="s">
        <v>332</v>
      </c>
      <c r="O164" t="s">
        <v>124</v>
      </c>
      <c r="P164" t="str">
        <f>"INVOICE 00122560 CT098154     "</f>
        <v xml:space="preserve">INVOICE 00122560 CT098154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21.38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16.739999999999998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0.2</v>
      </c>
      <c r="BJ164">
        <v>1.8</v>
      </c>
      <c r="BK164">
        <v>2</v>
      </c>
      <c r="BL164">
        <v>86.72</v>
      </c>
      <c r="BM164">
        <v>13.01</v>
      </c>
      <c r="BN164">
        <v>99.73</v>
      </c>
      <c r="BO164">
        <v>99.73</v>
      </c>
      <c r="BQ164" t="s">
        <v>400</v>
      </c>
      <c r="BR164" t="s">
        <v>84</v>
      </c>
      <c r="BS164" s="3">
        <v>45971</v>
      </c>
      <c r="BT164" s="4">
        <v>0.41666666666666669</v>
      </c>
      <c r="BU164" t="s">
        <v>701</v>
      </c>
      <c r="BV164" t="s">
        <v>86</v>
      </c>
      <c r="BY164">
        <v>9129.84</v>
      </c>
      <c r="BZ164" t="s">
        <v>180</v>
      </c>
      <c r="CA164" t="s">
        <v>402</v>
      </c>
      <c r="CC164" t="s">
        <v>331</v>
      </c>
      <c r="CD164">
        <v>1475</v>
      </c>
      <c r="CE164" t="s">
        <v>154</v>
      </c>
      <c r="CF164" s="3">
        <v>45971</v>
      </c>
      <c r="CI164">
        <v>1</v>
      </c>
      <c r="CJ164">
        <v>1</v>
      </c>
      <c r="CK164">
        <v>21</v>
      </c>
      <c r="CL164" t="s">
        <v>89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"GAB2029696"</f>
        <v>GAB2029696</v>
      </c>
      <c r="F165" s="3">
        <v>45968</v>
      </c>
      <c r="G165">
        <v>202608</v>
      </c>
      <c r="H165" t="s">
        <v>75</v>
      </c>
      <c r="I165" t="s">
        <v>76</v>
      </c>
      <c r="J165" t="s">
        <v>77</v>
      </c>
      <c r="K165" t="s">
        <v>78</v>
      </c>
      <c r="L165" t="s">
        <v>212</v>
      </c>
      <c r="M165" t="s">
        <v>213</v>
      </c>
      <c r="N165" t="s">
        <v>214</v>
      </c>
      <c r="O165" t="s">
        <v>124</v>
      </c>
      <c r="P165" t="str">
        <f>"INVOICE 00122563 CT098158     "</f>
        <v xml:space="preserve">INVOICE 00122563 CT098158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21.38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0.3</v>
      </c>
      <c r="BJ165">
        <v>1.8</v>
      </c>
      <c r="BK165">
        <v>2</v>
      </c>
      <c r="BL165">
        <v>69.98</v>
      </c>
      <c r="BM165">
        <v>10.5</v>
      </c>
      <c r="BN165">
        <v>80.48</v>
      </c>
      <c r="BO165">
        <v>80.48</v>
      </c>
      <c r="BR165" t="s">
        <v>84</v>
      </c>
      <c r="BS165" s="3">
        <v>45971</v>
      </c>
      <c r="BT165" s="4">
        <v>0.41736111111111113</v>
      </c>
      <c r="BU165" t="s">
        <v>702</v>
      </c>
      <c r="BV165" t="s">
        <v>86</v>
      </c>
      <c r="BY165">
        <v>9201.7999999999993</v>
      </c>
      <c r="BZ165" t="s">
        <v>126</v>
      </c>
      <c r="CA165" t="s">
        <v>703</v>
      </c>
      <c r="CC165" t="s">
        <v>213</v>
      </c>
      <c r="CD165">
        <v>5200</v>
      </c>
      <c r="CE165" t="s">
        <v>149</v>
      </c>
      <c r="CF165" s="3">
        <v>45972</v>
      </c>
      <c r="CI165">
        <v>1</v>
      </c>
      <c r="CJ165">
        <v>1</v>
      </c>
      <c r="CK165">
        <v>21</v>
      </c>
      <c r="CL165" t="s">
        <v>89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"GAB2029697"</f>
        <v>GAB2029697</v>
      </c>
      <c r="F166" s="3">
        <v>45968</v>
      </c>
      <c r="G166">
        <v>202608</v>
      </c>
      <c r="H166" t="s">
        <v>75</v>
      </c>
      <c r="I166" t="s">
        <v>76</v>
      </c>
      <c r="J166" t="s">
        <v>77</v>
      </c>
      <c r="K166" t="s">
        <v>78</v>
      </c>
      <c r="L166" t="s">
        <v>75</v>
      </c>
      <c r="M166" t="s">
        <v>76</v>
      </c>
      <c r="N166" t="s">
        <v>704</v>
      </c>
      <c r="O166" t="s">
        <v>124</v>
      </c>
      <c r="P166" t="str">
        <f>"INVOICE 00122562 CT098157     "</f>
        <v xml:space="preserve">INVOICE 00122562 CT098157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16.7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0.4</v>
      </c>
      <c r="BJ166">
        <v>3</v>
      </c>
      <c r="BK166">
        <v>3</v>
      </c>
      <c r="BL166">
        <v>54.66</v>
      </c>
      <c r="BM166">
        <v>8.1999999999999993</v>
      </c>
      <c r="BN166">
        <v>62.86</v>
      </c>
      <c r="BO166">
        <v>62.86</v>
      </c>
      <c r="BQ166" t="s">
        <v>705</v>
      </c>
      <c r="BR166" t="s">
        <v>84</v>
      </c>
      <c r="BS166" s="3">
        <v>45971</v>
      </c>
      <c r="BT166" s="4">
        <v>0.41458333333333336</v>
      </c>
      <c r="BU166" t="s">
        <v>706</v>
      </c>
      <c r="BV166" t="s">
        <v>86</v>
      </c>
      <c r="BY166">
        <v>14814.8</v>
      </c>
      <c r="BZ166" t="s">
        <v>126</v>
      </c>
      <c r="CA166" t="s">
        <v>523</v>
      </c>
      <c r="CC166" t="s">
        <v>76</v>
      </c>
      <c r="CD166">
        <v>7550</v>
      </c>
      <c r="CE166" t="s">
        <v>707</v>
      </c>
      <c r="CF166" s="3">
        <v>45972</v>
      </c>
      <c r="CI166">
        <v>1</v>
      </c>
      <c r="CJ166">
        <v>1</v>
      </c>
      <c r="CK166">
        <v>22</v>
      </c>
      <c r="CL166" t="s">
        <v>89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"GAB2029698"</f>
        <v>GAB2029698</v>
      </c>
      <c r="F167" s="3">
        <v>45968</v>
      </c>
      <c r="G167">
        <v>202608</v>
      </c>
      <c r="H167" t="s">
        <v>75</v>
      </c>
      <c r="I167" t="s">
        <v>76</v>
      </c>
      <c r="J167" t="s">
        <v>77</v>
      </c>
      <c r="K167" t="s">
        <v>78</v>
      </c>
      <c r="L167" t="s">
        <v>353</v>
      </c>
      <c r="M167" t="s">
        <v>354</v>
      </c>
      <c r="N167" t="s">
        <v>637</v>
      </c>
      <c r="O167" t="s">
        <v>124</v>
      </c>
      <c r="P167" t="str">
        <f>"INVOICE 00041286 ORDGS037966  "</f>
        <v xml:space="preserve">INVOICE 00041286 ORDGS037966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41.43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0.2</v>
      </c>
      <c r="BJ167">
        <v>1.6</v>
      </c>
      <c r="BK167">
        <v>2</v>
      </c>
      <c r="BL167">
        <v>135.59</v>
      </c>
      <c r="BM167">
        <v>20.34</v>
      </c>
      <c r="BN167">
        <v>155.93</v>
      </c>
      <c r="BO167">
        <v>155.93</v>
      </c>
      <c r="BQ167" t="s">
        <v>638</v>
      </c>
      <c r="BR167" t="s">
        <v>84</v>
      </c>
      <c r="BS167" s="3">
        <v>45971</v>
      </c>
      <c r="BT167" s="4">
        <v>0.43263888888888891</v>
      </c>
      <c r="BU167" t="s">
        <v>639</v>
      </c>
      <c r="BV167" t="s">
        <v>86</v>
      </c>
      <c r="BY167">
        <v>8004.15</v>
      </c>
      <c r="BZ167" t="s">
        <v>126</v>
      </c>
      <c r="CA167" t="s">
        <v>640</v>
      </c>
      <c r="CC167" t="s">
        <v>354</v>
      </c>
      <c r="CD167">
        <v>1035</v>
      </c>
      <c r="CE167" t="s">
        <v>154</v>
      </c>
      <c r="CF167" s="3">
        <v>45971</v>
      </c>
      <c r="CI167">
        <v>1</v>
      </c>
      <c r="CJ167">
        <v>1</v>
      </c>
      <c r="CK167">
        <v>23</v>
      </c>
      <c r="CL167" t="s">
        <v>89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"009945158412"</f>
        <v>009945158412</v>
      </c>
      <c r="F168" s="3">
        <v>45965</v>
      </c>
      <c r="G168">
        <v>202608</v>
      </c>
      <c r="H168" t="s">
        <v>230</v>
      </c>
      <c r="I168" t="s">
        <v>231</v>
      </c>
      <c r="J168" t="s">
        <v>236</v>
      </c>
      <c r="K168" t="s">
        <v>78</v>
      </c>
      <c r="L168" t="s">
        <v>90</v>
      </c>
      <c r="M168" t="s">
        <v>91</v>
      </c>
      <c r="N168" t="s">
        <v>708</v>
      </c>
      <c r="O168" t="s">
        <v>124</v>
      </c>
      <c r="P168" t="str">
        <f>"NO REF                        "</f>
        <v xml:space="preserve">NO REF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55.86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2</v>
      </c>
      <c r="BI168">
        <v>4</v>
      </c>
      <c r="BJ168">
        <v>4.8</v>
      </c>
      <c r="BK168">
        <v>5</v>
      </c>
      <c r="BL168">
        <v>177.3</v>
      </c>
      <c r="BM168">
        <v>26.6</v>
      </c>
      <c r="BN168">
        <v>203.9</v>
      </c>
      <c r="BO168">
        <v>203.9</v>
      </c>
      <c r="BQ168" t="s">
        <v>709</v>
      </c>
      <c r="BR168" t="s">
        <v>254</v>
      </c>
      <c r="BS168" s="3">
        <v>45968</v>
      </c>
      <c r="BT168" s="4">
        <v>0.56597222222222221</v>
      </c>
      <c r="BU168" t="s">
        <v>710</v>
      </c>
      <c r="BV168" t="s">
        <v>89</v>
      </c>
      <c r="BW168" t="s">
        <v>562</v>
      </c>
      <c r="BX168" t="s">
        <v>711</v>
      </c>
      <c r="BY168">
        <v>12000</v>
      </c>
      <c r="BZ168" t="s">
        <v>126</v>
      </c>
      <c r="CC168" t="s">
        <v>91</v>
      </c>
      <c r="CD168">
        <v>4000</v>
      </c>
      <c r="CE168" t="s">
        <v>245</v>
      </c>
      <c r="CF168" s="3">
        <v>45970</v>
      </c>
      <c r="CI168">
        <v>1</v>
      </c>
      <c r="CJ168">
        <v>3</v>
      </c>
      <c r="CK168">
        <v>21</v>
      </c>
      <c r="CL168" t="s">
        <v>89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"GAB2029634"</f>
        <v>GAB2029634</v>
      </c>
      <c r="F169" s="3">
        <v>45967</v>
      </c>
      <c r="G169">
        <v>202608</v>
      </c>
      <c r="H169" t="s">
        <v>75</v>
      </c>
      <c r="I169" t="s">
        <v>76</v>
      </c>
      <c r="J169" t="s">
        <v>77</v>
      </c>
      <c r="K169" t="s">
        <v>78</v>
      </c>
      <c r="L169" t="s">
        <v>620</v>
      </c>
      <c r="M169" t="s">
        <v>621</v>
      </c>
      <c r="N169" t="s">
        <v>712</v>
      </c>
      <c r="O169" t="s">
        <v>82</v>
      </c>
      <c r="P169" t="str">
        <f>"invoice00041200 ordgs037891   "</f>
        <v xml:space="preserve">invoice00041200 ordgs037891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5.87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45.67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1.5</v>
      </c>
      <c r="BJ169">
        <v>5.9</v>
      </c>
      <c r="BK169">
        <v>6</v>
      </c>
      <c r="BL169">
        <v>155.33000000000001</v>
      </c>
      <c r="BM169">
        <v>23.3</v>
      </c>
      <c r="BN169">
        <v>178.63</v>
      </c>
      <c r="BO169">
        <v>178.63</v>
      </c>
      <c r="BQ169" t="s">
        <v>713</v>
      </c>
      <c r="BR169" t="s">
        <v>84</v>
      </c>
      <c r="BS169" s="3">
        <v>45968</v>
      </c>
      <c r="BT169" s="4">
        <v>0.52986111111111112</v>
      </c>
      <c r="BU169" t="s">
        <v>714</v>
      </c>
      <c r="BV169" t="s">
        <v>86</v>
      </c>
      <c r="BY169">
        <v>29311.74</v>
      </c>
      <c r="CA169" t="s">
        <v>625</v>
      </c>
      <c r="CC169" t="s">
        <v>621</v>
      </c>
      <c r="CD169">
        <v>7130</v>
      </c>
      <c r="CE169" t="s">
        <v>88</v>
      </c>
      <c r="CF169" s="3">
        <v>45971</v>
      </c>
      <c r="CI169">
        <v>0</v>
      </c>
      <c r="CJ169">
        <v>0</v>
      </c>
      <c r="CK169">
        <v>44</v>
      </c>
      <c r="CL169" t="s">
        <v>89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"009944868270"</f>
        <v>009944868270</v>
      </c>
      <c r="F170" s="3">
        <v>45964</v>
      </c>
      <c r="G170">
        <v>202608</v>
      </c>
      <c r="H170" t="s">
        <v>246</v>
      </c>
      <c r="I170" t="s">
        <v>247</v>
      </c>
      <c r="J170" t="s">
        <v>236</v>
      </c>
      <c r="K170" t="s">
        <v>78</v>
      </c>
      <c r="L170" t="s">
        <v>75</v>
      </c>
      <c r="M170" t="s">
        <v>76</v>
      </c>
      <c r="N170" t="s">
        <v>236</v>
      </c>
      <c r="O170" t="s">
        <v>124</v>
      </c>
      <c r="P170" t="str">
        <f>"                              "</f>
        <v xml:space="preserve">     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22.36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1</v>
      </c>
      <c r="BJ170">
        <v>0.2</v>
      </c>
      <c r="BK170">
        <v>1</v>
      </c>
      <c r="BL170">
        <v>70.959999999999994</v>
      </c>
      <c r="BM170">
        <v>10.64</v>
      </c>
      <c r="BN170">
        <v>81.599999999999994</v>
      </c>
      <c r="BO170">
        <v>81.599999999999994</v>
      </c>
      <c r="BQ170" t="s">
        <v>715</v>
      </c>
      <c r="BR170" t="s">
        <v>248</v>
      </c>
      <c r="BS170" s="3">
        <v>45966</v>
      </c>
      <c r="BT170" s="4">
        <v>0.48888888888888887</v>
      </c>
      <c r="BU170" t="s">
        <v>507</v>
      </c>
      <c r="BV170" t="s">
        <v>89</v>
      </c>
      <c r="BW170" t="s">
        <v>413</v>
      </c>
      <c r="BX170" t="s">
        <v>716</v>
      </c>
      <c r="BY170">
        <v>1200</v>
      </c>
      <c r="BZ170" t="s">
        <v>126</v>
      </c>
      <c r="CA170" t="s">
        <v>508</v>
      </c>
      <c r="CC170" t="s">
        <v>76</v>
      </c>
      <c r="CD170">
        <v>8000</v>
      </c>
      <c r="CE170" t="s">
        <v>245</v>
      </c>
      <c r="CF170" s="3">
        <v>45967</v>
      </c>
      <c r="CI170">
        <v>2</v>
      </c>
      <c r="CJ170">
        <v>2</v>
      </c>
      <c r="CK170">
        <v>21</v>
      </c>
      <c r="CL170" t="s">
        <v>89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"gab2029476"</f>
        <v>gab2029476</v>
      </c>
      <c r="F171" s="3">
        <v>45964</v>
      </c>
      <c r="G171">
        <v>202608</v>
      </c>
      <c r="H171" t="s">
        <v>75</v>
      </c>
      <c r="I171" t="s">
        <v>76</v>
      </c>
      <c r="J171" t="s">
        <v>236</v>
      </c>
      <c r="K171" t="s">
        <v>78</v>
      </c>
      <c r="L171" t="s">
        <v>75</v>
      </c>
      <c r="M171" t="s">
        <v>76</v>
      </c>
      <c r="N171" t="s">
        <v>325</v>
      </c>
      <c r="O171" t="s">
        <v>124</v>
      </c>
      <c r="P171" t="str">
        <f>"INVOICE 00122309              "</f>
        <v xml:space="preserve">INVOICE 00122309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17.46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3</v>
      </c>
      <c r="BJ171">
        <v>1</v>
      </c>
      <c r="BK171">
        <v>3</v>
      </c>
      <c r="BL171">
        <v>55.42</v>
      </c>
      <c r="BM171">
        <v>8.31</v>
      </c>
      <c r="BN171">
        <v>63.73</v>
      </c>
      <c r="BO171">
        <v>63.73</v>
      </c>
      <c r="BQ171" t="s">
        <v>717</v>
      </c>
      <c r="BR171" t="s">
        <v>252</v>
      </c>
      <c r="BS171" s="3">
        <v>45965</v>
      </c>
      <c r="BT171" s="4">
        <v>0.41805555555555557</v>
      </c>
      <c r="BU171" t="s">
        <v>718</v>
      </c>
      <c r="BV171" t="s">
        <v>86</v>
      </c>
      <c r="BY171">
        <v>4800</v>
      </c>
      <c r="BZ171" t="s">
        <v>126</v>
      </c>
      <c r="CA171" t="s">
        <v>153</v>
      </c>
      <c r="CC171" t="s">
        <v>76</v>
      </c>
      <c r="CD171">
        <v>7708</v>
      </c>
      <c r="CE171" t="s">
        <v>245</v>
      </c>
      <c r="CF171" s="3">
        <v>45966</v>
      </c>
      <c r="CI171">
        <v>1</v>
      </c>
      <c r="CJ171">
        <v>1</v>
      </c>
      <c r="CK171">
        <v>22</v>
      </c>
      <c r="CL171" t="s">
        <v>89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"009945158411"</f>
        <v>009945158411</v>
      </c>
      <c r="F172" s="3">
        <v>45965</v>
      </c>
      <c r="G172">
        <v>202608</v>
      </c>
      <c r="H172" t="s">
        <v>230</v>
      </c>
      <c r="I172" t="s">
        <v>231</v>
      </c>
      <c r="J172" t="s">
        <v>236</v>
      </c>
      <c r="K172" t="s">
        <v>78</v>
      </c>
      <c r="L172" t="s">
        <v>75</v>
      </c>
      <c r="M172" t="s">
        <v>76</v>
      </c>
      <c r="N172" t="s">
        <v>236</v>
      </c>
      <c r="O172" t="s">
        <v>124</v>
      </c>
      <c r="P172" t="str">
        <f>"NO REF                        "</f>
        <v xml:space="preserve">NO REF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22.36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</v>
      </c>
      <c r="BJ172">
        <v>0.2</v>
      </c>
      <c r="BK172">
        <v>1</v>
      </c>
      <c r="BL172">
        <v>70.959999999999994</v>
      </c>
      <c r="BM172">
        <v>10.64</v>
      </c>
      <c r="BN172">
        <v>81.599999999999994</v>
      </c>
      <c r="BO172">
        <v>81.599999999999994</v>
      </c>
      <c r="BQ172" t="s">
        <v>719</v>
      </c>
      <c r="BR172" t="s">
        <v>720</v>
      </c>
      <c r="BS172" s="3">
        <v>45966</v>
      </c>
      <c r="BT172" s="4">
        <v>0.48888888888888887</v>
      </c>
      <c r="BU172" t="s">
        <v>507</v>
      </c>
      <c r="BV172" t="s">
        <v>89</v>
      </c>
      <c r="BY172">
        <v>1200</v>
      </c>
      <c r="BZ172" t="s">
        <v>126</v>
      </c>
      <c r="CA172" t="s">
        <v>508</v>
      </c>
      <c r="CC172" t="s">
        <v>76</v>
      </c>
      <c r="CD172">
        <v>8000</v>
      </c>
      <c r="CE172" t="s">
        <v>245</v>
      </c>
      <c r="CF172" s="3">
        <v>45967</v>
      </c>
      <c r="CI172">
        <v>1</v>
      </c>
      <c r="CJ172">
        <v>1</v>
      </c>
      <c r="CK172">
        <v>21</v>
      </c>
      <c r="CL172" t="s">
        <v>89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"GAB2029554"</f>
        <v>GAB2029554</v>
      </c>
      <c r="F173" s="3">
        <v>45965</v>
      </c>
      <c r="G173">
        <v>202608</v>
      </c>
      <c r="H173" t="s">
        <v>75</v>
      </c>
      <c r="I173" t="s">
        <v>76</v>
      </c>
      <c r="J173" t="s">
        <v>236</v>
      </c>
      <c r="K173" t="s">
        <v>78</v>
      </c>
      <c r="L173" t="s">
        <v>224</v>
      </c>
      <c r="M173" t="s">
        <v>225</v>
      </c>
      <c r="N173" t="s">
        <v>721</v>
      </c>
      <c r="O173" t="s">
        <v>124</v>
      </c>
      <c r="P173" t="str">
        <f t="shared" ref="P173:P193" si="1">"CT                            "</f>
        <v xml:space="preserve">CT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62.87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0.4</v>
      </c>
      <c r="BJ173">
        <v>2.6</v>
      </c>
      <c r="BK173">
        <v>3</v>
      </c>
      <c r="BL173">
        <v>199.55</v>
      </c>
      <c r="BM173">
        <v>29.93</v>
      </c>
      <c r="BN173">
        <v>229.48</v>
      </c>
      <c r="BO173">
        <v>229.48</v>
      </c>
      <c r="BQ173" t="s">
        <v>722</v>
      </c>
      <c r="BR173" t="s">
        <v>252</v>
      </c>
      <c r="BS173" s="3">
        <v>45967</v>
      </c>
      <c r="BT173" s="4">
        <v>0.40972222222222221</v>
      </c>
      <c r="BU173" t="s">
        <v>723</v>
      </c>
      <c r="BV173" t="s">
        <v>86</v>
      </c>
      <c r="BY173">
        <v>13209.51</v>
      </c>
      <c r="BZ173" t="s">
        <v>126</v>
      </c>
      <c r="CA173" t="s">
        <v>229</v>
      </c>
      <c r="CC173" t="s">
        <v>225</v>
      </c>
      <c r="CD173">
        <v>9700</v>
      </c>
      <c r="CE173" t="s">
        <v>245</v>
      </c>
      <c r="CF173" s="3">
        <v>45968</v>
      </c>
      <c r="CI173">
        <v>2</v>
      </c>
      <c r="CJ173">
        <v>2</v>
      </c>
      <c r="CK173">
        <v>23</v>
      </c>
      <c r="CL173" t="s">
        <v>89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"gab2029553"</f>
        <v>gab2029553</v>
      </c>
      <c r="F174" s="3">
        <v>45965</v>
      </c>
      <c r="G174">
        <v>202608</v>
      </c>
      <c r="H174" t="s">
        <v>75</v>
      </c>
      <c r="I174" t="s">
        <v>76</v>
      </c>
      <c r="J174" t="s">
        <v>236</v>
      </c>
      <c r="K174" t="s">
        <v>78</v>
      </c>
      <c r="L174" t="s">
        <v>75</v>
      </c>
      <c r="M174" t="s">
        <v>76</v>
      </c>
      <c r="N174" t="s">
        <v>724</v>
      </c>
      <c r="O174" t="s">
        <v>124</v>
      </c>
      <c r="P174" t="str">
        <f t="shared" si="1"/>
        <v xml:space="preserve">CT 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17.46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0.3</v>
      </c>
      <c r="BJ174">
        <v>2.4</v>
      </c>
      <c r="BK174">
        <v>3</v>
      </c>
      <c r="BL174">
        <v>55.42</v>
      </c>
      <c r="BM174">
        <v>8.31</v>
      </c>
      <c r="BN174">
        <v>63.73</v>
      </c>
      <c r="BO174">
        <v>63.73</v>
      </c>
      <c r="BQ174" t="s">
        <v>254</v>
      </c>
      <c r="BR174" t="s">
        <v>252</v>
      </c>
      <c r="BS174" s="3">
        <v>45966</v>
      </c>
      <c r="BT174" s="4">
        <v>0.37638888888888888</v>
      </c>
      <c r="BU174" t="s">
        <v>725</v>
      </c>
      <c r="BV174" t="s">
        <v>86</v>
      </c>
      <c r="BY174">
        <v>12141.15</v>
      </c>
      <c r="BZ174" t="s">
        <v>126</v>
      </c>
      <c r="CA174" t="s">
        <v>373</v>
      </c>
      <c r="CC174" t="s">
        <v>76</v>
      </c>
      <c r="CD174">
        <v>7700</v>
      </c>
      <c r="CE174" t="s">
        <v>245</v>
      </c>
      <c r="CF174" s="3">
        <v>45967</v>
      </c>
      <c r="CI174">
        <v>1</v>
      </c>
      <c r="CJ174">
        <v>1</v>
      </c>
      <c r="CK174">
        <v>22</v>
      </c>
      <c r="CL174" t="s">
        <v>89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"gab2029552"</f>
        <v>gab2029552</v>
      </c>
      <c r="F175" s="3">
        <v>45965</v>
      </c>
      <c r="G175">
        <v>202608</v>
      </c>
      <c r="H175" t="s">
        <v>75</v>
      </c>
      <c r="I175" t="s">
        <v>76</v>
      </c>
      <c r="J175" t="s">
        <v>236</v>
      </c>
      <c r="K175" t="s">
        <v>78</v>
      </c>
      <c r="L175" t="s">
        <v>169</v>
      </c>
      <c r="M175" t="s">
        <v>170</v>
      </c>
      <c r="N175" t="s">
        <v>726</v>
      </c>
      <c r="O175" t="s">
        <v>124</v>
      </c>
      <c r="P175" t="str">
        <f t="shared" si="1"/>
        <v xml:space="preserve">CT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27.94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0.2</v>
      </c>
      <c r="BJ175">
        <v>2.2999999999999998</v>
      </c>
      <c r="BK175">
        <v>2.5</v>
      </c>
      <c r="BL175">
        <v>88.68</v>
      </c>
      <c r="BM175">
        <v>13.3</v>
      </c>
      <c r="BN175">
        <v>101.98</v>
      </c>
      <c r="BO175">
        <v>101.98</v>
      </c>
      <c r="BQ175" t="s">
        <v>552</v>
      </c>
      <c r="BR175" t="s">
        <v>252</v>
      </c>
      <c r="BS175" s="3">
        <v>45966</v>
      </c>
      <c r="BT175" s="4">
        <v>0.36805555555555558</v>
      </c>
      <c r="BU175" t="s">
        <v>727</v>
      </c>
      <c r="BV175" t="s">
        <v>86</v>
      </c>
      <c r="BY175">
        <v>11680.2</v>
      </c>
      <c r="BZ175" t="s">
        <v>126</v>
      </c>
      <c r="CA175" t="s">
        <v>728</v>
      </c>
      <c r="CC175" t="s">
        <v>170</v>
      </c>
      <c r="CD175">
        <v>2001</v>
      </c>
      <c r="CE175" t="s">
        <v>245</v>
      </c>
      <c r="CF175" s="3">
        <v>45967</v>
      </c>
      <c r="CI175">
        <v>1</v>
      </c>
      <c r="CJ175">
        <v>1</v>
      </c>
      <c r="CK175">
        <v>21</v>
      </c>
      <c r="CL175" t="s">
        <v>89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"gab2029551"</f>
        <v>gab2029551</v>
      </c>
      <c r="F176" s="3">
        <v>45965</v>
      </c>
      <c r="G176">
        <v>202608</v>
      </c>
      <c r="H176" t="s">
        <v>75</v>
      </c>
      <c r="I176" t="s">
        <v>76</v>
      </c>
      <c r="J176" t="s">
        <v>236</v>
      </c>
      <c r="K176" t="s">
        <v>78</v>
      </c>
      <c r="L176" t="s">
        <v>169</v>
      </c>
      <c r="M176" t="s">
        <v>170</v>
      </c>
      <c r="N176" t="s">
        <v>729</v>
      </c>
      <c r="O176" t="s">
        <v>124</v>
      </c>
      <c r="P176" t="str">
        <f t="shared" si="1"/>
        <v xml:space="preserve">CT   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33.520000000000003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0.3</v>
      </c>
      <c r="BJ176">
        <v>2.8</v>
      </c>
      <c r="BK176">
        <v>3</v>
      </c>
      <c r="BL176">
        <v>106.4</v>
      </c>
      <c r="BM176">
        <v>15.96</v>
      </c>
      <c r="BN176">
        <v>122.36</v>
      </c>
      <c r="BO176">
        <v>122.36</v>
      </c>
      <c r="BQ176" t="s">
        <v>730</v>
      </c>
      <c r="BR176" t="s">
        <v>252</v>
      </c>
      <c r="BS176" s="3">
        <v>45966</v>
      </c>
      <c r="BT176" s="4">
        <v>0.36458333333333331</v>
      </c>
      <c r="BU176" t="s">
        <v>731</v>
      </c>
      <c r="BV176" t="s">
        <v>86</v>
      </c>
      <c r="BY176">
        <v>13758.66</v>
      </c>
      <c r="BZ176" t="s">
        <v>126</v>
      </c>
      <c r="CA176" t="s">
        <v>539</v>
      </c>
      <c r="CC176" t="s">
        <v>170</v>
      </c>
      <c r="CD176">
        <v>2192</v>
      </c>
      <c r="CE176" t="s">
        <v>245</v>
      </c>
      <c r="CF176" s="3">
        <v>45966</v>
      </c>
      <c r="CI176">
        <v>1</v>
      </c>
      <c r="CJ176">
        <v>1</v>
      </c>
      <c r="CK176">
        <v>21</v>
      </c>
      <c r="CL176" t="s">
        <v>89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"gab2029550"</f>
        <v>gab2029550</v>
      </c>
      <c r="F177" s="3">
        <v>45965</v>
      </c>
      <c r="G177">
        <v>202608</v>
      </c>
      <c r="H177" t="s">
        <v>75</v>
      </c>
      <c r="I177" t="s">
        <v>76</v>
      </c>
      <c r="J177" t="s">
        <v>236</v>
      </c>
      <c r="K177" t="s">
        <v>78</v>
      </c>
      <c r="L177" t="s">
        <v>246</v>
      </c>
      <c r="M177" t="s">
        <v>247</v>
      </c>
      <c r="N177" t="s">
        <v>732</v>
      </c>
      <c r="O177" t="s">
        <v>124</v>
      </c>
      <c r="P177" t="str">
        <f t="shared" si="1"/>
        <v xml:space="preserve">CT   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22.36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0.2</v>
      </c>
      <c r="BJ177">
        <v>1.9</v>
      </c>
      <c r="BK177">
        <v>2</v>
      </c>
      <c r="BL177">
        <v>70.959999999999994</v>
      </c>
      <c r="BM177">
        <v>10.64</v>
      </c>
      <c r="BN177">
        <v>81.599999999999994</v>
      </c>
      <c r="BO177">
        <v>81.599999999999994</v>
      </c>
      <c r="BQ177" t="s">
        <v>733</v>
      </c>
      <c r="BR177" t="s">
        <v>252</v>
      </c>
      <c r="BS177" s="3">
        <v>45967</v>
      </c>
      <c r="BT177" s="4">
        <v>0.48958333333333331</v>
      </c>
      <c r="BU177" t="s">
        <v>734</v>
      </c>
      <c r="BV177" t="s">
        <v>89</v>
      </c>
      <c r="BW177" t="s">
        <v>562</v>
      </c>
      <c r="BX177" t="s">
        <v>563</v>
      </c>
      <c r="BY177">
        <v>9615.8799999999992</v>
      </c>
      <c r="BZ177" t="s">
        <v>126</v>
      </c>
      <c r="CC177" t="s">
        <v>247</v>
      </c>
      <c r="CD177">
        <v>9301</v>
      </c>
      <c r="CE177" t="s">
        <v>245</v>
      </c>
      <c r="CF177" s="3">
        <v>45968</v>
      </c>
      <c r="CI177">
        <v>2</v>
      </c>
      <c r="CJ177">
        <v>2</v>
      </c>
      <c r="CK177">
        <v>21</v>
      </c>
      <c r="CL177" t="s">
        <v>89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"gab2029549"</f>
        <v>gab2029549</v>
      </c>
      <c r="F178" s="3">
        <v>45965</v>
      </c>
      <c r="G178">
        <v>202608</v>
      </c>
      <c r="H178" t="s">
        <v>75</v>
      </c>
      <c r="I178" t="s">
        <v>76</v>
      </c>
      <c r="J178" t="s">
        <v>236</v>
      </c>
      <c r="K178" t="s">
        <v>78</v>
      </c>
      <c r="L178" t="s">
        <v>169</v>
      </c>
      <c r="M178" t="s">
        <v>170</v>
      </c>
      <c r="N178" t="s">
        <v>735</v>
      </c>
      <c r="O178" t="s">
        <v>124</v>
      </c>
      <c r="P178" t="str">
        <f t="shared" si="1"/>
        <v xml:space="preserve">CT 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27.94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0.2</v>
      </c>
      <c r="BJ178">
        <v>2.5</v>
      </c>
      <c r="BK178">
        <v>2.5</v>
      </c>
      <c r="BL178">
        <v>88.68</v>
      </c>
      <c r="BM178">
        <v>13.3</v>
      </c>
      <c r="BN178">
        <v>101.98</v>
      </c>
      <c r="BO178">
        <v>101.98</v>
      </c>
      <c r="BQ178" t="s">
        <v>736</v>
      </c>
      <c r="BR178" t="s">
        <v>252</v>
      </c>
      <c r="BS178" s="3">
        <v>45966</v>
      </c>
      <c r="BT178" s="4">
        <v>0.40625</v>
      </c>
      <c r="BU178" t="s">
        <v>737</v>
      </c>
      <c r="BV178" t="s">
        <v>86</v>
      </c>
      <c r="BY178">
        <v>12313.95</v>
      </c>
      <c r="BZ178" t="s">
        <v>126</v>
      </c>
      <c r="CA178" t="s">
        <v>738</v>
      </c>
      <c r="CC178" t="s">
        <v>170</v>
      </c>
      <c r="CD178">
        <v>2193</v>
      </c>
      <c r="CE178" t="s">
        <v>245</v>
      </c>
      <c r="CF178" s="3">
        <v>45966</v>
      </c>
      <c r="CI178">
        <v>1</v>
      </c>
      <c r="CJ178">
        <v>1</v>
      </c>
      <c r="CK178">
        <v>21</v>
      </c>
      <c r="CL178" t="s">
        <v>89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"gab2029548"</f>
        <v>gab2029548</v>
      </c>
      <c r="F179" s="3">
        <v>45965</v>
      </c>
      <c r="G179">
        <v>202608</v>
      </c>
      <c r="H179" t="s">
        <v>75</v>
      </c>
      <c r="I179" t="s">
        <v>76</v>
      </c>
      <c r="J179" t="s">
        <v>236</v>
      </c>
      <c r="K179" t="s">
        <v>78</v>
      </c>
      <c r="L179" t="s">
        <v>129</v>
      </c>
      <c r="M179" t="s">
        <v>130</v>
      </c>
      <c r="N179" t="s">
        <v>739</v>
      </c>
      <c r="O179" t="s">
        <v>124</v>
      </c>
      <c r="P179" t="str">
        <f t="shared" si="1"/>
        <v xml:space="preserve">CT   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22.36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0.2</v>
      </c>
      <c r="BJ179">
        <v>2</v>
      </c>
      <c r="BK179">
        <v>2</v>
      </c>
      <c r="BL179">
        <v>70.959999999999994</v>
      </c>
      <c r="BM179">
        <v>10.64</v>
      </c>
      <c r="BN179">
        <v>81.599999999999994</v>
      </c>
      <c r="BO179">
        <v>81.599999999999994</v>
      </c>
      <c r="BQ179" t="s">
        <v>740</v>
      </c>
      <c r="BR179" t="s">
        <v>252</v>
      </c>
      <c r="BS179" s="3">
        <v>45967</v>
      </c>
      <c r="BT179" s="4">
        <v>0.41666666666666669</v>
      </c>
      <c r="BU179" t="s">
        <v>741</v>
      </c>
      <c r="BV179" t="s">
        <v>86</v>
      </c>
      <c r="BY179">
        <v>9790.4</v>
      </c>
      <c r="BZ179" t="s">
        <v>126</v>
      </c>
      <c r="CC179" t="s">
        <v>130</v>
      </c>
      <c r="CD179" s="5" t="s">
        <v>742</v>
      </c>
      <c r="CE179" t="s">
        <v>245</v>
      </c>
      <c r="CF179" s="3">
        <v>45967</v>
      </c>
      <c r="CI179">
        <v>2</v>
      </c>
      <c r="CJ179">
        <v>2</v>
      </c>
      <c r="CK179">
        <v>21</v>
      </c>
      <c r="CL179" t="s">
        <v>89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"gab2029546"</f>
        <v>gab2029546</v>
      </c>
      <c r="F180" s="3">
        <v>45965</v>
      </c>
      <c r="G180">
        <v>202608</v>
      </c>
      <c r="H180" t="s">
        <v>75</v>
      </c>
      <c r="I180" t="s">
        <v>76</v>
      </c>
      <c r="J180" t="s">
        <v>236</v>
      </c>
      <c r="K180" t="s">
        <v>78</v>
      </c>
      <c r="L180" t="s">
        <v>75</v>
      </c>
      <c r="M180" t="s">
        <v>76</v>
      </c>
      <c r="N180" t="s">
        <v>743</v>
      </c>
      <c r="O180" t="s">
        <v>124</v>
      </c>
      <c r="P180" t="str">
        <f t="shared" si="1"/>
        <v xml:space="preserve">CT   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17.46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0.2</v>
      </c>
      <c r="BJ180">
        <v>2.1</v>
      </c>
      <c r="BK180">
        <v>3</v>
      </c>
      <c r="BL180">
        <v>55.42</v>
      </c>
      <c r="BM180">
        <v>8.31</v>
      </c>
      <c r="BN180">
        <v>63.73</v>
      </c>
      <c r="BO180">
        <v>63.73</v>
      </c>
      <c r="BQ180" t="s">
        <v>458</v>
      </c>
      <c r="BR180" t="s">
        <v>252</v>
      </c>
      <c r="BS180" s="3">
        <v>45966</v>
      </c>
      <c r="BT180" s="4">
        <v>0.49027777777777776</v>
      </c>
      <c r="BU180" t="s">
        <v>459</v>
      </c>
      <c r="BV180" t="s">
        <v>86</v>
      </c>
      <c r="BY180">
        <v>10673.25</v>
      </c>
      <c r="BZ180" t="s">
        <v>126</v>
      </c>
      <c r="CA180" t="s">
        <v>460</v>
      </c>
      <c r="CC180" t="s">
        <v>76</v>
      </c>
      <c r="CD180">
        <v>7806</v>
      </c>
      <c r="CE180" t="s">
        <v>245</v>
      </c>
      <c r="CF180" s="3">
        <v>45967</v>
      </c>
      <c r="CI180">
        <v>1</v>
      </c>
      <c r="CJ180">
        <v>1</v>
      </c>
      <c r="CK180">
        <v>22</v>
      </c>
      <c r="CL180" t="s">
        <v>89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"gab2029544"</f>
        <v>gab2029544</v>
      </c>
      <c r="F181" s="3">
        <v>45965</v>
      </c>
      <c r="G181">
        <v>202608</v>
      </c>
      <c r="H181" t="s">
        <v>75</v>
      </c>
      <c r="I181" t="s">
        <v>76</v>
      </c>
      <c r="J181" t="s">
        <v>236</v>
      </c>
      <c r="K181" t="s">
        <v>78</v>
      </c>
      <c r="L181" t="s">
        <v>435</v>
      </c>
      <c r="M181" t="s">
        <v>435</v>
      </c>
      <c r="N181" t="s">
        <v>744</v>
      </c>
      <c r="O181" t="s">
        <v>124</v>
      </c>
      <c r="P181" t="str">
        <f t="shared" si="1"/>
        <v xml:space="preserve">CT   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39.1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0.3</v>
      </c>
      <c r="BJ181">
        <v>2.5</v>
      </c>
      <c r="BK181">
        <v>2.5</v>
      </c>
      <c r="BL181">
        <v>124.09</v>
      </c>
      <c r="BM181">
        <v>18.61</v>
      </c>
      <c r="BN181">
        <v>142.69999999999999</v>
      </c>
      <c r="BO181">
        <v>142.69999999999999</v>
      </c>
      <c r="BQ181" t="s">
        <v>745</v>
      </c>
      <c r="BR181" t="s">
        <v>252</v>
      </c>
      <c r="BS181" s="3">
        <v>45971</v>
      </c>
      <c r="BT181" s="4">
        <v>0.51875000000000004</v>
      </c>
      <c r="BU181" t="s">
        <v>746</v>
      </c>
      <c r="BV181" t="s">
        <v>89</v>
      </c>
      <c r="BW181" t="s">
        <v>413</v>
      </c>
      <c r="BX181" t="s">
        <v>747</v>
      </c>
      <c r="BY181">
        <v>12525.75</v>
      </c>
      <c r="BZ181" t="s">
        <v>126</v>
      </c>
      <c r="CA181" t="s">
        <v>439</v>
      </c>
      <c r="CC181" t="s">
        <v>435</v>
      </c>
      <c r="CD181">
        <v>7646</v>
      </c>
      <c r="CE181" t="s">
        <v>245</v>
      </c>
      <c r="CF181" s="3">
        <v>45972</v>
      </c>
      <c r="CI181">
        <v>1</v>
      </c>
      <c r="CJ181">
        <v>4</v>
      </c>
      <c r="CK181">
        <v>24</v>
      </c>
      <c r="CL181" t="s">
        <v>89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"gab2029542"</f>
        <v>gab2029542</v>
      </c>
      <c r="F182" s="3">
        <v>45965</v>
      </c>
      <c r="G182">
        <v>202608</v>
      </c>
      <c r="H182" t="s">
        <v>75</v>
      </c>
      <c r="I182" t="s">
        <v>76</v>
      </c>
      <c r="J182" t="s">
        <v>236</v>
      </c>
      <c r="K182" t="s">
        <v>78</v>
      </c>
      <c r="L182" t="s">
        <v>374</v>
      </c>
      <c r="M182" t="s">
        <v>375</v>
      </c>
      <c r="N182" t="s">
        <v>748</v>
      </c>
      <c r="O182" t="s">
        <v>124</v>
      </c>
      <c r="P182" t="str">
        <f t="shared" si="1"/>
        <v xml:space="preserve">CT   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27.94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0.4</v>
      </c>
      <c r="BJ182">
        <v>2.5</v>
      </c>
      <c r="BK182">
        <v>2.5</v>
      </c>
      <c r="BL182">
        <v>88.68</v>
      </c>
      <c r="BM182">
        <v>13.3</v>
      </c>
      <c r="BN182">
        <v>101.98</v>
      </c>
      <c r="BO182">
        <v>101.98</v>
      </c>
      <c r="BQ182" t="s">
        <v>254</v>
      </c>
      <c r="BR182" t="s">
        <v>252</v>
      </c>
      <c r="BS182" s="3">
        <v>45966</v>
      </c>
      <c r="BT182" s="4">
        <v>0.3888888888888889</v>
      </c>
      <c r="BU182" t="s">
        <v>377</v>
      </c>
      <c r="BV182" t="s">
        <v>86</v>
      </c>
      <c r="BY182">
        <v>12370.2</v>
      </c>
      <c r="BZ182" t="s">
        <v>126</v>
      </c>
      <c r="CA182" t="s">
        <v>378</v>
      </c>
      <c r="CC182" t="s">
        <v>375</v>
      </c>
      <c r="CD182">
        <v>2146</v>
      </c>
      <c r="CE182" t="s">
        <v>245</v>
      </c>
      <c r="CF182" s="3">
        <v>45966</v>
      </c>
      <c r="CI182">
        <v>1</v>
      </c>
      <c r="CJ182">
        <v>1</v>
      </c>
      <c r="CK182">
        <v>21</v>
      </c>
      <c r="CL182" t="s">
        <v>89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"gab2029539"</f>
        <v>gab2029539</v>
      </c>
      <c r="F183" s="3">
        <v>45965</v>
      </c>
      <c r="G183">
        <v>202608</v>
      </c>
      <c r="H183" t="s">
        <v>75</v>
      </c>
      <c r="I183" t="s">
        <v>76</v>
      </c>
      <c r="J183" t="s">
        <v>236</v>
      </c>
      <c r="K183" t="s">
        <v>78</v>
      </c>
      <c r="L183" t="s">
        <v>75</v>
      </c>
      <c r="M183" t="s">
        <v>76</v>
      </c>
      <c r="N183" t="s">
        <v>575</v>
      </c>
      <c r="O183" t="s">
        <v>124</v>
      </c>
      <c r="P183" t="str">
        <f t="shared" si="1"/>
        <v xml:space="preserve">CT   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17.46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1</v>
      </c>
      <c r="BJ183">
        <v>0.2</v>
      </c>
      <c r="BK183">
        <v>1</v>
      </c>
      <c r="BL183">
        <v>55.42</v>
      </c>
      <c r="BM183">
        <v>8.31</v>
      </c>
      <c r="BN183">
        <v>63.73</v>
      </c>
      <c r="BO183">
        <v>63.73</v>
      </c>
      <c r="BQ183" t="s">
        <v>254</v>
      </c>
      <c r="BR183" t="s">
        <v>252</v>
      </c>
      <c r="BS183" s="3">
        <v>45966</v>
      </c>
      <c r="BT183" s="4">
        <v>0.375</v>
      </c>
      <c r="BU183" t="s">
        <v>725</v>
      </c>
      <c r="BV183" t="s">
        <v>86</v>
      </c>
      <c r="BY183">
        <v>1200</v>
      </c>
      <c r="BZ183" t="s">
        <v>126</v>
      </c>
      <c r="CA183" t="s">
        <v>373</v>
      </c>
      <c r="CC183" t="s">
        <v>76</v>
      </c>
      <c r="CD183">
        <v>7700</v>
      </c>
      <c r="CE183" t="s">
        <v>245</v>
      </c>
      <c r="CF183" s="3">
        <v>45967</v>
      </c>
      <c r="CI183">
        <v>1</v>
      </c>
      <c r="CJ183">
        <v>1</v>
      </c>
      <c r="CK183">
        <v>22</v>
      </c>
      <c r="CL183" t="s">
        <v>89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"gab2029538"</f>
        <v>gab2029538</v>
      </c>
      <c r="F184" s="3">
        <v>45965</v>
      </c>
      <c r="G184">
        <v>202608</v>
      </c>
      <c r="H184" t="s">
        <v>75</v>
      </c>
      <c r="I184" t="s">
        <v>76</v>
      </c>
      <c r="J184" t="s">
        <v>236</v>
      </c>
      <c r="K184" t="s">
        <v>78</v>
      </c>
      <c r="L184" t="s">
        <v>230</v>
      </c>
      <c r="M184" t="s">
        <v>231</v>
      </c>
      <c r="N184" t="s">
        <v>749</v>
      </c>
      <c r="O184" t="s">
        <v>124</v>
      </c>
      <c r="P184" t="str">
        <f t="shared" si="1"/>
        <v xml:space="preserve">CT   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22.36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0.2</v>
      </c>
      <c r="BJ184">
        <v>1.5</v>
      </c>
      <c r="BK184">
        <v>1.5</v>
      </c>
      <c r="BL184">
        <v>70.959999999999994</v>
      </c>
      <c r="BM184">
        <v>10.64</v>
      </c>
      <c r="BN184">
        <v>81.599999999999994</v>
      </c>
      <c r="BO184">
        <v>81.599999999999994</v>
      </c>
      <c r="BQ184" t="s">
        <v>254</v>
      </c>
      <c r="BR184" t="s">
        <v>252</v>
      </c>
      <c r="BS184" s="3">
        <v>45966</v>
      </c>
      <c r="BT184" s="4">
        <v>0.36875000000000002</v>
      </c>
      <c r="BU184" t="s">
        <v>323</v>
      </c>
      <c r="BV184" t="s">
        <v>86</v>
      </c>
      <c r="BY184">
        <v>7419.6</v>
      </c>
      <c r="BZ184" t="s">
        <v>126</v>
      </c>
      <c r="CA184" s="5" t="s">
        <v>750</v>
      </c>
      <c r="CC184" t="s">
        <v>231</v>
      </c>
      <c r="CD184" s="5" t="s">
        <v>751</v>
      </c>
      <c r="CE184" t="s">
        <v>245</v>
      </c>
      <c r="CF184" s="3">
        <v>45966</v>
      </c>
      <c r="CI184">
        <v>1</v>
      </c>
      <c r="CJ184">
        <v>1</v>
      </c>
      <c r="CK184">
        <v>21</v>
      </c>
      <c r="CL184" t="s">
        <v>89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"gab2029537"</f>
        <v>gab2029537</v>
      </c>
      <c r="F185" s="3">
        <v>45965</v>
      </c>
      <c r="G185">
        <v>202608</v>
      </c>
      <c r="H185" t="s">
        <v>75</v>
      </c>
      <c r="I185" t="s">
        <v>76</v>
      </c>
      <c r="J185" t="s">
        <v>236</v>
      </c>
      <c r="K185" t="s">
        <v>78</v>
      </c>
      <c r="L185" t="s">
        <v>75</v>
      </c>
      <c r="M185" t="s">
        <v>76</v>
      </c>
      <c r="N185" t="s">
        <v>752</v>
      </c>
      <c r="O185" t="s">
        <v>124</v>
      </c>
      <c r="P185" t="str">
        <f t="shared" si="1"/>
        <v xml:space="preserve">CT 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17.46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0.5</v>
      </c>
      <c r="BJ185">
        <v>1.7</v>
      </c>
      <c r="BK185">
        <v>2</v>
      </c>
      <c r="BL185">
        <v>55.42</v>
      </c>
      <c r="BM185">
        <v>8.31</v>
      </c>
      <c r="BN185">
        <v>63.73</v>
      </c>
      <c r="BO185">
        <v>63.73</v>
      </c>
      <c r="BQ185" t="s">
        <v>753</v>
      </c>
      <c r="BR185" t="s">
        <v>252</v>
      </c>
      <c r="BS185" s="3">
        <v>45966</v>
      </c>
      <c r="BT185" s="4">
        <v>0.4201388888888889</v>
      </c>
      <c r="BU185" t="s">
        <v>754</v>
      </c>
      <c r="BV185" t="s">
        <v>86</v>
      </c>
      <c r="BY185">
        <v>8607.06</v>
      </c>
      <c r="BZ185" t="s">
        <v>126</v>
      </c>
      <c r="CA185" t="s">
        <v>755</v>
      </c>
      <c r="CC185" t="s">
        <v>76</v>
      </c>
      <c r="CD185">
        <v>7441</v>
      </c>
      <c r="CE185" t="s">
        <v>245</v>
      </c>
      <c r="CF185" s="3">
        <v>45967</v>
      </c>
      <c r="CI185">
        <v>1</v>
      </c>
      <c r="CJ185">
        <v>1</v>
      </c>
      <c r="CK185">
        <v>22</v>
      </c>
      <c r="CL185" t="s">
        <v>89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"gab2029534"</f>
        <v>gab2029534</v>
      </c>
      <c r="F186" s="3">
        <v>45965</v>
      </c>
      <c r="G186">
        <v>202608</v>
      </c>
      <c r="H186" t="s">
        <v>75</v>
      </c>
      <c r="I186" t="s">
        <v>76</v>
      </c>
      <c r="J186" t="s">
        <v>236</v>
      </c>
      <c r="K186" t="s">
        <v>78</v>
      </c>
      <c r="L186" t="s">
        <v>169</v>
      </c>
      <c r="M186" t="s">
        <v>170</v>
      </c>
      <c r="N186" t="s">
        <v>756</v>
      </c>
      <c r="O186" t="s">
        <v>124</v>
      </c>
      <c r="P186" t="str">
        <f t="shared" si="1"/>
        <v xml:space="preserve">CT   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27.94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0.3</v>
      </c>
      <c r="BJ186">
        <v>2.1</v>
      </c>
      <c r="BK186">
        <v>2.5</v>
      </c>
      <c r="BL186">
        <v>88.68</v>
      </c>
      <c r="BM186">
        <v>13.3</v>
      </c>
      <c r="BN186">
        <v>101.98</v>
      </c>
      <c r="BO186">
        <v>101.98</v>
      </c>
      <c r="BQ186" t="s">
        <v>254</v>
      </c>
      <c r="BR186" t="s">
        <v>252</v>
      </c>
      <c r="BS186" s="3">
        <v>45966</v>
      </c>
      <c r="BT186" s="4">
        <v>0.37013888888888891</v>
      </c>
      <c r="BU186" t="s">
        <v>757</v>
      </c>
      <c r="BV186" t="s">
        <v>86</v>
      </c>
      <c r="BY186">
        <v>10270.799999999999</v>
      </c>
      <c r="BZ186" t="s">
        <v>126</v>
      </c>
      <c r="CA186" t="s">
        <v>758</v>
      </c>
      <c r="CC186" t="s">
        <v>170</v>
      </c>
      <c r="CD186">
        <v>2000</v>
      </c>
      <c r="CE186" t="s">
        <v>245</v>
      </c>
      <c r="CF186" s="3">
        <v>45967</v>
      </c>
      <c r="CI186">
        <v>1</v>
      </c>
      <c r="CJ186">
        <v>1</v>
      </c>
      <c r="CK186">
        <v>21</v>
      </c>
      <c r="CL186" t="s">
        <v>89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"gab2029533"</f>
        <v>gab2029533</v>
      </c>
      <c r="F187" s="3">
        <v>45965</v>
      </c>
      <c r="G187">
        <v>202608</v>
      </c>
      <c r="H187" t="s">
        <v>75</v>
      </c>
      <c r="I187" t="s">
        <v>76</v>
      </c>
      <c r="J187" t="s">
        <v>236</v>
      </c>
      <c r="K187" t="s">
        <v>78</v>
      </c>
      <c r="L187" t="s">
        <v>759</v>
      </c>
      <c r="M187" t="s">
        <v>760</v>
      </c>
      <c r="N187" t="s">
        <v>761</v>
      </c>
      <c r="O187" t="s">
        <v>124</v>
      </c>
      <c r="P187" t="str">
        <f t="shared" si="1"/>
        <v xml:space="preserve">CT   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62.87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0.2</v>
      </c>
      <c r="BJ187">
        <v>2.7</v>
      </c>
      <c r="BK187">
        <v>3</v>
      </c>
      <c r="BL187">
        <v>199.55</v>
      </c>
      <c r="BM187">
        <v>29.93</v>
      </c>
      <c r="BN187">
        <v>229.48</v>
      </c>
      <c r="BO187">
        <v>229.48</v>
      </c>
      <c r="BQ187" t="s">
        <v>762</v>
      </c>
      <c r="BR187" t="s">
        <v>252</v>
      </c>
      <c r="BS187" s="3">
        <v>45966</v>
      </c>
      <c r="BT187" s="4">
        <v>0.40833333333333333</v>
      </c>
      <c r="BU187" t="s">
        <v>763</v>
      </c>
      <c r="BV187" t="s">
        <v>86</v>
      </c>
      <c r="BY187">
        <v>13272</v>
      </c>
      <c r="BZ187" t="s">
        <v>126</v>
      </c>
      <c r="CA187" t="s">
        <v>764</v>
      </c>
      <c r="CC187" t="s">
        <v>760</v>
      </c>
      <c r="CD187" s="5" t="s">
        <v>765</v>
      </c>
      <c r="CE187" t="s">
        <v>245</v>
      </c>
      <c r="CF187" s="3">
        <v>45967</v>
      </c>
      <c r="CI187">
        <v>2</v>
      </c>
      <c r="CJ187">
        <v>1</v>
      </c>
      <c r="CK187">
        <v>23</v>
      </c>
      <c r="CL187" t="s">
        <v>89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"gab2029532"</f>
        <v>gab2029532</v>
      </c>
      <c r="F188" s="3">
        <v>45965</v>
      </c>
      <c r="G188">
        <v>202608</v>
      </c>
      <c r="H188" t="s">
        <v>75</v>
      </c>
      <c r="I188" t="s">
        <v>76</v>
      </c>
      <c r="J188" t="s">
        <v>236</v>
      </c>
      <c r="K188" t="s">
        <v>78</v>
      </c>
      <c r="L188" t="s">
        <v>766</v>
      </c>
      <c r="M188" t="s">
        <v>767</v>
      </c>
      <c r="N188" t="s">
        <v>768</v>
      </c>
      <c r="O188" t="s">
        <v>124</v>
      </c>
      <c r="P188" t="str">
        <f t="shared" si="1"/>
        <v xml:space="preserve">CT   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43.31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0.2</v>
      </c>
      <c r="BJ188">
        <v>1.2</v>
      </c>
      <c r="BK188">
        <v>1.5</v>
      </c>
      <c r="BL188">
        <v>137.47</v>
      </c>
      <c r="BM188">
        <v>20.62</v>
      </c>
      <c r="BN188">
        <v>158.09</v>
      </c>
      <c r="BO188">
        <v>158.09</v>
      </c>
      <c r="BQ188" t="s">
        <v>769</v>
      </c>
      <c r="BR188" t="s">
        <v>252</v>
      </c>
      <c r="BS188" s="3">
        <v>45966</v>
      </c>
      <c r="BT188" s="4">
        <v>0.40555555555555556</v>
      </c>
      <c r="BU188" t="s">
        <v>770</v>
      </c>
      <c r="BV188" t="s">
        <v>86</v>
      </c>
      <c r="BY188">
        <v>5999.9</v>
      </c>
      <c r="BZ188" t="s">
        <v>126</v>
      </c>
      <c r="CA188" t="s">
        <v>771</v>
      </c>
      <c r="CC188" t="s">
        <v>767</v>
      </c>
      <c r="CD188">
        <v>2300</v>
      </c>
      <c r="CE188" t="s">
        <v>245</v>
      </c>
      <c r="CF188" s="3">
        <v>45967</v>
      </c>
      <c r="CI188">
        <v>1</v>
      </c>
      <c r="CJ188">
        <v>1</v>
      </c>
      <c r="CK188">
        <v>23</v>
      </c>
      <c r="CL188" t="s">
        <v>89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"gab2029528"</f>
        <v>gab2029528</v>
      </c>
      <c r="F189" s="3">
        <v>45965</v>
      </c>
      <c r="G189">
        <v>202608</v>
      </c>
      <c r="H189" t="s">
        <v>75</v>
      </c>
      <c r="I189" t="s">
        <v>76</v>
      </c>
      <c r="J189" t="s">
        <v>236</v>
      </c>
      <c r="K189" t="s">
        <v>78</v>
      </c>
      <c r="L189" t="s">
        <v>169</v>
      </c>
      <c r="M189" t="s">
        <v>170</v>
      </c>
      <c r="N189" t="s">
        <v>772</v>
      </c>
      <c r="O189" t="s">
        <v>124</v>
      </c>
      <c r="P189" t="str">
        <f t="shared" si="1"/>
        <v xml:space="preserve">CT   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22.36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0.2</v>
      </c>
      <c r="BJ189">
        <v>1.9</v>
      </c>
      <c r="BK189">
        <v>2</v>
      </c>
      <c r="BL189">
        <v>70.959999999999994</v>
      </c>
      <c r="BM189">
        <v>10.64</v>
      </c>
      <c r="BN189">
        <v>81.599999999999994</v>
      </c>
      <c r="BO189">
        <v>81.599999999999994</v>
      </c>
      <c r="BQ189" t="s">
        <v>773</v>
      </c>
      <c r="BR189" t="s">
        <v>252</v>
      </c>
      <c r="BS189" s="3">
        <v>45966</v>
      </c>
      <c r="BT189" s="4">
        <v>0.3263888888888889</v>
      </c>
      <c r="BU189" t="s">
        <v>774</v>
      </c>
      <c r="BV189" t="s">
        <v>86</v>
      </c>
      <c r="BY189">
        <v>9711</v>
      </c>
      <c r="BZ189" t="s">
        <v>126</v>
      </c>
      <c r="CA189" t="s">
        <v>775</v>
      </c>
      <c r="CC189" t="s">
        <v>170</v>
      </c>
      <c r="CD189">
        <v>2055</v>
      </c>
      <c r="CE189" t="s">
        <v>245</v>
      </c>
      <c r="CF189" s="3">
        <v>45967</v>
      </c>
      <c r="CI189">
        <v>1</v>
      </c>
      <c r="CJ189">
        <v>1</v>
      </c>
      <c r="CK189">
        <v>21</v>
      </c>
      <c r="CL189" t="s">
        <v>89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"gab2029524"</f>
        <v>gab2029524</v>
      </c>
      <c r="F190" s="3">
        <v>45965</v>
      </c>
      <c r="G190">
        <v>202608</v>
      </c>
      <c r="H190" t="s">
        <v>75</v>
      </c>
      <c r="I190" t="s">
        <v>76</v>
      </c>
      <c r="J190" t="s">
        <v>236</v>
      </c>
      <c r="K190" t="s">
        <v>78</v>
      </c>
      <c r="L190" t="s">
        <v>189</v>
      </c>
      <c r="M190" t="s">
        <v>190</v>
      </c>
      <c r="N190" t="s">
        <v>776</v>
      </c>
      <c r="O190" t="s">
        <v>124</v>
      </c>
      <c r="P190" t="str">
        <f t="shared" si="1"/>
        <v xml:space="preserve">CT   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53.09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0.3</v>
      </c>
      <c r="BJ190">
        <v>2.4</v>
      </c>
      <c r="BK190">
        <v>2.5</v>
      </c>
      <c r="BL190">
        <v>168.51</v>
      </c>
      <c r="BM190">
        <v>25.28</v>
      </c>
      <c r="BN190">
        <v>193.79</v>
      </c>
      <c r="BO190">
        <v>193.79</v>
      </c>
      <c r="BQ190" t="s">
        <v>777</v>
      </c>
      <c r="BR190" t="s">
        <v>252</v>
      </c>
      <c r="BS190" s="3">
        <v>45966</v>
      </c>
      <c r="BT190" s="4">
        <v>0.59027777777777779</v>
      </c>
      <c r="BU190" t="s">
        <v>778</v>
      </c>
      <c r="BV190" t="s">
        <v>86</v>
      </c>
      <c r="BY190">
        <v>11827.8</v>
      </c>
      <c r="BZ190" t="s">
        <v>126</v>
      </c>
      <c r="CC190" t="s">
        <v>190</v>
      </c>
      <c r="CD190">
        <v>6506</v>
      </c>
      <c r="CE190" t="s">
        <v>245</v>
      </c>
      <c r="CF190" s="3">
        <v>45967</v>
      </c>
      <c r="CI190">
        <v>1</v>
      </c>
      <c r="CJ190">
        <v>1</v>
      </c>
      <c r="CK190">
        <v>23</v>
      </c>
      <c r="CL190" t="s">
        <v>89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"gab2029526"</f>
        <v>gab2029526</v>
      </c>
      <c r="F191" s="3">
        <v>45965</v>
      </c>
      <c r="G191">
        <v>202608</v>
      </c>
      <c r="H191" t="s">
        <v>75</v>
      </c>
      <c r="I191" t="s">
        <v>76</v>
      </c>
      <c r="J191" t="s">
        <v>236</v>
      </c>
      <c r="K191" t="s">
        <v>78</v>
      </c>
      <c r="L191" t="s">
        <v>79</v>
      </c>
      <c r="M191" t="s">
        <v>80</v>
      </c>
      <c r="N191" t="s">
        <v>236</v>
      </c>
      <c r="O191" t="s">
        <v>124</v>
      </c>
      <c r="P191" t="str">
        <f t="shared" si="1"/>
        <v xml:space="preserve">CT   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22.36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0.1</v>
      </c>
      <c r="BJ191">
        <v>1</v>
      </c>
      <c r="BK191">
        <v>1</v>
      </c>
      <c r="BL191">
        <v>70.959999999999994</v>
      </c>
      <c r="BM191">
        <v>10.64</v>
      </c>
      <c r="BN191">
        <v>81.599999999999994</v>
      </c>
      <c r="BO191">
        <v>81.599999999999994</v>
      </c>
      <c r="BQ191" t="s">
        <v>779</v>
      </c>
      <c r="BR191" t="s">
        <v>252</v>
      </c>
      <c r="BS191" s="3">
        <v>45966</v>
      </c>
      <c r="BT191" s="4">
        <v>0.37083333333333335</v>
      </c>
      <c r="BU191" t="s">
        <v>322</v>
      </c>
      <c r="BV191" t="s">
        <v>86</v>
      </c>
      <c r="BY191">
        <v>5139.96</v>
      </c>
      <c r="BZ191" t="s">
        <v>126</v>
      </c>
      <c r="CA191">
        <v>8909235965088</v>
      </c>
      <c r="CC191" t="s">
        <v>80</v>
      </c>
      <c r="CD191" s="5" t="s">
        <v>87</v>
      </c>
      <c r="CE191" t="s">
        <v>245</v>
      </c>
      <c r="CF191" s="3">
        <v>45966</v>
      </c>
      <c r="CI191">
        <v>1</v>
      </c>
      <c r="CJ191">
        <v>1</v>
      </c>
      <c r="CK191">
        <v>21</v>
      </c>
      <c r="CL191" t="s">
        <v>89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"gab2029525"</f>
        <v>gab2029525</v>
      </c>
      <c r="F192" s="3">
        <v>45965</v>
      </c>
      <c r="G192">
        <v>202608</v>
      </c>
      <c r="H192" t="s">
        <v>75</v>
      </c>
      <c r="I192" t="s">
        <v>76</v>
      </c>
      <c r="J192" t="s">
        <v>236</v>
      </c>
      <c r="K192" t="s">
        <v>78</v>
      </c>
      <c r="L192" t="s">
        <v>195</v>
      </c>
      <c r="M192" t="s">
        <v>196</v>
      </c>
      <c r="N192" t="s">
        <v>641</v>
      </c>
      <c r="O192" t="s">
        <v>124</v>
      </c>
      <c r="P192" t="str">
        <f t="shared" si="1"/>
        <v xml:space="preserve">CT   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27.94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0.2</v>
      </c>
      <c r="BJ192">
        <v>2.2000000000000002</v>
      </c>
      <c r="BK192">
        <v>2.5</v>
      </c>
      <c r="BL192">
        <v>88.68</v>
      </c>
      <c r="BM192">
        <v>13.3</v>
      </c>
      <c r="BN192">
        <v>101.98</v>
      </c>
      <c r="BO192">
        <v>101.98</v>
      </c>
      <c r="BQ192" t="s">
        <v>780</v>
      </c>
      <c r="BR192" t="s">
        <v>252</v>
      </c>
      <c r="BS192" s="3">
        <v>45966</v>
      </c>
      <c r="BT192" s="4">
        <v>0.28125</v>
      </c>
      <c r="BU192" t="s">
        <v>781</v>
      </c>
      <c r="BV192" t="s">
        <v>86</v>
      </c>
      <c r="BY192">
        <v>10982.88</v>
      </c>
      <c r="BZ192" t="s">
        <v>126</v>
      </c>
      <c r="CA192" t="s">
        <v>782</v>
      </c>
      <c r="CC192" t="s">
        <v>196</v>
      </c>
      <c r="CD192">
        <v>1709</v>
      </c>
      <c r="CE192" t="s">
        <v>245</v>
      </c>
      <c r="CF192" s="3">
        <v>45966</v>
      </c>
      <c r="CI192">
        <v>1</v>
      </c>
      <c r="CJ192">
        <v>1</v>
      </c>
      <c r="CK192">
        <v>21</v>
      </c>
      <c r="CL192" t="s">
        <v>89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"gab2029523"</f>
        <v>gab2029523</v>
      </c>
      <c r="F193" s="3">
        <v>45965</v>
      </c>
      <c r="G193">
        <v>202608</v>
      </c>
      <c r="H193" t="s">
        <v>75</v>
      </c>
      <c r="I193" t="s">
        <v>76</v>
      </c>
      <c r="J193" t="s">
        <v>236</v>
      </c>
      <c r="K193" t="s">
        <v>78</v>
      </c>
      <c r="L193" t="s">
        <v>169</v>
      </c>
      <c r="M193" t="s">
        <v>170</v>
      </c>
      <c r="N193" t="s">
        <v>783</v>
      </c>
      <c r="O193" t="s">
        <v>124</v>
      </c>
      <c r="P193" t="str">
        <f t="shared" si="1"/>
        <v xml:space="preserve">CT    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33.520000000000003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0.4</v>
      </c>
      <c r="BJ193">
        <v>2.8</v>
      </c>
      <c r="BK193">
        <v>3</v>
      </c>
      <c r="BL193">
        <v>106.4</v>
      </c>
      <c r="BM193">
        <v>15.96</v>
      </c>
      <c r="BN193">
        <v>122.36</v>
      </c>
      <c r="BO193">
        <v>122.36</v>
      </c>
      <c r="BQ193" t="s">
        <v>254</v>
      </c>
      <c r="BR193" t="s">
        <v>252</v>
      </c>
      <c r="BS193" s="3">
        <v>45966</v>
      </c>
      <c r="BT193" s="4">
        <v>0.36458333333333331</v>
      </c>
      <c r="BU193" t="s">
        <v>784</v>
      </c>
      <c r="BV193" t="s">
        <v>86</v>
      </c>
      <c r="BY193">
        <v>14022.96</v>
      </c>
      <c r="BZ193" t="s">
        <v>126</v>
      </c>
      <c r="CA193" t="s">
        <v>738</v>
      </c>
      <c r="CC193" t="s">
        <v>170</v>
      </c>
      <c r="CD193">
        <v>2000</v>
      </c>
      <c r="CE193" t="s">
        <v>245</v>
      </c>
      <c r="CF193" s="3">
        <v>45966</v>
      </c>
      <c r="CI193">
        <v>1</v>
      </c>
      <c r="CJ193">
        <v>1</v>
      </c>
      <c r="CK193">
        <v>21</v>
      </c>
      <c r="CL193" t="s">
        <v>89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"GAB2029705"</f>
        <v>GAB2029705</v>
      </c>
      <c r="F194" s="3">
        <v>45971</v>
      </c>
      <c r="G194">
        <v>202608</v>
      </c>
      <c r="H194" t="s">
        <v>75</v>
      </c>
      <c r="I194" t="s">
        <v>76</v>
      </c>
      <c r="J194" t="s">
        <v>77</v>
      </c>
      <c r="K194" t="s">
        <v>78</v>
      </c>
      <c r="L194" t="s">
        <v>230</v>
      </c>
      <c r="M194" t="s">
        <v>231</v>
      </c>
      <c r="N194" t="s">
        <v>785</v>
      </c>
      <c r="O194" t="s">
        <v>82</v>
      </c>
      <c r="P194" t="str">
        <f>"INVOICE00122569 CT098147      "</f>
        <v xml:space="preserve">INVOICE00122569 CT098147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5.87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41.35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2.2000000000000002</v>
      </c>
      <c r="BJ194">
        <v>6.4</v>
      </c>
      <c r="BK194">
        <v>7</v>
      </c>
      <c r="BL194">
        <v>141.19999999999999</v>
      </c>
      <c r="BM194">
        <v>21.18</v>
      </c>
      <c r="BN194">
        <v>162.38</v>
      </c>
      <c r="BO194">
        <v>162.38</v>
      </c>
      <c r="BQ194" t="s">
        <v>786</v>
      </c>
      <c r="BR194" t="s">
        <v>84</v>
      </c>
      <c r="BS194" s="3">
        <v>45974</v>
      </c>
      <c r="BT194" s="4">
        <v>0.44374999999999998</v>
      </c>
      <c r="BU194" t="s">
        <v>787</v>
      </c>
      <c r="BV194" t="s">
        <v>86</v>
      </c>
      <c r="BY194">
        <v>31815.3</v>
      </c>
      <c r="CA194">
        <v>9102195591081</v>
      </c>
      <c r="CC194" t="s">
        <v>231</v>
      </c>
      <c r="CD194" s="5" t="s">
        <v>382</v>
      </c>
      <c r="CE194" t="s">
        <v>298</v>
      </c>
      <c r="CF194" s="3">
        <v>45974</v>
      </c>
      <c r="CI194">
        <v>3</v>
      </c>
      <c r="CJ194">
        <v>3</v>
      </c>
      <c r="CK194">
        <v>41</v>
      </c>
      <c r="CL194" t="s">
        <v>89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"GAB2029715"</f>
        <v>GAB2029715</v>
      </c>
      <c r="F195" s="3">
        <v>45971</v>
      </c>
      <c r="G195">
        <v>202608</v>
      </c>
      <c r="H195" t="s">
        <v>75</v>
      </c>
      <c r="I195" t="s">
        <v>76</v>
      </c>
      <c r="J195" t="s">
        <v>77</v>
      </c>
      <c r="K195" t="s">
        <v>78</v>
      </c>
      <c r="L195" t="s">
        <v>109</v>
      </c>
      <c r="M195" t="s">
        <v>110</v>
      </c>
      <c r="N195" t="s">
        <v>111</v>
      </c>
      <c r="O195" t="s">
        <v>82</v>
      </c>
      <c r="P195" t="str">
        <f>"INVOICE00122582 CT098179      "</f>
        <v xml:space="preserve">INVOICE00122582 CT098179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5.87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41.35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4.4000000000000004</v>
      </c>
      <c r="BJ195">
        <v>12.9</v>
      </c>
      <c r="BK195">
        <v>13</v>
      </c>
      <c r="BL195">
        <v>141.19999999999999</v>
      </c>
      <c r="BM195">
        <v>21.18</v>
      </c>
      <c r="BN195">
        <v>162.38</v>
      </c>
      <c r="BO195">
        <v>162.38</v>
      </c>
      <c r="BR195" t="s">
        <v>84</v>
      </c>
      <c r="BS195" s="3">
        <v>45973</v>
      </c>
      <c r="BT195" s="4">
        <v>0.59027777777777779</v>
      </c>
      <c r="BU195" t="s">
        <v>788</v>
      </c>
      <c r="BV195" t="s">
        <v>86</v>
      </c>
      <c r="BY195">
        <v>64296</v>
      </c>
      <c r="CA195" t="s">
        <v>515</v>
      </c>
      <c r="CC195" t="s">
        <v>110</v>
      </c>
      <c r="CD195">
        <v>4133</v>
      </c>
      <c r="CE195" t="s">
        <v>789</v>
      </c>
      <c r="CF195" s="3">
        <v>45973</v>
      </c>
      <c r="CI195">
        <v>3</v>
      </c>
      <c r="CJ195">
        <v>2</v>
      </c>
      <c r="CK195">
        <v>41</v>
      </c>
      <c r="CL195" t="s">
        <v>89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"GAB2029716"</f>
        <v>GAB2029716</v>
      </c>
      <c r="F196" s="3">
        <v>45971</v>
      </c>
      <c r="G196">
        <v>202608</v>
      </c>
      <c r="H196" t="s">
        <v>75</v>
      </c>
      <c r="I196" t="s">
        <v>76</v>
      </c>
      <c r="J196" t="s">
        <v>77</v>
      </c>
      <c r="K196" t="s">
        <v>78</v>
      </c>
      <c r="L196" t="s">
        <v>90</v>
      </c>
      <c r="M196" t="s">
        <v>91</v>
      </c>
      <c r="N196" t="s">
        <v>104</v>
      </c>
      <c r="O196" t="s">
        <v>82</v>
      </c>
      <c r="P196" t="str">
        <f>"INVOICE00122583 CT098180      "</f>
        <v xml:space="preserve">INVOICE00122583 CT098180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5.87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63.54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2</v>
      </c>
      <c r="BI196">
        <v>8.3000000000000007</v>
      </c>
      <c r="BJ196">
        <v>27.2</v>
      </c>
      <c r="BK196">
        <v>28</v>
      </c>
      <c r="BL196">
        <v>213.83</v>
      </c>
      <c r="BM196">
        <v>32.07</v>
      </c>
      <c r="BN196">
        <v>245.9</v>
      </c>
      <c r="BO196">
        <v>245.9</v>
      </c>
      <c r="BQ196" t="s">
        <v>118</v>
      </c>
      <c r="BR196" t="s">
        <v>84</v>
      </c>
      <c r="BS196" s="3">
        <v>45973</v>
      </c>
      <c r="BT196" s="4">
        <v>0.40763888888888888</v>
      </c>
      <c r="BU196" t="s">
        <v>790</v>
      </c>
      <c r="BV196" t="s">
        <v>86</v>
      </c>
      <c r="BY196">
        <v>136071.99</v>
      </c>
      <c r="CA196" t="s">
        <v>791</v>
      </c>
      <c r="CC196" t="s">
        <v>91</v>
      </c>
      <c r="CD196">
        <v>4001</v>
      </c>
      <c r="CE196" t="s">
        <v>789</v>
      </c>
      <c r="CF196" s="3">
        <v>45973</v>
      </c>
      <c r="CI196">
        <v>3</v>
      </c>
      <c r="CJ196">
        <v>2</v>
      </c>
      <c r="CK196">
        <v>41</v>
      </c>
      <c r="CL196" t="s">
        <v>89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"GAB2029726"</f>
        <v>GAB2029726</v>
      </c>
      <c r="F197" s="3">
        <v>45971</v>
      </c>
      <c r="G197">
        <v>202608</v>
      </c>
      <c r="H197" t="s">
        <v>75</v>
      </c>
      <c r="I197" t="s">
        <v>76</v>
      </c>
      <c r="J197" t="s">
        <v>77</v>
      </c>
      <c r="K197" t="s">
        <v>78</v>
      </c>
      <c r="L197" t="s">
        <v>509</v>
      </c>
      <c r="M197" t="s">
        <v>510</v>
      </c>
      <c r="N197" t="s">
        <v>792</v>
      </c>
      <c r="O197" t="s">
        <v>82</v>
      </c>
      <c r="P197" t="str">
        <f>"INVOICE00122592 CT098121      "</f>
        <v xml:space="preserve">INVOICE00122592 CT098121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5.87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41.35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1.1000000000000001</v>
      </c>
      <c r="BJ197">
        <v>2</v>
      </c>
      <c r="BK197">
        <v>2</v>
      </c>
      <c r="BL197">
        <v>141.19999999999999</v>
      </c>
      <c r="BM197">
        <v>21.18</v>
      </c>
      <c r="BN197">
        <v>162.38</v>
      </c>
      <c r="BO197">
        <v>162.38</v>
      </c>
      <c r="BQ197" t="s">
        <v>793</v>
      </c>
      <c r="BR197" t="s">
        <v>84</v>
      </c>
      <c r="BS197" s="3">
        <v>45974</v>
      </c>
      <c r="BT197" s="4">
        <v>0.57361111111111107</v>
      </c>
      <c r="BU197" t="s">
        <v>794</v>
      </c>
      <c r="BV197" t="s">
        <v>86</v>
      </c>
      <c r="BY197">
        <v>9848.58</v>
      </c>
      <c r="CA197" t="s">
        <v>451</v>
      </c>
      <c r="CC197" t="s">
        <v>510</v>
      </c>
      <c r="CD197">
        <v>1685</v>
      </c>
      <c r="CE197" t="s">
        <v>298</v>
      </c>
      <c r="CF197" s="3">
        <v>45975</v>
      </c>
      <c r="CI197">
        <v>2</v>
      </c>
      <c r="CJ197">
        <v>3</v>
      </c>
      <c r="CK197">
        <v>41</v>
      </c>
      <c r="CL197" t="s">
        <v>89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"GAB2029699"</f>
        <v>GAB2029699</v>
      </c>
      <c r="F198" s="3">
        <v>45971</v>
      </c>
      <c r="G198">
        <v>202608</v>
      </c>
      <c r="H198" t="s">
        <v>75</v>
      </c>
      <c r="I198" t="s">
        <v>76</v>
      </c>
      <c r="J198" t="s">
        <v>77</v>
      </c>
      <c r="K198" t="s">
        <v>78</v>
      </c>
      <c r="L198" t="s">
        <v>292</v>
      </c>
      <c r="M198" t="s">
        <v>293</v>
      </c>
      <c r="N198" t="s">
        <v>404</v>
      </c>
      <c r="O198" t="s">
        <v>124</v>
      </c>
      <c r="P198" t="str">
        <f>"INVOICE00041288 ORDGS037968   "</f>
        <v xml:space="preserve">INVOICE00041288 ORDGS037968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21.38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0.2</v>
      </c>
      <c r="BJ198">
        <v>1.7</v>
      </c>
      <c r="BK198">
        <v>2</v>
      </c>
      <c r="BL198">
        <v>69.98</v>
      </c>
      <c r="BM198">
        <v>10.5</v>
      </c>
      <c r="BN198">
        <v>80.48</v>
      </c>
      <c r="BO198">
        <v>80.48</v>
      </c>
      <c r="BR198" t="s">
        <v>84</v>
      </c>
      <c r="BS198" s="3">
        <v>45972</v>
      </c>
      <c r="BT198" s="4">
        <v>0.57847222222222228</v>
      </c>
      <c r="BU198" t="s">
        <v>795</v>
      </c>
      <c r="BV198" t="s">
        <v>89</v>
      </c>
      <c r="BW198" t="s">
        <v>562</v>
      </c>
      <c r="BX198" t="s">
        <v>796</v>
      </c>
      <c r="BY198">
        <v>8514</v>
      </c>
      <c r="BZ198" t="s">
        <v>126</v>
      </c>
      <c r="CC198" t="s">
        <v>293</v>
      </c>
      <c r="CD198">
        <v>1449</v>
      </c>
      <c r="CE198" t="s">
        <v>367</v>
      </c>
      <c r="CF198" s="3">
        <v>45972</v>
      </c>
      <c r="CI198">
        <v>1</v>
      </c>
      <c r="CJ198">
        <v>1</v>
      </c>
      <c r="CK198">
        <v>21</v>
      </c>
      <c r="CL198" t="s">
        <v>89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"GAB2029700"</f>
        <v>GAB2029700</v>
      </c>
      <c r="F199" s="3">
        <v>45971</v>
      </c>
      <c r="G199">
        <v>202608</v>
      </c>
      <c r="H199" t="s">
        <v>75</v>
      </c>
      <c r="I199" t="s">
        <v>76</v>
      </c>
      <c r="J199" t="s">
        <v>77</v>
      </c>
      <c r="K199" t="s">
        <v>78</v>
      </c>
      <c r="L199" t="s">
        <v>230</v>
      </c>
      <c r="M199" t="s">
        <v>231</v>
      </c>
      <c r="N199" t="s">
        <v>335</v>
      </c>
      <c r="O199" t="s">
        <v>124</v>
      </c>
      <c r="P199" t="str">
        <f>"INVOICE00041287 ORDGS037955   "</f>
        <v xml:space="preserve">INVOICE00041287 ORDGS037955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21.38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0.3</v>
      </c>
      <c r="BJ199">
        <v>1.8</v>
      </c>
      <c r="BK199">
        <v>2</v>
      </c>
      <c r="BL199">
        <v>69.98</v>
      </c>
      <c r="BM199">
        <v>10.5</v>
      </c>
      <c r="BN199">
        <v>80.48</v>
      </c>
      <c r="BO199">
        <v>80.48</v>
      </c>
      <c r="BQ199" t="s">
        <v>797</v>
      </c>
      <c r="BR199" t="s">
        <v>84</v>
      </c>
      <c r="BS199" s="3">
        <v>45973</v>
      </c>
      <c r="BT199" s="4">
        <v>0.30694444444444446</v>
      </c>
      <c r="BU199" t="s">
        <v>798</v>
      </c>
      <c r="BV199" t="s">
        <v>89</v>
      </c>
      <c r="BW199" t="s">
        <v>562</v>
      </c>
      <c r="BX199" t="s">
        <v>799</v>
      </c>
      <c r="BY199">
        <v>9032.1</v>
      </c>
      <c r="BZ199" t="s">
        <v>126</v>
      </c>
      <c r="CA199">
        <v>9107126013089</v>
      </c>
      <c r="CC199" t="s">
        <v>231</v>
      </c>
      <c r="CD199" s="5" t="s">
        <v>337</v>
      </c>
      <c r="CE199" t="s">
        <v>800</v>
      </c>
      <c r="CF199" s="3">
        <v>45973</v>
      </c>
      <c r="CI199">
        <v>1</v>
      </c>
      <c r="CJ199">
        <v>2</v>
      </c>
      <c r="CK199">
        <v>21</v>
      </c>
      <c r="CL199" t="s">
        <v>89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"GAB2029701"</f>
        <v>GAB2029701</v>
      </c>
      <c r="F200" s="3">
        <v>45971</v>
      </c>
      <c r="G200">
        <v>202608</v>
      </c>
      <c r="H200" t="s">
        <v>75</v>
      </c>
      <c r="I200" t="s">
        <v>76</v>
      </c>
      <c r="J200" t="s">
        <v>77</v>
      </c>
      <c r="K200" t="s">
        <v>78</v>
      </c>
      <c r="L200" t="s">
        <v>212</v>
      </c>
      <c r="M200" t="s">
        <v>213</v>
      </c>
      <c r="N200" t="s">
        <v>410</v>
      </c>
      <c r="O200" t="s">
        <v>124</v>
      </c>
      <c r="P200" t="str">
        <f>"INVOICE00041296 ORDGS037972   "</f>
        <v xml:space="preserve">INVOICE00041296 ORDGS037972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26.73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0.4</v>
      </c>
      <c r="BJ200">
        <v>2.2999999999999998</v>
      </c>
      <c r="BK200">
        <v>2.5</v>
      </c>
      <c r="BL200">
        <v>87.47</v>
      </c>
      <c r="BM200">
        <v>13.12</v>
      </c>
      <c r="BN200">
        <v>100.59</v>
      </c>
      <c r="BO200">
        <v>100.59</v>
      </c>
      <c r="BQ200" t="s">
        <v>411</v>
      </c>
      <c r="BR200" t="s">
        <v>84</v>
      </c>
      <c r="BS200" s="3">
        <v>45972</v>
      </c>
      <c r="BT200" s="4">
        <v>0.52500000000000002</v>
      </c>
      <c r="BU200" t="s">
        <v>801</v>
      </c>
      <c r="BV200" t="s">
        <v>89</v>
      </c>
      <c r="BW200" t="s">
        <v>216</v>
      </c>
      <c r="BX200" t="s">
        <v>217</v>
      </c>
      <c r="BY200">
        <v>11391.35</v>
      </c>
      <c r="BZ200" t="s">
        <v>126</v>
      </c>
      <c r="CA200" t="s">
        <v>414</v>
      </c>
      <c r="CC200" t="s">
        <v>213</v>
      </c>
      <c r="CD200">
        <v>5201</v>
      </c>
      <c r="CE200" t="s">
        <v>149</v>
      </c>
      <c r="CF200" s="3">
        <v>45973</v>
      </c>
      <c r="CI200">
        <v>1</v>
      </c>
      <c r="CJ200">
        <v>1</v>
      </c>
      <c r="CK200">
        <v>21</v>
      </c>
      <c r="CL200" t="s">
        <v>89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"GAB2029702"</f>
        <v>GAB2029702</v>
      </c>
      <c r="F201" s="3">
        <v>45971</v>
      </c>
      <c r="G201">
        <v>202608</v>
      </c>
      <c r="H201" t="s">
        <v>75</v>
      </c>
      <c r="I201" t="s">
        <v>76</v>
      </c>
      <c r="J201" t="s">
        <v>77</v>
      </c>
      <c r="K201" t="s">
        <v>78</v>
      </c>
      <c r="L201" t="s">
        <v>143</v>
      </c>
      <c r="M201" t="s">
        <v>144</v>
      </c>
      <c r="N201" t="s">
        <v>556</v>
      </c>
      <c r="O201" t="s">
        <v>124</v>
      </c>
      <c r="P201" t="str">
        <f>"INVOICE 00122572 CT098171     "</f>
        <v xml:space="preserve">INVOICE 00122572 CT098171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16.7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0.2</v>
      </c>
      <c r="BJ201">
        <v>2</v>
      </c>
      <c r="BK201">
        <v>2</v>
      </c>
      <c r="BL201">
        <v>54.66</v>
      </c>
      <c r="BM201">
        <v>8.1999999999999993</v>
      </c>
      <c r="BN201">
        <v>62.86</v>
      </c>
      <c r="BO201">
        <v>62.86</v>
      </c>
      <c r="BQ201" t="s">
        <v>802</v>
      </c>
      <c r="BR201" t="s">
        <v>84</v>
      </c>
      <c r="BS201" s="3">
        <v>45972</v>
      </c>
      <c r="BT201" s="4">
        <v>0.41666666666666669</v>
      </c>
      <c r="BU201" t="s">
        <v>558</v>
      </c>
      <c r="BV201" t="s">
        <v>86</v>
      </c>
      <c r="BY201">
        <v>10241.64</v>
      </c>
      <c r="BZ201" t="s">
        <v>126</v>
      </c>
      <c r="CC201" t="s">
        <v>144</v>
      </c>
      <c r="CD201">
        <v>7600</v>
      </c>
      <c r="CE201" t="s">
        <v>168</v>
      </c>
      <c r="CF201" s="3">
        <v>45973</v>
      </c>
      <c r="CI201">
        <v>1</v>
      </c>
      <c r="CJ201">
        <v>1</v>
      </c>
      <c r="CK201">
        <v>22</v>
      </c>
      <c r="CL201" t="s">
        <v>89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"GAB2029704"</f>
        <v>GAB2029704</v>
      </c>
      <c r="F202" s="3">
        <v>45971</v>
      </c>
      <c r="G202">
        <v>202608</v>
      </c>
      <c r="H202" t="s">
        <v>75</v>
      </c>
      <c r="I202" t="s">
        <v>76</v>
      </c>
      <c r="J202" t="s">
        <v>77</v>
      </c>
      <c r="K202" t="s">
        <v>78</v>
      </c>
      <c r="L202" t="s">
        <v>169</v>
      </c>
      <c r="M202" t="s">
        <v>170</v>
      </c>
      <c r="N202" t="s">
        <v>687</v>
      </c>
      <c r="O202" t="s">
        <v>124</v>
      </c>
      <c r="P202" t="str">
        <f>"INVOICE00122570 CT098172      "</f>
        <v xml:space="preserve">INVOICE00122570 CT098172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26.73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0.4</v>
      </c>
      <c r="BJ202">
        <v>2.1</v>
      </c>
      <c r="BK202">
        <v>2.5</v>
      </c>
      <c r="BL202">
        <v>87.47</v>
      </c>
      <c r="BM202">
        <v>13.12</v>
      </c>
      <c r="BN202">
        <v>100.59</v>
      </c>
      <c r="BO202">
        <v>100.59</v>
      </c>
      <c r="BQ202" t="s">
        <v>688</v>
      </c>
      <c r="BR202" t="s">
        <v>84</v>
      </c>
      <c r="BS202" s="3">
        <v>45972</v>
      </c>
      <c r="BT202" s="4">
        <v>0.5625</v>
      </c>
      <c r="BU202" t="s">
        <v>803</v>
      </c>
      <c r="BV202" t="s">
        <v>89</v>
      </c>
      <c r="BY202">
        <v>10535.56</v>
      </c>
      <c r="BZ202" t="s">
        <v>126</v>
      </c>
      <c r="CC202" t="s">
        <v>170</v>
      </c>
      <c r="CD202">
        <v>2021</v>
      </c>
      <c r="CE202" t="s">
        <v>181</v>
      </c>
      <c r="CF202" s="3">
        <v>45974</v>
      </c>
      <c r="CI202">
        <v>1</v>
      </c>
      <c r="CJ202">
        <v>1</v>
      </c>
      <c r="CK202">
        <v>21</v>
      </c>
      <c r="CL202" t="s">
        <v>89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"GAB2029706"</f>
        <v>GAB2029706</v>
      </c>
      <c r="F203" s="3">
        <v>45971</v>
      </c>
      <c r="G203">
        <v>202608</v>
      </c>
      <c r="H203" t="s">
        <v>75</v>
      </c>
      <c r="I203" t="s">
        <v>76</v>
      </c>
      <c r="J203" t="s">
        <v>77</v>
      </c>
      <c r="K203" t="s">
        <v>78</v>
      </c>
      <c r="L203" t="s">
        <v>75</v>
      </c>
      <c r="M203" t="s">
        <v>76</v>
      </c>
      <c r="N203" t="s">
        <v>804</v>
      </c>
      <c r="O203" t="s">
        <v>124</v>
      </c>
      <c r="P203" t="str">
        <f>"INVOICE00122573 CT098176      "</f>
        <v xml:space="preserve">INVOICE00122573 CT098176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16.7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0.4</v>
      </c>
      <c r="BJ203">
        <v>2.4</v>
      </c>
      <c r="BK203">
        <v>3</v>
      </c>
      <c r="BL203">
        <v>54.66</v>
      </c>
      <c r="BM203">
        <v>8.1999999999999993</v>
      </c>
      <c r="BN203">
        <v>62.86</v>
      </c>
      <c r="BO203">
        <v>62.86</v>
      </c>
      <c r="BQ203" t="s">
        <v>753</v>
      </c>
      <c r="BR203" t="s">
        <v>84</v>
      </c>
      <c r="BS203" s="3">
        <v>45972</v>
      </c>
      <c r="BT203" s="4">
        <v>0.43819444444444444</v>
      </c>
      <c r="BU203" t="s">
        <v>805</v>
      </c>
      <c r="BV203" t="s">
        <v>89</v>
      </c>
      <c r="BW203" t="s">
        <v>413</v>
      </c>
      <c r="BX203" t="s">
        <v>806</v>
      </c>
      <c r="BY203">
        <v>11812.5</v>
      </c>
      <c r="BZ203" t="s">
        <v>126</v>
      </c>
      <c r="CC203" t="s">
        <v>76</v>
      </c>
      <c r="CD203">
        <v>7441</v>
      </c>
      <c r="CE203" t="s">
        <v>807</v>
      </c>
      <c r="CF203" s="3">
        <v>45973</v>
      </c>
      <c r="CI203">
        <v>1</v>
      </c>
      <c r="CJ203">
        <v>1</v>
      </c>
      <c r="CK203">
        <v>22</v>
      </c>
      <c r="CL203" t="s">
        <v>89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"GAB2029707"</f>
        <v>GAB2029707</v>
      </c>
      <c r="F204" s="3">
        <v>45971</v>
      </c>
      <c r="G204">
        <v>202608</v>
      </c>
      <c r="H204" t="s">
        <v>75</v>
      </c>
      <c r="I204" t="s">
        <v>76</v>
      </c>
      <c r="J204" t="s">
        <v>77</v>
      </c>
      <c r="K204" t="s">
        <v>78</v>
      </c>
      <c r="L204" t="s">
        <v>435</v>
      </c>
      <c r="M204" t="s">
        <v>435</v>
      </c>
      <c r="N204" t="s">
        <v>577</v>
      </c>
      <c r="O204" t="s">
        <v>124</v>
      </c>
      <c r="P204" t="str">
        <f>"INVOICE00122577 CT098175      "</f>
        <v xml:space="preserve">INVOICE00122577 CT098175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37.4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0.5</v>
      </c>
      <c r="BJ204">
        <v>2.5</v>
      </c>
      <c r="BK204">
        <v>2.5</v>
      </c>
      <c r="BL204">
        <v>122.39</v>
      </c>
      <c r="BM204">
        <v>18.36</v>
      </c>
      <c r="BN204">
        <v>140.75</v>
      </c>
      <c r="BO204">
        <v>140.75</v>
      </c>
      <c r="BQ204" t="s">
        <v>578</v>
      </c>
      <c r="BR204" t="s">
        <v>84</v>
      </c>
      <c r="BS204" s="3">
        <v>45972</v>
      </c>
      <c r="BT204" s="4">
        <v>0.66666666666666663</v>
      </c>
      <c r="BU204" t="s">
        <v>808</v>
      </c>
      <c r="BV204" t="s">
        <v>89</v>
      </c>
      <c r="BW204" t="s">
        <v>413</v>
      </c>
      <c r="BX204" t="s">
        <v>809</v>
      </c>
      <c r="BY204">
        <v>12259.17</v>
      </c>
      <c r="BZ204" t="s">
        <v>126</v>
      </c>
      <c r="CA204" t="s">
        <v>328</v>
      </c>
      <c r="CC204" t="s">
        <v>435</v>
      </c>
      <c r="CD204">
        <v>7646</v>
      </c>
      <c r="CE204" t="s">
        <v>807</v>
      </c>
      <c r="CF204" s="3">
        <v>45973</v>
      </c>
      <c r="CI204">
        <v>1</v>
      </c>
      <c r="CJ204">
        <v>1</v>
      </c>
      <c r="CK204">
        <v>24</v>
      </c>
      <c r="CL204" t="s">
        <v>89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"GAB2029708"</f>
        <v>GAB2029708</v>
      </c>
      <c r="F205" s="3">
        <v>45971</v>
      </c>
      <c r="G205">
        <v>202608</v>
      </c>
      <c r="H205" t="s">
        <v>75</v>
      </c>
      <c r="I205" t="s">
        <v>76</v>
      </c>
      <c r="J205" t="s">
        <v>77</v>
      </c>
      <c r="K205" t="s">
        <v>78</v>
      </c>
      <c r="L205" t="s">
        <v>212</v>
      </c>
      <c r="M205" t="s">
        <v>213</v>
      </c>
      <c r="N205" t="s">
        <v>810</v>
      </c>
      <c r="O205" t="s">
        <v>124</v>
      </c>
      <c r="P205" t="str">
        <f>"INVOICE00122576 CT098169      "</f>
        <v xml:space="preserve">INVOICE00122576 CT098169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26.73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0.2</v>
      </c>
      <c r="BJ205">
        <v>2.2000000000000002</v>
      </c>
      <c r="BK205">
        <v>2.5</v>
      </c>
      <c r="BL205">
        <v>87.47</v>
      </c>
      <c r="BM205">
        <v>13.12</v>
      </c>
      <c r="BN205">
        <v>100.59</v>
      </c>
      <c r="BO205">
        <v>100.59</v>
      </c>
      <c r="BQ205" t="s">
        <v>811</v>
      </c>
      <c r="BR205" t="s">
        <v>84</v>
      </c>
      <c r="BS205" s="3">
        <v>45972</v>
      </c>
      <c r="BT205" s="4">
        <v>0.48888888888888887</v>
      </c>
      <c r="BU205" t="s">
        <v>812</v>
      </c>
      <c r="BV205" t="s">
        <v>89</v>
      </c>
      <c r="BW205" t="s">
        <v>216</v>
      </c>
      <c r="BX205" t="s">
        <v>217</v>
      </c>
      <c r="BY205">
        <v>10913.5</v>
      </c>
      <c r="BZ205" t="s">
        <v>126</v>
      </c>
      <c r="CA205" t="s">
        <v>813</v>
      </c>
      <c r="CC205" t="s">
        <v>213</v>
      </c>
      <c r="CD205">
        <v>5241</v>
      </c>
      <c r="CE205" t="s">
        <v>814</v>
      </c>
      <c r="CF205" s="3">
        <v>45973</v>
      </c>
      <c r="CI205">
        <v>1</v>
      </c>
      <c r="CJ205">
        <v>1</v>
      </c>
      <c r="CK205">
        <v>21</v>
      </c>
      <c r="CL205" t="s">
        <v>89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"GAB2029711"</f>
        <v>GAB2029711</v>
      </c>
      <c r="F206" s="3">
        <v>45971</v>
      </c>
      <c r="G206">
        <v>202608</v>
      </c>
      <c r="H206" t="s">
        <v>75</v>
      </c>
      <c r="I206" t="s">
        <v>76</v>
      </c>
      <c r="J206" t="s">
        <v>77</v>
      </c>
      <c r="K206" t="s">
        <v>78</v>
      </c>
      <c r="L206" t="s">
        <v>230</v>
      </c>
      <c r="M206" t="s">
        <v>231</v>
      </c>
      <c r="N206" t="s">
        <v>473</v>
      </c>
      <c r="O206" t="s">
        <v>124</v>
      </c>
      <c r="P206" t="str">
        <f>"invoice00122579 ct098177      "</f>
        <v xml:space="preserve">invoice00122579 ct098177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32.07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0.8</v>
      </c>
      <c r="BJ206">
        <v>2.6</v>
      </c>
      <c r="BK206">
        <v>3</v>
      </c>
      <c r="BL206">
        <v>104.95</v>
      </c>
      <c r="BM206">
        <v>15.74</v>
      </c>
      <c r="BN206">
        <v>120.69</v>
      </c>
      <c r="BO206">
        <v>120.69</v>
      </c>
      <c r="BQ206" t="s">
        <v>815</v>
      </c>
      <c r="BR206" t="s">
        <v>84</v>
      </c>
      <c r="BS206" s="3">
        <v>45973</v>
      </c>
      <c r="BT206" s="4">
        <v>0.43333333333333335</v>
      </c>
      <c r="BU206" t="s">
        <v>475</v>
      </c>
      <c r="BV206" t="s">
        <v>89</v>
      </c>
      <c r="BW206" t="s">
        <v>562</v>
      </c>
      <c r="BX206" t="s">
        <v>799</v>
      </c>
      <c r="BY206">
        <v>12834</v>
      </c>
      <c r="BZ206" t="s">
        <v>126</v>
      </c>
      <c r="CA206">
        <v>9208135296085</v>
      </c>
      <c r="CC206" t="s">
        <v>231</v>
      </c>
      <c r="CD206" s="5" t="s">
        <v>382</v>
      </c>
      <c r="CE206" t="s">
        <v>816</v>
      </c>
      <c r="CF206" s="3">
        <v>45973</v>
      </c>
      <c r="CI206">
        <v>1</v>
      </c>
      <c r="CJ206">
        <v>2</v>
      </c>
      <c r="CK206">
        <v>21</v>
      </c>
      <c r="CL206" t="s">
        <v>89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"GAB2029717"</f>
        <v>GAB2029717</v>
      </c>
      <c r="F207" s="3">
        <v>45971</v>
      </c>
      <c r="G207">
        <v>202608</v>
      </c>
      <c r="H207" t="s">
        <v>75</v>
      </c>
      <c r="I207" t="s">
        <v>76</v>
      </c>
      <c r="J207" t="s">
        <v>77</v>
      </c>
      <c r="K207" t="s">
        <v>78</v>
      </c>
      <c r="L207" t="s">
        <v>817</v>
      </c>
      <c r="M207" t="s">
        <v>818</v>
      </c>
      <c r="N207" t="s">
        <v>819</v>
      </c>
      <c r="O207" t="s">
        <v>124</v>
      </c>
      <c r="P207" t="str">
        <f>"INVOICE00122588 CT098173      "</f>
        <v xml:space="preserve">INVOICE00122588 CT098173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41.43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0.1</v>
      </c>
      <c r="BJ207">
        <v>2</v>
      </c>
      <c r="BK207">
        <v>2</v>
      </c>
      <c r="BL207">
        <v>135.59</v>
      </c>
      <c r="BM207">
        <v>20.34</v>
      </c>
      <c r="BN207">
        <v>155.93</v>
      </c>
      <c r="BO207">
        <v>155.93</v>
      </c>
      <c r="BQ207" t="s">
        <v>820</v>
      </c>
      <c r="BR207" t="s">
        <v>84</v>
      </c>
      <c r="BS207" s="3">
        <v>45973</v>
      </c>
      <c r="BT207" s="4">
        <v>0.57430555555555551</v>
      </c>
      <c r="BU207" t="s">
        <v>821</v>
      </c>
      <c r="BV207" t="s">
        <v>89</v>
      </c>
      <c r="BY207">
        <v>9985.7999999999993</v>
      </c>
      <c r="BZ207" t="s">
        <v>126</v>
      </c>
      <c r="CA207" t="s">
        <v>822</v>
      </c>
      <c r="CC207" t="s">
        <v>818</v>
      </c>
      <c r="CD207">
        <v>2430</v>
      </c>
      <c r="CE207" t="s">
        <v>367</v>
      </c>
      <c r="CF207" s="3">
        <v>45973</v>
      </c>
      <c r="CI207">
        <v>1</v>
      </c>
      <c r="CJ207">
        <v>2</v>
      </c>
      <c r="CK207">
        <v>23</v>
      </c>
      <c r="CL207" t="s">
        <v>89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"GAB2029718"</f>
        <v>GAB2029718</v>
      </c>
      <c r="F208" s="3">
        <v>45971</v>
      </c>
      <c r="G208">
        <v>202608</v>
      </c>
      <c r="H208" t="s">
        <v>75</v>
      </c>
      <c r="I208" t="s">
        <v>76</v>
      </c>
      <c r="J208" t="s">
        <v>77</v>
      </c>
      <c r="K208" t="s">
        <v>78</v>
      </c>
      <c r="L208" t="s">
        <v>169</v>
      </c>
      <c r="M208" t="s">
        <v>170</v>
      </c>
      <c r="N208" t="s">
        <v>823</v>
      </c>
      <c r="O208" t="s">
        <v>124</v>
      </c>
      <c r="P208" t="str">
        <f>"INVOICE00122589 CT098183      "</f>
        <v xml:space="preserve">INVOICE00122589 CT098183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26.73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16.739999999999998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0.3</v>
      </c>
      <c r="BJ208">
        <v>2.4</v>
      </c>
      <c r="BK208">
        <v>2.5</v>
      </c>
      <c r="BL208">
        <v>104.21</v>
      </c>
      <c r="BM208">
        <v>15.63</v>
      </c>
      <c r="BN208">
        <v>119.84</v>
      </c>
      <c r="BO208">
        <v>119.84</v>
      </c>
      <c r="BQ208" t="s">
        <v>824</v>
      </c>
      <c r="BR208" t="s">
        <v>84</v>
      </c>
      <c r="BS208" s="3">
        <v>45973</v>
      </c>
      <c r="BT208" s="4">
        <v>0.4597222222222222</v>
      </c>
      <c r="BU208" t="s">
        <v>825</v>
      </c>
      <c r="BV208" t="s">
        <v>89</v>
      </c>
      <c r="BY208">
        <v>11763.88</v>
      </c>
      <c r="BZ208" t="s">
        <v>180</v>
      </c>
      <c r="CA208">
        <v>8309225483087</v>
      </c>
      <c r="CC208" t="s">
        <v>170</v>
      </c>
      <c r="CD208">
        <v>1803</v>
      </c>
      <c r="CE208" t="s">
        <v>814</v>
      </c>
      <c r="CF208" s="3">
        <v>45974</v>
      </c>
      <c r="CI208">
        <v>0</v>
      </c>
      <c r="CJ208">
        <v>0</v>
      </c>
      <c r="CK208">
        <v>21</v>
      </c>
      <c r="CL208" t="s">
        <v>89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"GAB2029719"</f>
        <v>GAB2029719</v>
      </c>
      <c r="F209" s="3">
        <v>45971</v>
      </c>
      <c r="G209">
        <v>202608</v>
      </c>
      <c r="H209" t="s">
        <v>75</v>
      </c>
      <c r="I209" t="s">
        <v>76</v>
      </c>
      <c r="J209" t="s">
        <v>77</v>
      </c>
      <c r="K209" t="s">
        <v>78</v>
      </c>
      <c r="L209" t="s">
        <v>435</v>
      </c>
      <c r="M209" t="s">
        <v>435</v>
      </c>
      <c r="N209" t="s">
        <v>826</v>
      </c>
      <c r="O209" t="s">
        <v>124</v>
      </c>
      <c r="P209" t="str">
        <f>"INVOICE00122587 CT098174      "</f>
        <v xml:space="preserve">INVOICE00122587 CT098174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37.4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0.2</v>
      </c>
      <c r="BJ209">
        <v>2.1</v>
      </c>
      <c r="BK209">
        <v>2.5</v>
      </c>
      <c r="BL209">
        <v>122.39</v>
      </c>
      <c r="BM209">
        <v>18.36</v>
      </c>
      <c r="BN209">
        <v>140.75</v>
      </c>
      <c r="BO209">
        <v>140.75</v>
      </c>
      <c r="BQ209" t="s">
        <v>745</v>
      </c>
      <c r="BR209" t="s">
        <v>84</v>
      </c>
      <c r="BS209" s="3">
        <v>45972</v>
      </c>
      <c r="BT209" s="4">
        <v>0.5083333333333333</v>
      </c>
      <c r="BU209" t="s">
        <v>827</v>
      </c>
      <c r="BV209" t="s">
        <v>86</v>
      </c>
      <c r="BY209">
        <v>10562.1</v>
      </c>
      <c r="BZ209" t="s">
        <v>126</v>
      </c>
      <c r="CA209" t="s">
        <v>439</v>
      </c>
      <c r="CC209" t="s">
        <v>435</v>
      </c>
      <c r="CD209">
        <v>7646</v>
      </c>
      <c r="CE209" t="s">
        <v>367</v>
      </c>
      <c r="CF209" s="3">
        <v>45973</v>
      </c>
      <c r="CI209">
        <v>1</v>
      </c>
      <c r="CJ209">
        <v>1</v>
      </c>
      <c r="CK209">
        <v>24</v>
      </c>
      <c r="CL209" t="s">
        <v>89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"GAB2029720"</f>
        <v>GAB2029720</v>
      </c>
      <c r="F210" s="3">
        <v>45971</v>
      </c>
      <c r="G210">
        <v>202608</v>
      </c>
      <c r="H210" t="s">
        <v>75</v>
      </c>
      <c r="I210" t="s">
        <v>76</v>
      </c>
      <c r="J210" t="s">
        <v>77</v>
      </c>
      <c r="K210" t="s">
        <v>78</v>
      </c>
      <c r="L210" t="s">
        <v>143</v>
      </c>
      <c r="M210" t="s">
        <v>144</v>
      </c>
      <c r="N210" t="s">
        <v>556</v>
      </c>
      <c r="O210" t="s">
        <v>124</v>
      </c>
      <c r="P210" t="str">
        <f>"INVOICE00122586 CT098166      "</f>
        <v xml:space="preserve">INVOICE00122586 CT098166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16.7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0.2</v>
      </c>
      <c r="BJ210">
        <v>2</v>
      </c>
      <c r="BK210">
        <v>2</v>
      </c>
      <c r="BL210">
        <v>54.66</v>
      </c>
      <c r="BM210">
        <v>8.1999999999999993</v>
      </c>
      <c r="BN210">
        <v>62.86</v>
      </c>
      <c r="BO210">
        <v>62.86</v>
      </c>
      <c r="BQ210" t="s">
        <v>557</v>
      </c>
      <c r="BR210" t="s">
        <v>84</v>
      </c>
      <c r="BS210" s="3">
        <v>45972</v>
      </c>
      <c r="BT210" s="4">
        <v>0.41666666666666669</v>
      </c>
      <c r="BU210" t="s">
        <v>558</v>
      </c>
      <c r="BV210" t="s">
        <v>86</v>
      </c>
      <c r="BY210">
        <v>10097.459999999999</v>
      </c>
      <c r="BZ210" t="s">
        <v>126</v>
      </c>
      <c r="CC210" t="s">
        <v>144</v>
      </c>
      <c r="CD210">
        <v>7600</v>
      </c>
      <c r="CE210" t="s">
        <v>367</v>
      </c>
      <c r="CF210" s="3">
        <v>45973</v>
      </c>
      <c r="CI210">
        <v>1</v>
      </c>
      <c r="CJ210">
        <v>1</v>
      </c>
      <c r="CK210">
        <v>22</v>
      </c>
      <c r="CL210" t="s">
        <v>89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"GAB2029722"</f>
        <v>GAB2029722</v>
      </c>
      <c r="F211" s="3">
        <v>45971</v>
      </c>
      <c r="G211">
        <v>202608</v>
      </c>
      <c r="H211" t="s">
        <v>75</v>
      </c>
      <c r="I211" t="s">
        <v>76</v>
      </c>
      <c r="J211" t="s">
        <v>77</v>
      </c>
      <c r="K211" t="s">
        <v>78</v>
      </c>
      <c r="L211" t="s">
        <v>200</v>
      </c>
      <c r="M211" t="s">
        <v>201</v>
      </c>
      <c r="N211" t="s">
        <v>202</v>
      </c>
      <c r="O211" t="s">
        <v>124</v>
      </c>
      <c r="P211" t="str">
        <f>"INVOICE00122585 CT098162      "</f>
        <v xml:space="preserve">INVOICE00122585 CT098162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41.43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0.2</v>
      </c>
      <c r="BJ211">
        <v>2</v>
      </c>
      <c r="BK211">
        <v>2</v>
      </c>
      <c r="BL211">
        <v>135.59</v>
      </c>
      <c r="BM211">
        <v>20.34</v>
      </c>
      <c r="BN211">
        <v>155.93</v>
      </c>
      <c r="BO211">
        <v>155.93</v>
      </c>
      <c r="BQ211" t="s">
        <v>828</v>
      </c>
      <c r="BR211" t="s">
        <v>84</v>
      </c>
      <c r="BS211" s="3">
        <v>45973</v>
      </c>
      <c r="BT211" s="4">
        <v>0.36041666666666666</v>
      </c>
      <c r="BU211" t="s">
        <v>829</v>
      </c>
      <c r="BV211" t="s">
        <v>89</v>
      </c>
      <c r="BW211" t="s">
        <v>830</v>
      </c>
      <c r="BX211" t="s">
        <v>831</v>
      </c>
      <c r="BY211">
        <v>9856.25</v>
      </c>
      <c r="BZ211" t="s">
        <v>126</v>
      </c>
      <c r="CA211">
        <v>9608125162082</v>
      </c>
      <c r="CC211" t="s">
        <v>201</v>
      </c>
      <c r="CD211">
        <v>1900</v>
      </c>
      <c r="CE211" t="s">
        <v>367</v>
      </c>
      <c r="CF211" s="3">
        <v>45973</v>
      </c>
      <c r="CI211">
        <v>1</v>
      </c>
      <c r="CJ211">
        <v>2</v>
      </c>
      <c r="CK211">
        <v>23</v>
      </c>
      <c r="CL211" t="s">
        <v>89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"GAB2029723"</f>
        <v>GAB2029723</v>
      </c>
      <c r="F212" s="3">
        <v>45971</v>
      </c>
      <c r="G212">
        <v>202608</v>
      </c>
      <c r="H212" t="s">
        <v>75</v>
      </c>
      <c r="I212" t="s">
        <v>76</v>
      </c>
      <c r="J212" t="s">
        <v>77</v>
      </c>
      <c r="K212" t="s">
        <v>78</v>
      </c>
      <c r="L212" t="s">
        <v>143</v>
      </c>
      <c r="M212" t="s">
        <v>144</v>
      </c>
      <c r="N212" t="s">
        <v>145</v>
      </c>
      <c r="O212" t="s">
        <v>124</v>
      </c>
      <c r="P212" t="str">
        <f>"INVOICE00122584 CT098163      "</f>
        <v xml:space="preserve">INVOICE00122584 CT098163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16.7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0.2</v>
      </c>
      <c r="BJ212">
        <v>2.1</v>
      </c>
      <c r="BK212">
        <v>3</v>
      </c>
      <c r="BL212">
        <v>54.66</v>
      </c>
      <c r="BM212">
        <v>8.1999999999999993</v>
      </c>
      <c r="BN212">
        <v>62.86</v>
      </c>
      <c r="BO212">
        <v>62.86</v>
      </c>
      <c r="BQ212" t="s">
        <v>146</v>
      </c>
      <c r="BR212" t="s">
        <v>84</v>
      </c>
      <c r="BS212" s="3">
        <v>45972</v>
      </c>
      <c r="BT212" s="4">
        <v>0.47499999999999998</v>
      </c>
      <c r="BU212" t="s">
        <v>832</v>
      </c>
      <c r="BV212" t="s">
        <v>86</v>
      </c>
      <c r="BY212">
        <v>10326.24</v>
      </c>
      <c r="BZ212" t="s">
        <v>126</v>
      </c>
      <c r="CC212" t="s">
        <v>144</v>
      </c>
      <c r="CD212">
        <v>7600</v>
      </c>
      <c r="CE212" t="s">
        <v>367</v>
      </c>
      <c r="CF212" s="3">
        <v>45973</v>
      </c>
      <c r="CI212">
        <v>1</v>
      </c>
      <c r="CJ212">
        <v>1</v>
      </c>
      <c r="CK212">
        <v>22</v>
      </c>
      <c r="CL212" t="s">
        <v>89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"GAB2029724"</f>
        <v>GAB2029724</v>
      </c>
      <c r="F213" s="3">
        <v>45971</v>
      </c>
      <c r="G213">
        <v>202608</v>
      </c>
      <c r="H213" t="s">
        <v>75</v>
      </c>
      <c r="I213" t="s">
        <v>76</v>
      </c>
      <c r="J213" t="s">
        <v>77</v>
      </c>
      <c r="K213" t="s">
        <v>78</v>
      </c>
      <c r="L213" t="s">
        <v>75</v>
      </c>
      <c r="M213" t="s">
        <v>76</v>
      </c>
      <c r="N213" t="s">
        <v>833</v>
      </c>
      <c r="O213" t="s">
        <v>124</v>
      </c>
      <c r="P213" t="str">
        <f>"INVOICE00122591 CT098181      "</f>
        <v xml:space="preserve">INVOICE00122591 CT098181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16.7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0.4</v>
      </c>
      <c r="BJ213">
        <v>2.4</v>
      </c>
      <c r="BK213">
        <v>3</v>
      </c>
      <c r="BL213">
        <v>54.66</v>
      </c>
      <c r="BM213">
        <v>8.1999999999999993</v>
      </c>
      <c r="BN213">
        <v>62.86</v>
      </c>
      <c r="BO213">
        <v>62.86</v>
      </c>
      <c r="BQ213" t="s">
        <v>834</v>
      </c>
      <c r="BR213" t="s">
        <v>84</v>
      </c>
      <c r="BS213" s="3">
        <v>45972</v>
      </c>
      <c r="BT213" s="4">
        <v>0.44305555555555554</v>
      </c>
      <c r="BU213" t="s">
        <v>835</v>
      </c>
      <c r="BV213" t="s">
        <v>86</v>
      </c>
      <c r="BY213">
        <v>12176.81</v>
      </c>
      <c r="BZ213" t="s">
        <v>126</v>
      </c>
      <c r="CA213" t="s">
        <v>836</v>
      </c>
      <c r="CC213" t="s">
        <v>76</v>
      </c>
      <c r="CD213">
        <v>7975</v>
      </c>
      <c r="CE213" t="s">
        <v>807</v>
      </c>
      <c r="CF213" s="3">
        <v>45973</v>
      </c>
      <c r="CI213">
        <v>1</v>
      </c>
      <c r="CJ213">
        <v>1</v>
      </c>
      <c r="CK213">
        <v>22</v>
      </c>
      <c r="CL213" t="s">
        <v>89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"GAB2029725"</f>
        <v>GAB2029725</v>
      </c>
      <c r="F214" s="3">
        <v>45971</v>
      </c>
      <c r="G214">
        <v>202608</v>
      </c>
      <c r="H214" t="s">
        <v>75</v>
      </c>
      <c r="I214" t="s">
        <v>76</v>
      </c>
      <c r="J214" t="s">
        <v>77</v>
      </c>
      <c r="K214" t="s">
        <v>78</v>
      </c>
      <c r="L214" t="s">
        <v>330</v>
      </c>
      <c r="M214" t="s">
        <v>331</v>
      </c>
      <c r="N214" t="s">
        <v>332</v>
      </c>
      <c r="O214" t="s">
        <v>124</v>
      </c>
      <c r="P214" t="str">
        <f>"INVOICE00122590 CT098182      "</f>
        <v xml:space="preserve">INVOICE00122590 CT098182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21.38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16.739999999999998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0.2</v>
      </c>
      <c r="BJ214">
        <v>1.3</v>
      </c>
      <c r="BK214">
        <v>1.5</v>
      </c>
      <c r="BL214">
        <v>86.72</v>
      </c>
      <c r="BM214">
        <v>13.01</v>
      </c>
      <c r="BN214">
        <v>99.73</v>
      </c>
      <c r="BO214">
        <v>99.73</v>
      </c>
      <c r="BQ214" t="s">
        <v>400</v>
      </c>
      <c r="BR214" t="s">
        <v>84</v>
      </c>
      <c r="BS214" s="3">
        <v>45973</v>
      </c>
      <c r="BT214" s="4">
        <v>0.3923611111111111</v>
      </c>
      <c r="BU214" t="s">
        <v>837</v>
      </c>
      <c r="BV214" t="s">
        <v>89</v>
      </c>
      <c r="BW214" t="s">
        <v>562</v>
      </c>
      <c r="BX214" t="s">
        <v>838</v>
      </c>
      <c r="BY214">
        <v>6657.63</v>
      </c>
      <c r="BZ214" t="s">
        <v>180</v>
      </c>
      <c r="CA214" t="s">
        <v>402</v>
      </c>
      <c r="CC214" t="s">
        <v>331</v>
      </c>
      <c r="CD214">
        <v>1475</v>
      </c>
      <c r="CE214" t="s">
        <v>367</v>
      </c>
      <c r="CF214" s="3">
        <v>45974</v>
      </c>
      <c r="CI214">
        <v>1</v>
      </c>
      <c r="CJ214">
        <v>2</v>
      </c>
      <c r="CK214">
        <v>21</v>
      </c>
      <c r="CL214" t="s">
        <v>89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"GAB2029727"</f>
        <v>GAB2029727</v>
      </c>
      <c r="F215" s="3">
        <v>45971</v>
      </c>
      <c r="G215">
        <v>202608</v>
      </c>
      <c r="H215" t="s">
        <v>75</v>
      </c>
      <c r="I215" t="s">
        <v>76</v>
      </c>
      <c r="J215" t="s">
        <v>77</v>
      </c>
      <c r="K215" t="s">
        <v>78</v>
      </c>
      <c r="L215" t="s">
        <v>90</v>
      </c>
      <c r="M215" t="s">
        <v>91</v>
      </c>
      <c r="N215" t="s">
        <v>839</v>
      </c>
      <c r="O215" t="s">
        <v>124</v>
      </c>
      <c r="P215" t="str">
        <f>"INVOICE00041326 ORDGS038004   "</f>
        <v xml:space="preserve">INVOICE00041326 ORDGS038004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26.73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1</v>
      </c>
      <c r="BJ215">
        <v>2.4</v>
      </c>
      <c r="BK215">
        <v>2.5</v>
      </c>
      <c r="BL215">
        <v>87.47</v>
      </c>
      <c r="BM215">
        <v>13.12</v>
      </c>
      <c r="BN215">
        <v>100.59</v>
      </c>
      <c r="BO215">
        <v>100.59</v>
      </c>
      <c r="BQ215" t="s">
        <v>840</v>
      </c>
      <c r="BR215" t="s">
        <v>84</v>
      </c>
      <c r="BS215" s="3">
        <v>45973</v>
      </c>
      <c r="BT215" s="4">
        <v>0.40763888888888888</v>
      </c>
      <c r="BU215" t="s">
        <v>841</v>
      </c>
      <c r="BV215" t="s">
        <v>86</v>
      </c>
      <c r="BY215">
        <v>12000</v>
      </c>
      <c r="BZ215" t="s">
        <v>126</v>
      </c>
      <c r="CA215" t="s">
        <v>842</v>
      </c>
      <c r="CC215" t="s">
        <v>91</v>
      </c>
      <c r="CD215">
        <v>3629</v>
      </c>
      <c r="CE215" t="s">
        <v>843</v>
      </c>
      <c r="CF215" s="3">
        <v>45974</v>
      </c>
      <c r="CI215">
        <v>2</v>
      </c>
      <c r="CJ215">
        <v>2</v>
      </c>
      <c r="CK215">
        <v>21</v>
      </c>
      <c r="CL215" t="s">
        <v>89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"GAB2029729"</f>
        <v>GAB2029729</v>
      </c>
      <c r="F216" s="3">
        <v>45971</v>
      </c>
      <c r="G216">
        <v>202608</v>
      </c>
      <c r="H216" t="s">
        <v>75</v>
      </c>
      <c r="I216" t="s">
        <v>76</v>
      </c>
      <c r="J216" t="s">
        <v>77</v>
      </c>
      <c r="K216" t="s">
        <v>78</v>
      </c>
      <c r="L216" t="s">
        <v>441</v>
      </c>
      <c r="M216" t="s">
        <v>442</v>
      </c>
      <c r="N216" t="s">
        <v>844</v>
      </c>
      <c r="O216" t="s">
        <v>124</v>
      </c>
      <c r="P216" t="str">
        <f>"INVOICE00122596 CT098184      "</f>
        <v xml:space="preserve">INVOICE00122596 CT098184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21.38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0.3</v>
      </c>
      <c r="BJ216">
        <v>2</v>
      </c>
      <c r="BK216">
        <v>2</v>
      </c>
      <c r="BL216">
        <v>69.98</v>
      </c>
      <c r="BM216">
        <v>10.5</v>
      </c>
      <c r="BN216">
        <v>80.48</v>
      </c>
      <c r="BO216">
        <v>80.48</v>
      </c>
      <c r="BQ216" t="s">
        <v>845</v>
      </c>
      <c r="BR216" t="s">
        <v>84</v>
      </c>
      <c r="BS216" s="3">
        <v>45972</v>
      </c>
      <c r="BT216" s="4">
        <v>0.53263888888888888</v>
      </c>
      <c r="BU216" t="s">
        <v>846</v>
      </c>
      <c r="BV216" t="s">
        <v>86</v>
      </c>
      <c r="BY216">
        <v>9852.2999999999993</v>
      </c>
      <c r="BZ216" t="s">
        <v>126</v>
      </c>
      <c r="CA216" t="s">
        <v>847</v>
      </c>
      <c r="CC216" t="s">
        <v>442</v>
      </c>
      <c r="CD216">
        <v>6529</v>
      </c>
      <c r="CE216" t="s">
        <v>848</v>
      </c>
      <c r="CF216" s="3">
        <v>45972</v>
      </c>
      <c r="CI216">
        <v>1</v>
      </c>
      <c r="CJ216">
        <v>1</v>
      </c>
      <c r="CK216">
        <v>21</v>
      </c>
      <c r="CL216" t="s">
        <v>89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"GAB2029730"</f>
        <v>GAB2029730</v>
      </c>
      <c r="F217" s="3">
        <v>45971</v>
      </c>
      <c r="G217">
        <v>202608</v>
      </c>
      <c r="H217" t="s">
        <v>75</v>
      </c>
      <c r="I217" t="s">
        <v>76</v>
      </c>
      <c r="J217" t="s">
        <v>77</v>
      </c>
      <c r="K217" t="s">
        <v>78</v>
      </c>
      <c r="L217" t="s">
        <v>230</v>
      </c>
      <c r="M217" t="s">
        <v>231</v>
      </c>
      <c r="N217" t="s">
        <v>473</v>
      </c>
      <c r="O217" t="s">
        <v>124</v>
      </c>
      <c r="P217" t="str">
        <f>"INVOICE00122597 CT098187      "</f>
        <v xml:space="preserve">INVOICE00122597 CT098187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26.73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0.4</v>
      </c>
      <c r="BJ217">
        <v>2.2999999999999998</v>
      </c>
      <c r="BK217">
        <v>2.5</v>
      </c>
      <c r="BL217">
        <v>87.47</v>
      </c>
      <c r="BM217">
        <v>13.12</v>
      </c>
      <c r="BN217">
        <v>100.59</v>
      </c>
      <c r="BO217">
        <v>100.59</v>
      </c>
      <c r="BQ217" t="s">
        <v>474</v>
      </c>
      <c r="BR217" t="s">
        <v>84</v>
      </c>
      <c r="BS217" s="3">
        <v>45973</v>
      </c>
      <c r="BT217" s="4">
        <v>0.43055555555555558</v>
      </c>
      <c r="BU217" t="s">
        <v>475</v>
      </c>
      <c r="BV217" t="s">
        <v>89</v>
      </c>
      <c r="BW217" t="s">
        <v>562</v>
      </c>
      <c r="BX217" t="s">
        <v>799</v>
      </c>
      <c r="BY217">
        <v>11424</v>
      </c>
      <c r="BZ217" t="s">
        <v>126</v>
      </c>
      <c r="CA217">
        <v>9208135296085</v>
      </c>
      <c r="CC217" t="s">
        <v>231</v>
      </c>
      <c r="CD217" s="5" t="s">
        <v>476</v>
      </c>
      <c r="CE217" t="s">
        <v>452</v>
      </c>
      <c r="CF217" s="3">
        <v>45973</v>
      </c>
      <c r="CI217">
        <v>1</v>
      </c>
      <c r="CJ217">
        <v>2</v>
      </c>
      <c r="CK217">
        <v>21</v>
      </c>
      <c r="CL217" t="s">
        <v>89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"GAB2029732"</f>
        <v>GAB2029732</v>
      </c>
      <c r="F218" s="3">
        <v>45971</v>
      </c>
      <c r="G218">
        <v>202608</v>
      </c>
      <c r="H218" t="s">
        <v>75</v>
      </c>
      <c r="I218" t="s">
        <v>76</v>
      </c>
      <c r="J218" t="s">
        <v>77</v>
      </c>
      <c r="K218" t="s">
        <v>78</v>
      </c>
      <c r="L218" t="s">
        <v>246</v>
      </c>
      <c r="M218" t="s">
        <v>247</v>
      </c>
      <c r="N218" t="s">
        <v>849</v>
      </c>
      <c r="O218" t="s">
        <v>124</v>
      </c>
      <c r="P218" t="str">
        <f>"INVOICES 00041327 00041328 ORD"</f>
        <v>INVOICES 00041327 00041328 ORD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26.73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1</v>
      </c>
      <c r="BJ218">
        <v>2.4</v>
      </c>
      <c r="BK218">
        <v>2.5</v>
      </c>
      <c r="BL218">
        <v>87.47</v>
      </c>
      <c r="BM218">
        <v>13.12</v>
      </c>
      <c r="BN218">
        <v>100.59</v>
      </c>
      <c r="BO218">
        <v>100.59</v>
      </c>
      <c r="BQ218" t="s">
        <v>850</v>
      </c>
      <c r="BR218" t="s">
        <v>84</v>
      </c>
      <c r="BS218" s="3">
        <v>45972</v>
      </c>
      <c r="BT218" s="4">
        <v>0.48680555555555555</v>
      </c>
      <c r="BU218" t="s">
        <v>851</v>
      </c>
      <c r="BV218" t="s">
        <v>86</v>
      </c>
      <c r="BY218">
        <v>12000</v>
      </c>
      <c r="BZ218" t="s">
        <v>126</v>
      </c>
      <c r="CA218" t="s">
        <v>328</v>
      </c>
      <c r="CC218" t="s">
        <v>247</v>
      </c>
      <c r="CD218">
        <v>9301</v>
      </c>
      <c r="CE218" t="s">
        <v>149</v>
      </c>
      <c r="CF218" s="3">
        <v>45973</v>
      </c>
      <c r="CI218">
        <v>2</v>
      </c>
      <c r="CJ218">
        <v>1</v>
      </c>
      <c r="CK218">
        <v>21</v>
      </c>
      <c r="CL218" t="s">
        <v>89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"009940256361"</f>
        <v>009940256361</v>
      </c>
      <c r="F219" s="3">
        <v>45965</v>
      </c>
      <c r="G219">
        <v>202608</v>
      </c>
      <c r="H219" t="s">
        <v>75</v>
      </c>
      <c r="I219" t="s">
        <v>76</v>
      </c>
      <c r="J219" t="s">
        <v>236</v>
      </c>
      <c r="K219" t="s">
        <v>78</v>
      </c>
      <c r="L219" t="s">
        <v>852</v>
      </c>
      <c r="M219" t="s">
        <v>853</v>
      </c>
      <c r="N219" t="s">
        <v>854</v>
      </c>
      <c r="O219" t="s">
        <v>855</v>
      </c>
      <c r="P219" t="str">
        <f>"CT098003                      "</f>
        <v xml:space="preserve">CT098003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202.73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88.14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1.8</v>
      </c>
      <c r="BJ219">
        <v>6.7</v>
      </c>
      <c r="BK219">
        <v>7</v>
      </c>
      <c r="BL219">
        <v>731.58</v>
      </c>
      <c r="BM219">
        <v>0</v>
      </c>
      <c r="BN219">
        <v>731.58</v>
      </c>
      <c r="BO219">
        <v>731.58</v>
      </c>
      <c r="BR219" t="s">
        <v>252</v>
      </c>
      <c r="BS219" s="3">
        <v>45971</v>
      </c>
      <c r="BT219" s="4">
        <v>0.53611111111111109</v>
      </c>
      <c r="BU219" t="s">
        <v>856</v>
      </c>
      <c r="BV219" t="s">
        <v>89</v>
      </c>
      <c r="BW219" t="s">
        <v>830</v>
      </c>
      <c r="BX219" t="s">
        <v>857</v>
      </c>
      <c r="BY219">
        <v>33264</v>
      </c>
      <c r="BZ219" t="s">
        <v>858</v>
      </c>
      <c r="CC219" t="s">
        <v>853</v>
      </c>
      <c r="CD219" t="s">
        <v>859</v>
      </c>
      <c r="CE219" t="s">
        <v>245</v>
      </c>
      <c r="CF219" s="3">
        <v>45978</v>
      </c>
      <c r="CI219">
        <v>0</v>
      </c>
      <c r="CJ219">
        <v>0</v>
      </c>
      <c r="CK219">
        <v>1821</v>
      </c>
      <c r="CL219" t="s">
        <v>89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"GAB2029703"</f>
        <v>GAB2029703</v>
      </c>
      <c r="F220" s="3">
        <v>45971</v>
      </c>
      <c r="G220">
        <v>202608</v>
      </c>
      <c r="H220" t="s">
        <v>75</v>
      </c>
      <c r="I220" t="s">
        <v>76</v>
      </c>
      <c r="J220" t="s">
        <v>77</v>
      </c>
      <c r="K220" t="s">
        <v>78</v>
      </c>
      <c r="L220" t="s">
        <v>860</v>
      </c>
      <c r="M220" t="s">
        <v>861</v>
      </c>
      <c r="N220" t="s">
        <v>862</v>
      </c>
      <c r="O220" t="s">
        <v>124</v>
      </c>
      <c r="P220" t="str">
        <f>"INVOICE 00122571 CT098170     "</f>
        <v xml:space="preserve">INVOICE 00122571 CT098170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41.43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0.2</v>
      </c>
      <c r="BJ220">
        <v>1.7</v>
      </c>
      <c r="BK220">
        <v>2</v>
      </c>
      <c r="BL220">
        <v>135.59</v>
      </c>
      <c r="BM220">
        <v>20.34</v>
      </c>
      <c r="BN220">
        <v>155.93</v>
      </c>
      <c r="BO220">
        <v>155.93</v>
      </c>
      <c r="BQ220" t="s">
        <v>863</v>
      </c>
      <c r="BR220" t="s">
        <v>84</v>
      </c>
      <c r="BS220" s="3">
        <v>45973</v>
      </c>
      <c r="BT220" s="4">
        <v>0.61111111111111116</v>
      </c>
      <c r="BU220" t="s">
        <v>864</v>
      </c>
      <c r="BV220" t="s">
        <v>89</v>
      </c>
      <c r="BW220" t="s">
        <v>865</v>
      </c>
      <c r="BX220" t="s">
        <v>866</v>
      </c>
      <c r="BY220">
        <v>8731.4599999999991</v>
      </c>
      <c r="BZ220" t="s">
        <v>126</v>
      </c>
      <c r="CA220" t="s">
        <v>867</v>
      </c>
      <c r="CC220" t="s">
        <v>861</v>
      </c>
      <c r="CD220" s="5" t="s">
        <v>868</v>
      </c>
      <c r="CE220" t="s">
        <v>367</v>
      </c>
      <c r="CF220" s="3">
        <v>45973</v>
      </c>
      <c r="CI220">
        <v>2</v>
      </c>
      <c r="CJ220">
        <v>2</v>
      </c>
      <c r="CK220">
        <v>23</v>
      </c>
      <c r="CL220" t="s">
        <v>89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"GAB2029710"</f>
        <v>GAB2029710</v>
      </c>
      <c r="F221" s="3">
        <v>45971</v>
      </c>
      <c r="G221">
        <v>202608</v>
      </c>
      <c r="H221" t="s">
        <v>75</v>
      </c>
      <c r="I221" t="s">
        <v>76</v>
      </c>
      <c r="J221" t="s">
        <v>77</v>
      </c>
      <c r="K221" t="s">
        <v>78</v>
      </c>
      <c r="L221" t="s">
        <v>224</v>
      </c>
      <c r="M221" t="s">
        <v>225</v>
      </c>
      <c r="N221" t="s">
        <v>226</v>
      </c>
      <c r="O221" t="s">
        <v>124</v>
      </c>
      <c r="P221" t="str">
        <f>"invoice00122575 ct098164      "</f>
        <v xml:space="preserve">invoice00122575 ct098164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50.78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1.3</v>
      </c>
      <c r="BJ221">
        <v>2.2999999999999998</v>
      </c>
      <c r="BK221">
        <v>2.5</v>
      </c>
      <c r="BL221">
        <v>166.2</v>
      </c>
      <c r="BM221">
        <v>24.93</v>
      </c>
      <c r="BN221">
        <v>191.13</v>
      </c>
      <c r="BO221">
        <v>191.13</v>
      </c>
      <c r="BQ221" t="s">
        <v>869</v>
      </c>
      <c r="BR221" t="s">
        <v>84</v>
      </c>
      <c r="BS221" s="3">
        <v>45973</v>
      </c>
      <c r="BT221" s="4">
        <v>0.41666666666666669</v>
      </c>
      <c r="BU221" t="s">
        <v>228</v>
      </c>
      <c r="BV221" t="s">
        <v>86</v>
      </c>
      <c r="BY221">
        <v>11554.91</v>
      </c>
      <c r="BZ221" t="s">
        <v>126</v>
      </c>
      <c r="CA221" t="s">
        <v>229</v>
      </c>
      <c r="CC221" t="s">
        <v>225</v>
      </c>
      <c r="CD221">
        <v>9700</v>
      </c>
      <c r="CE221" t="s">
        <v>870</v>
      </c>
      <c r="CF221" s="3">
        <v>45974</v>
      </c>
      <c r="CI221">
        <v>2</v>
      </c>
      <c r="CJ221">
        <v>2</v>
      </c>
      <c r="CK221">
        <v>23</v>
      </c>
      <c r="CL221" t="s">
        <v>89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"GAB2029714"</f>
        <v>GAB2029714</v>
      </c>
      <c r="F222" s="3">
        <v>45971</v>
      </c>
      <c r="G222">
        <v>202608</v>
      </c>
      <c r="H222" t="s">
        <v>75</v>
      </c>
      <c r="I222" t="s">
        <v>76</v>
      </c>
      <c r="J222" t="s">
        <v>77</v>
      </c>
      <c r="K222" t="s">
        <v>78</v>
      </c>
      <c r="L222" t="s">
        <v>274</v>
      </c>
      <c r="M222" t="s">
        <v>275</v>
      </c>
      <c r="N222" t="s">
        <v>299</v>
      </c>
      <c r="O222" t="s">
        <v>124</v>
      </c>
      <c r="P222" t="str">
        <f>"INVOICE00122580 CT098178      "</f>
        <v xml:space="preserve">INVOICE00122580 CT098178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41.43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0.5</v>
      </c>
      <c r="BJ222">
        <v>1.7</v>
      </c>
      <c r="BK222">
        <v>2</v>
      </c>
      <c r="BL222">
        <v>135.59</v>
      </c>
      <c r="BM222">
        <v>20.34</v>
      </c>
      <c r="BN222">
        <v>155.93</v>
      </c>
      <c r="BO222">
        <v>155.93</v>
      </c>
      <c r="BQ222" t="s">
        <v>871</v>
      </c>
      <c r="BR222" t="s">
        <v>84</v>
      </c>
      <c r="BS222" s="3">
        <v>45973</v>
      </c>
      <c r="BT222" s="4">
        <v>0.43472222222222223</v>
      </c>
      <c r="BU222" t="s">
        <v>872</v>
      </c>
      <c r="BV222" t="s">
        <v>86</v>
      </c>
      <c r="BY222">
        <v>8731.2000000000007</v>
      </c>
      <c r="BZ222" t="s">
        <v>126</v>
      </c>
      <c r="CA222" t="s">
        <v>302</v>
      </c>
      <c r="CC222" t="s">
        <v>275</v>
      </c>
      <c r="CD222">
        <v>9459</v>
      </c>
      <c r="CE222" t="s">
        <v>873</v>
      </c>
      <c r="CF222" s="3">
        <v>45973</v>
      </c>
      <c r="CI222">
        <v>2</v>
      </c>
      <c r="CJ222">
        <v>2</v>
      </c>
      <c r="CK222">
        <v>23</v>
      </c>
      <c r="CL222" t="s">
        <v>89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"GAB2029735"</f>
        <v>GAB2029735</v>
      </c>
      <c r="F223" s="3">
        <v>45972</v>
      </c>
      <c r="G223">
        <v>202608</v>
      </c>
      <c r="H223" t="s">
        <v>75</v>
      </c>
      <c r="I223" t="s">
        <v>76</v>
      </c>
      <c r="J223" t="s">
        <v>77</v>
      </c>
      <c r="K223" t="s">
        <v>78</v>
      </c>
      <c r="L223" t="s">
        <v>75</v>
      </c>
      <c r="M223" t="s">
        <v>76</v>
      </c>
      <c r="N223" t="s">
        <v>874</v>
      </c>
      <c r="O223" t="s">
        <v>82</v>
      </c>
      <c r="P223" t="str">
        <f>"INVOICE00122598 CT098186      "</f>
        <v xml:space="preserve">INVOICE00122598 CT098186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5.87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72.02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4</v>
      </c>
      <c r="BI223">
        <v>30.2</v>
      </c>
      <c r="BJ223">
        <v>57.5</v>
      </c>
      <c r="BK223">
        <v>58</v>
      </c>
      <c r="BL223">
        <v>241.57</v>
      </c>
      <c r="BM223">
        <v>36.24</v>
      </c>
      <c r="BN223">
        <v>277.81</v>
      </c>
      <c r="BO223">
        <v>277.81</v>
      </c>
      <c r="BR223" t="s">
        <v>84</v>
      </c>
      <c r="BS223" s="3">
        <v>45973</v>
      </c>
      <c r="BT223" s="4">
        <v>0.64513888888888893</v>
      </c>
      <c r="BU223" t="s">
        <v>875</v>
      </c>
      <c r="BV223" t="s">
        <v>86</v>
      </c>
      <c r="BY223">
        <v>287565.78999999998</v>
      </c>
      <c r="CA223" t="s">
        <v>876</v>
      </c>
      <c r="CC223" t="s">
        <v>76</v>
      </c>
      <c r="CD223">
        <v>7550</v>
      </c>
      <c r="CE223" t="s">
        <v>103</v>
      </c>
      <c r="CF223" s="3">
        <v>45974</v>
      </c>
      <c r="CI223">
        <v>1</v>
      </c>
      <c r="CJ223">
        <v>1</v>
      </c>
      <c r="CK223">
        <v>42</v>
      </c>
      <c r="CL223" t="s">
        <v>89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"GAB2029740"</f>
        <v>GAB2029740</v>
      </c>
      <c r="F224" s="3">
        <v>45972</v>
      </c>
      <c r="G224">
        <v>202608</v>
      </c>
      <c r="H224" t="s">
        <v>75</v>
      </c>
      <c r="I224" t="s">
        <v>76</v>
      </c>
      <c r="J224" t="s">
        <v>77</v>
      </c>
      <c r="K224" t="s">
        <v>78</v>
      </c>
      <c r="L224" t="s">
        <v>877</v>
      </c>
      <c r="M224" t="s">
        <v>878</v>
      </c>
      <c r="N224" t="s">
        <v>879</v>
      </c>
      <c r="O224" t="s">
        <v>82</v>
      </c>
      <c r="P224" t="str">
        <f>"INVOICE00041342 ORDGS038021   "</f>
        <v xml:space="preserve">INVOICE00041342 ORDGS038021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5.87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58.32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5.4</v>
      </c>
      <c r="BJ224">
        <v>12.5</v>
      </c>
      <c r="BK224">
        <v>13</v>
      </c>
      <c r="BL224">
        <v>196.74</v>
      </c>
      <c r="BM224">
        <v>29.51</v>
      </c>
      <c r="BN224">
        <v>226.25</v>
      </c>
      <c r="BO224">
        <v>226.25</v>
      </c>
      <c r="BR224" t="s">
        <v>84</v>
      </c>
      <c r="BS224" s="3">
        <v>45974</v>
      </c>
      <c r="BT224" s="4">
        <v>0.77013888888888893</v>
      </c>
      <c r="BU224" t="s">
        <v>880</v>
      </c>
      <c r="BV224" t="s">
        <v>86</v>
      </c>
      <c r="BY224">
        <v>62620.800000000003</v>
      </c>
      <c r="CA224" t="s">
        <v>881</v>
      </c>
      <c r="CC224" t="s">
        <v>878</v>
      </c>
      <c r="CD224">
        <v>4360</v>
      </c>
      <c r="CE224" t="s">
        <v>103</v>
      </c>
      <c r="CF224" s="3">
        <v>45974</v>
      </c>
      <c r="CI224">
        <v>4</v>
      </c>
      <c r="CJ224">
        <v>2</v>
      </c>
      <c r="CK224">
        <v>43</v>
      </c>
      <c r="CL224" t="s">
        <v>89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"GAB2029752"</f>
        <v>GAB2029752</v>
      </c>
      <c r="F225" s="3">
        <v>45972</v>
      </c>
      <c r="G225">
        <v>202608</v>
      </c>
      <c r="H225" t="s">
        <v>75</v>
      </c>
      <c r="I225" t="s">
        <v>76</v>
      </c>
      <c r="J225" t="s">
        <v>77</v>
      </c>
      <c r="K225" t="s">
        <v>78</v>
      </c>
      <c r="L225" t="s">
        <v>79</v>
      </c>
      <c r="M225" t="s">
        <v>80</v>
      </c>
      <c r="N225" t="s">
        <v>236</v>
      </c>
      <c r="O225" t="s">
        <v>82</v>
      </c>
      <c r="P225" t="str">
        <f>"INVOICE00122622 CT098114      "</f>
        <v xml:space="preserve">INVOICE00122622 CT098114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5.87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41.35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0.5</v>
      </c>
      <c r="BJ225">
        <v>2.2000000000000002</v>
      </c>
      <c r="BK225">
        <v>3</v>
      </c>
      <c r="BL225">
        <v>141.19999999999999</v>
      </c>
      <c r="BM225">
        <v>21.18</v>
      </c>
      <c r="BN225">
        <v>162.38</v>
      </c>
      <c r="BO225">
        <v>162.38</v>
      </c>
      <c r="BQ225" t="s">
        <v>322</v>
      </c>
      <c r="BR225" t="s">
        <v>84</v>
      </c>
      <c r="BS225" s="3">
        <v>45974</v>
      </c>
      <c r="BT225" s="4">
        <v>0.34444444444444444</v>
      </c>
      <c r="BU225" t="s">
        <v>323</v>
      </c>
      <c r="BV225" t="s">
        <v>86</v>
      </c>
      <c r="BY225">
        <v>11153.28</v>
      </c>
      <c r="CA225">
        <v>9512275238082</v>
      </c>
      <c r="CC225" t="s">
        <v>80</v>
      </c>
      <c r="CD225" s="5" t="s">
        <v>87</v>
      </c>
      <c r="CE225" t="s">
        <v>298</v>
      </c>
      <c r="CF225" s="3">
        <v>45974</v>
      </c>
      <c r="CI225">
        <v>3</v>
      </c>
      <c r="CJ225">
        <v>2</v>
      </c>
      <c r="CK225">
        <v>41</v>
      </c>
      <c r="CL225" t="s">
        <v>89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"GAB2029753"</f>
        <v>GAB2029753</v>
      </c>
      <c r="F226" s="3">
        <v>45972</v>
      </c>
      <c r="G226">
        <v>202608</v>
      </c>
      <c r="H226" t="s">
        <v>75</v>
      </c>
      <c r="I226" t="s">
        <v>76</v>
      </c>
      <c r="J226" t="s">
        <v>77</v>
      </c>
      <c r="K226" t="s">
        <v>78</v>
      </c>
      <c r="L226" t="s">
        <v>75</v>
      </c>
      <c r="M226" t="s">
        <v>76</v>
      </c>
      <c r="N226" t="s">
        <v>882</v>
      </c>
      <c r="O226" t="s">
        <v>82</v>
      </c>
      <c r="P226" t="str">
        <f>"INVOICE00122621 CT098165      "</f>
        <v xml:space="preserve">INVOICE00122621 CT098165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5.87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31.91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0.4</v>
      </c>
      <c r="BJ226">
        <v>2.2000000000000002</v>
      </c>
      <c r="BK226">
        <v>3</v>
      </c>
      <c r="BL226">
        <v>110.3</v>
      </c>
      <c r="BM226">
        <v>16.55</v>
      </c>
      <c r="BN226">
        <v>126.85</v>
      </c>
      <c r="BO226">
        <v>126.85</v>
      </c>
      <c r="BQ226" t="s">
        <v>883</v>
      </c>
      <c r="BR226" t="s">
        <v>84</v>
      </c>
      <c r="BS226" s="3">
        <v>45973</v>
      </c>
      <c r="BT226" s="4">
        <v>0.45833333333333331</v>
      </c>
      <c r="BU226" t="s">
        <v>884</v>
      </c>
      <c r="BV226" t="s">
        <v>86</v>
      </c>
      <c r="BY226">
        <v>10879.97</v>
      </c>
      <c r="CA226" t="s">
        <v>885</v>
      </c>
      <c r="CC226" t="s">
        <v>76</v>
      </c>
      <c r="CD226">
        <v>7925</v>
      </c>
      <c r="CE226" t="s">
        <v>298</v>
      </c>
      <c r="CF226" s="3">
        <v>45974</v>
      </c>
      <c r="CI226">
        <v>1</v>
      </c>
      <c r="CJ226">
        <v>1</v>
      </c>
      <c r="CK226">
        <v>42</v>
      </c>
      <c r="CL226" t="s">
        <v>89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"GAB2029758"</f>
        <v>GAB2029758</v>
      </c>
      <c r="F227" s="3">
        <v>45972</v>
      </c>
      <c r="G227">
        <v>202608</v>
      </c>
      <c r="H227" t="s">
        <v>75</v>
      </c>
      <c r="I227" t="s">
        <v>76</v>
      </c>
      <c r="J227" t="s">
        <v>77</v>
      </c>
      <c r="K227" t="s">
        <v>78</v>
      </c>
      <c r="L227" t="s">
        <v>509</v>
      </c>
      <c r="M227" t="s">
        <v>510</v>
      </c>
      <c r="N227" t="s">
        <v>511</v>
      </c>
      <c r="O227" t="s">
        <v>82</v>
      </c>
      <c r="P227" t="str">
        <f>"INVOICE00122629 CT098124      "</f>
        <v xml:space="preserve">INVOICE00122629 CT098124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5.87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41.35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1.3</v>
      </c>
      <c r="BJ227">
        <v>2.8</v>
      </c>
      <c r="BK227">
        <v>3</v>
      </c>
      <c r="BL227">
        <v>141.19999999999999</v>
      </c>
      <c r="BM227">
        <v>21.18</v>
      </c>
      <c r="BN227">
        <v>162.38</v>
      </c>
      <c r="BO227">
        <v>162.38</v>
      </c>
      <c r="BQ227" t="s">
        <v>886</v>
      </c>
      <c r="BR227" t="s">
        <v>84</v>
      </c>
      <c r="BS227" s="3">
        <v>45974</v>
      </c>
      <c r="BT227" s="4">
        <v>0.39513888888888887</v>
      </c>
      <c r="BU227" t="s">
        <v>887</v>
      </c>
      <c r="BV227" t="s">
        <v>86</v>
      </c>
      <c r="BY227">
        <v>13923.84</v>
      </c>
      <c r="CA227" t="s">
        <v>888</v>
      </c>
      <c r="CC227" t="s">
        <v>510</v>
      </c>
      <c r="CD227">
        <v>1619</v>
      </c>
      <c r="CE227" t="s">
        <v>889</v>
      </c>
      <c r="CF227" s="3">
        <v>45975</v>
      </c>
      <c r="CI227">
        <v>2</v>
      </c>
      <c r="CJ227">
        <v>2</v>
      </c>
      <c r="CK227">
        <v>41</v>
      </c>
      <c r="CL227" t="s">
        <v>89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"GAB2029759"</f>
        <v>GAB2029759</v>
      </c>
      <c r="F228" s="3">
        <v>45972</v>
      </c>
      <c r="G228">
        <v>202608</v>
      </c>
      <c r="H228" t="s">
        <v>75</v>
      </c>
      <c r="I228" t="s">
        <v>76</v>
      </c>
      <c r="J228" t="s">
        <v>77</v>
      </c>
      <c r="K228" t="s">
        <v>78</v>
      </c>
      <c r="L228" t="s">
        <v>189</v>
      </c>
      <c r="M228" t="s">
        <v>190</v>
      </c>
      <c r="N228" t="s">
        <v>890</v>
      </c>
      <c r="O228" t="s">
        <v>82</v>
      </c>
      <c r="P228" t="str">
        <f>"INVOICE00122630 CT098161      "</f>
        <v xml:space="preserve">INVOICE00122630 CT098161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5.87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58.32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0.9</v>
      </c>
      <c r="BJ228">
        <v>1.8</v>
      </c>
      <c r="BK228">
        <v>2</v>
      </c>
      <c r="BL228">
        <v>196.74</v>
      </c>
      <c r="BM228">
        <v>29.51</v>
      </c>
      <c r="BN228">
        <v>226.25</v>
      </c>
      <c r="BO228">
        <v>226.25</v>
      </c>
      <c r="BQ228" t="s">
        <v>891</v>
      </c>
      <c r="BR228" t="s">
        <v>84</v>
      </c>
      <c r="BS228" s="3">
        <v>45973</v>
      </c>
      <c r="BT228" s="4">
        <v>0.55069444444444449</v>
      </c>
      <c r="BU228" t="s">
        <v>892</v>
      </c>
      <c r="BV228" t="s">
        <v>86</v>
      </c>
      <c r="BY228">
        <v>9125.18</v>
      </c>
      <c r="CC228" t="s">
        <v>190</v>
      </c>
      <c r="CD228">
        <v>6506</v>
      </c>
      <c r="CE228" t="s">
        <v>889</v>
      </c>
      <c r="CF228" s="3">
        <v>45974</v>
      </c>
      <c r="CI228">
        <v>1</v>
      </c>
      <c r="CJ228">
        <v>1</v>
      </c>
      <c r="CK228">
        <v>43</v>
      </c>
      <c r="CL228" t="s">
        <v>89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"GAB2029761"</f>
        <v>GAB2029761</v>
      </c>
      <c r="F229" s="3">
        <v>45972</v>
      </c>
      <c r="G229">
        <v>202608</v>
      </c>
      <c r="H229" t="s">
        <v>75</v>
      </c>
      <c r="I229" t="s">
        <v>76</v>
      </c>
      <c r="J229" t="s">
        <v>77</v>
      </c>
      <c r="K229" t="s">
        <v>78</v>
      </c>
      <c r="L229" t="s">
        <v>893</v>
      </c>
      <c r="M229" t="s">
        <v>894</v>
      </c>
      <c r="N229" t="s">
        <v>895</v>
      </c>
      <c r="O229" t="s">
        <v>82</v>
      </c>
      <c r="P229" t="str">
        <f>"INVOICE 00122631 CT098144     "</f>
        <v xml:space="preserve">INVOICE 00122631 CT098144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5.87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58.32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0.7</v>
      </c>
      <c r="BJ229">
        <v>2</v>
      </c>
      <c r="BK229">
        <v>2</v>
      </c>
      <c r="BL229">
        <v>196.74</v>
      </c>
      <c r="BM229">
        <v>29.51</v>
      </c>
      <c r="BN229">
        <v>226.25</v>
      </c>
      <c r="BO229">
        <v>226.25</v>
      </c>
      <c r="BQ229" t="s">
        <v>896</v>
      </c>
      <c r="BR229" t="s">
        <v>84</v>
      </c>
      <c r="BS229" s="3">
        <v>45974</v>
      </c>
      <c r="BT229" s="4">
        <v>0.63888888888888884</v>
      </c>
      <c r="BU229" t="s">
        <v>897</v>
      </c>
      <c r="BV229" t="s">
        <v>86</v>
      </c>
      <c r="BY229">
        <v>10002.16</v>
      </c>
      <c r="CA229" t="s">
        <v>898</v>
      </c>
      <c r="CC229" t="s">
        <v>894</v>
      </c>
      <c r="CD229">
        <v>1739</v>
      </c>
      <c r="CE229" t="s">
        <v>899</v>
      </c>
      <c r="CF229" s="3">
        <v>45974</v>
      </c>
      <c r="CI229">
        <v>2</v>
      </c>
      <c r="CJ229">
        <v>2</v>
      </c>
      <c r="CK229">
        <v>43</v>
      </c>
      <c r="CL229" t="s">
        <v>89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"GAB2029763"</f>
        <v>GAB2029763</v>
      </c>
      <c r="F230" s="3">
        <v>45972</v>
      </c>
      <c r="G230">
        <v>202608</v>
      </c>
      <c r="H230" t="s">
        <v>75</v>
      </c>
      <c r="I230" t="s">
        <v>76</v>
      </c>
      <c r="J230" t="s">
        <v>77</v>
      </c>
      <c r="K230" t="s">
        <v>78</v>
      </c>
      <c r="L230" t="s">
        <v>246</v>
      </c>
      <c r="M230" t="s">
        <v>247</v>
      </c>
      <c r="N230" t="s">
        <v>560</v>
      </c>
      <c r="O230" t="s">
        <v>82</v>
      </c>
      <c r="P230" t="str">
        <f>"INVOICE 00122627 CT098204     "</f>
        <v xml:space="preserve">INVOICE 00122627 CT098204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5.87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41.35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4</v>
      </c>
      <c r="BJ230">
        <v>12.5</v>
      </c>
      <c r="BK230">
        <v>13</v>
      </c>
      <c r="BL230">
        <v>141.19999999999999</v>
      </c>
      <c r="BM230">
        <v>21.18</v>
      </c>
      <c r="BN230">
        <v>162.38</v>
      </c>
      <c r="BO230">
        <v>162.38</v>
      </c>
      <c r="BR230" t="s">
        <v>84</v>
      </c>
      <c r="BS230" s="3">
        <v>45974</v>
      </c>
      <c r="BT230" s="4">
        <v>0.63402777777777775</v>
      </c>
      <c r="BU230" t="s">
        <v>900</v>
      </c>
      <c r="BV230" t="s">
        <v>86</v>
      </c>
      <c r="BY230">
        <v>62580</v>
      </c>
      <c r="CA230" t="s">
        <v>328</v>
      </c>
      <c r="CC230" t="s">
        <v>247</v>
      </c>
      <c r="CD230">
        <v>9301</v>
      </c>
      <c r="CE230" t="s">
        <v>114</v>
      </c>
      <c r="CF230" s="3">
        <v>45975</v>
      </c>
      <c r="CI230">
        <v>4</v>
      </c>
      <c r="CJ230">
        <v>2</v>
      </c>
      <c r="CK230">
        <v>41</v>
      </c>
      <c r="CL230" t="s">
        <v>89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"GAB2029738"</f>
        <v>GAB2029738</v>
      </c>
      <c r="F231" s="3">
        <v>45972</v>
      </c>
      <c r="G231">
        <v>202608</v>
      </c>
      <c r="H231" t="s">
        <v>75</v>
      </c>
      <c r="I231" t="s">
        <v>76</v>
      </c>
      <c r="J231" t="s">
        <v>77</v>
      </c>
      <c r="K231" t="s">
        <v>78</v>
      </c>
      <c r="L231" t="s">
        <v>230</v>
      </c>
      <c r="M231" t="s">
        <v>231</v>
      </c>
      <c r="N231" t="s">
        <v>901</v>
      </c>
      <c r="O231" t="s">
        <v>124</v>
      </c>
      <c r="P231" t="str">
        <f>"INVOICE00122605 CT098190      "</f>
        <v xml:space="preserve">INVOICE00122605 CT098190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26.73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0.2</v>
      </c>
      <c r="BJ231">
        <v>2.2000000000000002</v>
      </c>
      <c r="BK231">
        <v>2.5</v>
      </c>
      <c r="BL231">
        <v>87.47</v>
      </c>
      <c r="BM231">
        <v>13.12</v>
      </c>
      <c r="BN231">
        <v>100.59</v>
      </c>
      <c r="BO231">
        <v>100.59</v>
      </c>
      <c r="BQ231" t="s">
        <v>902</v>
      </c>
      <c r="BR231" t="s">
        <v>84</v>
      </c>
      <c r="BS231" s="3">
        <v>45973</v>
      </c>
      <c r="BT231" s="4">
        <v>0.4201388888888889</v>
      </c>
      <c r="BU231" t="s">
        <v>903</v>
      </c>
      <c r="BV231" t="s">
        <v>86</v>
      </c>
      <c r="BY231">
        <v>11215.44</v>
      </c>
      <c r="BZ231" t="s">
        <v>126</v>
      </c>
      <c r="CA231">
        <v>9105145407084</v>
      </c>
      <c r="CC231" t="s">
        <v>231</v>
      </c>
      <c r="CD231" s="5" t="s">
        <v>382</v>
      </c>
      <c r="CE231" t="s">
        <v>367</v>
      </c>
      <c r="CF231" s="3">
        <v>45973</v>
      </c>
      <c r="CI231">
        <v>1</v>
      </c>
      <c r="CJ231">
        <v>1</v>
      </c>
      <c r="CK231">
        <v>21</v>
      </c>
      <c r="CL231" t="s">
        <v>89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"GAB2029739"</f>
        <v>GAB2029739</v>
      </c>
      <c r="F232" s="3">
        <v>45972</v>
      </c>
      <c r="G232">
        <v>202608</v>
      </c>
      <c r="H232" t="s">
        <v>75</v>
      </c>
      <c r="I232" t="s">
        <v>76</v>
      </c>
      <c r="J232" t="s">
        <v>77</v>
      </c>
      <c r="K232" t="s">
        <v>78</v>
      </c>
      <c r="L232" t="s">
        <v>230</v>
      </c>
      <c r="M232" t="s">
        <v>231</v>
      </c>
      <c r="N232" t="s">
        <v>904</v>
      </c>
      <c r="O232" t="s">
        <v>124</v>
      </c>
      <c r="P232" t="str">
        <f>"INVOICE00041341 ORDGS038023   "</f>
        <v xml:space="preserve">INVOICE00041341 ORDGS038023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26.73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0.3</v>
      </c>
      <c r="BJ232">
        <v>2.4</v>
      </c>
      <c r="BK232">
        <v>2.5</v>
      </c>
      <c r="BL232">
        <v>87.47</v>
      </c>
      <c r="BM232">
        <v>13.12</v>
      </c>
      <c r="BN232">
        <v>100.59</v>
      </c>
      <c r="BO232">
        <v>100.59</v>
      </c>
      <c r="BQ232" t="s">
        <v>118</v>
      </c>
      <c r="BR232" t="s">
        <v>84</v>
      </c>
      <c r="BS232" s="3">
        <v>45973</v>
      </c>
      <c r="BT232" s="4">
        <v>0.34513888888888888</v>
      </c>
      <c r="BU232" t="s">
        <v>905</v>
      </c>
      <c r="BV232" t="s">
        <v>86</v>
      </c>
      <c r="BY232">
        <v>11920.74</v>
      </c>
      <c r="BZ232" t="s">
        <v>126</v>
      </c>
      <c r="CA232" s="5" t="s">
        <v>906</v>
      </c>
      <c r="CC232" t="s">
        <v>231</v>
      </c>
      <c r="CD232" s="5" t="s">
        <v>382</v>
      </c>
      <c r="CE232" t="s">
        <v>814</v>
      </c>
      <c r="CF232" s="3">
        <v>45973</v>
      </c>
      <c r="CI232">
        <v>1</v>
      </c>
      <c r="CJ232">
        <v>1</v>
      </c>
      <c r="CK232">
        <v>21</v>
      </c>
      <c r="CL232" t="s">
        <v>89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"GAB2029741"</f>
        <v>GAB2029741</v>
      </c>
      <c r="F233" s="3">
        <v>45972</v>
      </c>
      <c r="G233">
        <v>202608</v>
      </c>
      <c r="H233" t="s">
        <v>75</v>
      </c>
      <c r="I233" t="s">
        <v>76</v>
      </c>
      <c r="J233" t="s">
        <v>77</v>
      </c>
      <c r="K233" t="s">
        <v>78</v>
      </c>
      <c r="L233" t="s">
        <v>79</v>
      </c>
      <c r="M233" t="s">
        <v>80</v>
      </c>
      <c r="N233" t="s">
        <v>303</v>
      </c>
      <c r="O233" t="s">
        <v>124</v>
      </c>
      <c r="P233" t="str">
        <f>"INVOICE00122604 CT098191      "</f>
        <v xml:space="preserve">INVOICE00122604 CT098191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26.73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1.2</v>
      </c>
      <c r="BJ233">
        <v>2.4</v>
      </c>
      <c r="BK233">
        <v>2.5</v>
      </c>
      <c r="BL233">
        <v>87.47</v>
      </c>
      <c r="BM233">
        <v>13.12</v>
      </c>
      <c r="BN233">
        <v>100.59</v>
      </c>
      <c r="BO233">
        <v>100.59</v>
      </c>
      <c r="BQ233" t="s">
        <v>304</v>
      </c>
      <c r="BR233" t="s">
        <v>84</v>
      </c>
      <c r="BS233" s="3">
        <v>45973</v>
      </c>
      <c r="BT233" s="4">
        <v>0.36805555555555558</v>
      </c>
      <c r="BU233" t="s">
        <v>686</v>
      </c>
      <c r="BV233" t="s">
        <v>86</v>
      </c>
      <c r="BY233">
        <v>12098.56</v>
      </c>
      <c r="BZ233" t="s">
        <v>126</v>
      </c>
      <c r="CA233">
        <v>8601266266086</v>
      </c>
      <c r="CC233" t="s">
        <v>80</v>
      </c>
      <c r="CD233" s="5" t="s">
        <v>87</v>
      </c>
      <c r="CE233" t="s">
        <v>907</v>
      </c>
      <c r="CF233" s="3">
        <v>45973</v>
      </c>
      <c r="CI233">
        <v>1</v>
      </c>
      <c r="CJ233">
        <v>1</v>
      </c>
      <c r="CK233">
        <v>21</v>
      </c>
      <c r="CL233" t="s">
        <v>89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"GAB2029742"</f>
        <v>GAB2029742</v>
      </c>
      <c r="F234" s="3">
        <v>45972</v>
      </c>
      <c r="G234">
        <v>202608</v>
      </c>
      <c r="H234" t="s">
        <v>75</v>
      </c>
      <c r="I234" t="s">
        <v>76</v>
      </c>
      <c r="J234" t="s">
        <v>77</v>
      </c>
      <c r="K234" t="s">
        <v>78</v>
      </c>
      <c r="L234" t="s">
        <v>595</v>
      </c>
      <c r="M234" t="s">
        <v>596</v>
      </c>
      <c r="N234" t="s">
        <v>908</v>
      </c>
      <c r="O234" t="s">
        <v>124</v>
      </c>
      <c r="P234" t="str">
        <f>"INVOICE00122601 CT098189      "</f>
        <v xml:space="preserve">INVOICE00122601 CT098189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50.78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0.3</v>
      </c>
      <c r="BJ234">
        <v>2.2999999999999998</v>
      </c>
      <c r="BK234">
        <v>2.5</v>
      </c>
      <c r="BL234">
        <v>166.2</v>
      </c>
      <c r="BM234">
        <v>24.93</v>
      </c>
      <c r="BN234">
        <v>191.13</v>
      </c>
      <c r="BO234">
        <v>191.13</v>
      </c>
      <c r="BQ234" t="s">
        <v>909</v>
      </c>
      <c r="BR234" t="s">
        <v>84</v>
      </c>
      <c r="BS234" s="3">
        <v>45975</v>
      </c>
      <c r="BT234" s="4">
        <v>0.60069444444444442</v>
      </c>
      <c r="BU234" t="s">
        <v>910</v>
      </c>
      <c r="BV234" t="s">
        <v>86</v>
      </c>
      <c r="BY234">
        <v>11670.75</v>
      </c>
      <c r="BZ234" t="s">
        <v>126</v>
      </c>
      <c r="CA234" t="s">
        <v>911</v>
      </c>
      <c r="CC234" t="s">
        <v>596</v>
      </c>
      <c r="CD234">
        <v>8800</v>
      </c>
      <c r="CE234" t="s">
        <v>912</v>
      </c>
      <c r="CF234" s="3">
        <v>45978</v>
      </c>
      <c r="CI234">
        <v>3</v>
      </c>
      <c r="CJ234">
        <v>3</v>
      </c>
      <c r="CK234">
        <v>23</v>
      </c>
      <c r="CL234" t="s">
        <v>89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"GAB2029743"</f>
        <v>GAB2029743</v>
      </c>
      <c r="F235" s="3">
        <v>45972</v>
      </c>
      <c r="G235">
        <v>202608</v>
      </c>
      <c r="H235" t="s">
        <v>75</v>
      </c>
      <c r="I235" t="s">
        <v>76</v>
      </c>
      <c r="J235" t="s">
        <v>77</v>
      </c>
      <c r="K235" t="s">
        <v>78</v>
      </c>
      <c r="L235" t="s">
        <v>169</v>
      </c>
      <c r="M235" t="s">
        <v>170</v>
      </c>
      <c r="N235" t="s">
        <v>913</v>
      </c>
      <c r="O235" t="s">
        <v>124</v>
      </c>
      <c r="P235" t="str">
        <f>"INVOICE00122606 CT098192      "</f>
        <v xml:space="preserve">INVOICE00122606 CT098192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32.07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0.3</v>
      </c>
      <c r="BJ235">
        <v>3</v>
      </c>
      <c r="BK235">
        <v>3</v>
      </c>
      <c r="BL235">
        <v>104.95</v>
      </c>
      <c r="BM235">
        <v>15.74</v>
      </c>
      <c r="BN235">
        <v>120.69</v>
      </c>
      <c r="BO235">
        <v>120.69</v>
      </c>
      <c r="BQ235" t="s">
        <v>914</v>
      </c>
      <c r="BR235" t="s">
        <v>84</v>
      </c>
      <c r="BS235" s="3">
        <v>45973</v>
      </c>
      <c r="BT235" s="4">
        <v>0.40347222222222223</v>
      </c>
      <c r="BU235" t="s">
        <v>915</v>
      </c>
      <c r="BV235" t="s">
        <v>86</v>
      </c>
      <c r="BY235">
        <v>15237.34</v>
      </c>
      <c r="BZ235" t="s">
        <v>126</v>
      </c>
      <c r="CA235" t="s">
        <v>916</v>
      </c>
      <c r="CC235" t="s">
        <v>170</v>
      </c>
      <c r="CD235">
        <v>2193</v>
      </c>
      <c r="CE235" t="s">
        <v>814</v>
      </c>
      <c r="CF235" s="3">
        <v>45973</v>
      </c>
      <c r="CI235">
        <v>1</v>
      </c>
      <c r="CJ235">
        <v>1</v>
      </c>
      <c r="CK235">
        <v>21</v>
      </c>
      <c r="CL235" t="s">
        <v>89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"GAB2029744"</f>
        <v>GAB2029744</v>
      </c>
      <c r="F236" s="3">
        <v>45972</v>
      </c>
      <c r="G236">
        <v>202608</v>
      </c>
      <c r="H236" t="s">
        <v>75</v>
      </c>
      <c r="I236" t="s">
        <v>76</v>
      </c>
      <c r="J236" t="s">
        <v>77</v>
      </c>
      <c r="K236" t="s">
        <v>78</v>
      </c>
      <c r="L236" t="s">
        <v>917</v>
      </c>
      <c r="M236" t="s">
        <v>918</v>
      </c>
      <c r="N236" t="s">
        <v>919</v>
      </c>
      <c r="O236" t="s">
        <v>124</v>
      </c>
      <c r="P236" t="str">
        <f>"INVOICE00041343 ORDGS038031   "</f>
        <v xml:space="preserve">INVOICE00041343 ORDGS038031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37.4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1.1000000000000001</v>
      </c>
      <c r="BJ236">
        <v>2.2999999999999998</v>
      </c>
      <c r="BK236">
        <v>2.5</v>
      </c>
      <c r="BL236">
        <v>122.39</v>
      </c>
      <c r="BM236">
        <v>18.36</v>
      </c>
      <c r="BN236">
        <v>140.75</v>
      </c>
      <c r="BO236">
        <v>140.75</v>
      </c>
      <c r="BQ236" t="s">
        <v>920</v>
      </c>
      <c r="BR236" t="s">
        <v>84</v>
      </c>
      <c r="BS236" s="3">
        <v>45973</v>
      </c>
      <c r="BT236" s="4">
        <v>0.43055555555555558</v>
      </c>
      <c r="BU236" t="s">
        <v>921</v>
      </c>
      <c r="BV236" t="s">
        <v>86</v>
      </c>
      <c r="BY236">
        <v>11448.64</v>
      </c>
      <c r="BZ236" t="s">
        <v>126</v>
      </c>
      <c r="CC236" t="s">
        <v>918</v>
      </c>
      <c r="CD236">
        <v>6740</v>
      </c>
      <c r="CE236" t="s">
        <v>907</v>
      </c>
      <c r="CF236" s="3">
        <v>45980</v>
      </c>
      <c r="CI236">
        <v>2</v>
      </c>
      <c r="CJ236">
        <v>1</v>
      </c>
      <c r="CK236">
        <v>24</v>
      </c>
      <c r="CL236" t="s">
        <v>89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"GAB2029745"</f>
        <v>GAB2029745</v>
      </c>
      <c r="F237" s="3">
        <v>45972</v>
      </c>
      <c r="G237">
        <v>202608</v>
      </c>
      <c r="H237" t="s">
        <v>75</v>
      </c>
      <c r="I237" t="s">
        <v>76</v>
      </c>
      <c r="J237" t="s">
        <v>77</v>
      </c>
      <c r="K237" t="s">
        <v>78</v>
      </c>
      <c r="L237" t="s">
        <v>447</v>
      </c>
      <c r="M237" t="s">
        <v>448</v>
      </c>
      <c r="N237" t="s">
        <v>922</v>
      </c>
      <c r="O237" t="s">
        <v>124</v>
      </c>
      <c r="P237" t="str">
        <f>"INVOICE00122607 CT098193      "</f>
        <v xml:space="preserve">INVOICE00122607 CT098193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21.38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0.4</v>
      </c>
      <c r="BJ237">
        <v>1.8</v>
      </c>
      <c r="BK237">
        <v>2</v>
      </c>
      <c r="BL237">
        <v>69.98</v>
      </c>
      <c r="BM237">
        <v>10.5</v>
      </c>
      <c r="BN237">
        <v>80.48</v>
      </c>
      <c r="BO237">
        <v>80.48</v>
      </c>
      <c r="BQ237" t="s">
        <v>923</v>
      </c>
      <c r="BR237" t="s">
        <v>84</v>
      </c>
      <c r="BS237" s="3">
        <v>45973</v>
      </c>
      <c r="BT237" s="4">
        <v>0.3576388888888889</v>
      </c>
      <c r="BU237" t="s">
        <v>924</v>
      </c>
      <c r="BV237" t="s">
        <v>86</v>
      </c>
      <c r="BY237">
        <v>8823.9599999999991</v>
      </c>
      <c r="BZ237" t="s">
        <v>126</v>
      </c>
      <c r="CA237" t="s">
        <v>925</v>
      </c>
      <c r="CC237" t="s">
        <v>448</v>
      </c>
      <c r="CD237">
        <v>1684</v>
      </c>
      <c r="CE237" t="s">
        <v>807</v>
      </c>
      <c r="CF237" s="3">
        <v>45973</v>
      </c>
      <c r="CI237">
        <v>1</v>
      </c>
      <c r="CJ237">
        <v>1</v>
      </c>
      <c r="CK237">
        <v>21</v>
      </c>
      <c r="CL237" t="s">
        <v>89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"GAB2029746"</f>
        <v>GAB2029746</v>
      </c>
      <c r="F238" s="3">
        <v>45972</v>
      </c>
      <c r="G238">
        <v>202608</v>
      </c>
      <c r="H238" t="s">
        <v>75</v>
      </c>
      <c r="I238" t="s">
        <v>76</v>
      </c>
      <c r="J238" t="s">
        <v>77</v>
      </c>
      <c r="K238" t="s">
        <v>78</v>
      </c>
      <c r="L238" t="s">
        <v>169</v>
      </c>
      <c r="M238" t="s">
        <v>170</v>
      </c>
      <c r="N238" t="s">
        <v>926</v>
      </c>
      <c r="O238" t="s">
        <v>124</v>
      </c>
      <c r="P238" t="str">
        <f>"INVOICE00041344 ORDGS038024   "</f>
        <v xml:space="preserve">INVOICE00041344 ORDGS038024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21.38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0.7</v>
      </c>
      <c r="BJ238">
        <v>1.7</v>
      </c>
      <c r="BK238">
        <v>2</v>
      </c>
      <c r="BL238">
        <v>69.98</v>
      </c>
      <c r="BM238">
        <v>10.5</v>
      </c>
      <c r="BN238">
        <v>80.48</v>
      </c>
      <c r="BO238">
        <v>80.48</v>
      </c>
      <c r="BQ238" t="s">
        <v>927</v>
      </c>
      <c r="BR238" t="s">
        <v>84</v>
      </c>
      <c r="BS238" s="3">
        <v>45973</v>
      </c>
      <c r="BT238" s="4">
        <v>0.35138888888888886</v>
      </c>
      <c r="BU238" t="s">
        <v>928</v>
      </c>
      <c r="BV238" t="s">
        <v>86</v>
      </c>
      <c r="BY238">
        <v>8534.7900000000009</v>
      </c>
      <c r="BZ238" t="s">
        <v>126</v>
      </c>
      <c r="CA238" t="s">
        <v>775</v>
      </c>
      <c r="CC238" t="s">
        <v>170</v>
      </c>
      <c r="CD238">
        <v>2055</v>
      </c>
      <c r="CE238" t="s">
        <v>929</v>
      </c>
      <c r="CF238" s="3">
        <v>45974</v>
      </c>
      <c r="CI238">
        <v>1</v>
      </c>
      <c r="CJ238">
        <v>1</v>
      </c>
      <c r="CK238">
        <v>21</v>
      </c>
      <c r="CL238" t="s">
        <v>89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"GAB2029747"</f>
        <v>GAB2029747</v>
      </c>
      <c r="F239" s="3">
        <v>45972</v>
      </c>
      <c r="G239">
        <v>202608</v>
      </c>
      <c r="H239" t="s">
        <v>75</v>
      </c>
      <c r="I239" t="s">
        <v>76</v>
      </c>
      <c r="J239" t="s">
        <v>77</v>
      </c>
      <c r="K239" t="s">
        <v>78</v>
      </c>
      <c r="L239" t="s">
        <v>169</v>
      </c>
      <c r="M239" t="s">
        <v>170</v>
      </c>
      <c r="N239" t="s">
        <v>930</v>
      </c>
      <c r="O239" t="s">
        <v>124</v>
      </c>
      <c r="P239" t="str">
        <f>"INVOICE00122610 CT098194      "</f>
        <v xml:space="preserve">INVOICE00122610 CT098194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21.38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0.2</v>
      </c>
      <c r="BJ239">
        <v>1.7</v>
      </c>
      <c r="BK239">
        <v>2</v>
      </c>
      <c r="BL239">
        <v>69.98</v>
      </c>
      <c r="BM239">
        <v>10.5</v>
      </c>
      <c r="BN239">
        <v>80.48</v>
      </c>
      <c r="BO239">
        <v>80.48</v>
      </c>
      <c r="BQ239" t="s">
        <v>931</v>
      </c>
      <c r="BR239" t="s">
        <v>84</v>
      </c>
      <c r="BS239" s="3">
        <v>45973</v>
      </c>
      <c r="BT239" s="4">
        <v>0.42777777777777776</v>
      </c>
      <c r="BU239" t="s">
        <v>932</v>
      </c>
      <c r="BV239" t="s">
        <v>86</v>
      </c>
      <c r="BY239">
        <v>8563.59</v>
      </c>
      <c r="BZ239" t="s">
        <v>126</v>
      </c>
      <c r="CA239" t="s">
        <v>933</v>
      </c>
      <c r="CC239" t="s">
        <v>170</v>
      </c>
      <c r="CD239">
        <v>2196</v>
      </c>
      <c r="CE239" t="s">
        <v>367</v>
      </c>
      <c r="CF239" s="3">
        <v>45974</v>
      </c>
      <c r="CI239">
        <v>1</v>
      </c>
      <c r="CJ239">
        <v>1</v>
      </c>
      <c r="CK239">
        <v>21</v>
      </c>
      <c r="CL239" t="s">
        <v>89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"GAB2029748"</f>
        <v>GAB2029748</v>
      </c>
      <c r="F240" s="3">
        <v>45972</v>
      </c>
      <c r="G240">
        <v>202608</v>
      </c>
      <c r="H240" t="s">
        <v>75</v>
      </c>
      <c r="I240" t="s">
        <v>76</v>
      </c>
      <c r="J240" t="s">
        <v>77</v>
      </c>
      <c r="K240" t="s">
        <v>78</v>
      </c>
      <c r="L240" t="s">
        <v>162</v>
      </c>
      <c r="M240" t="s">
        <v>163</v>
      </c>
      <c r="N240" t="s">
        <v>546</v>
      </c>
      <c r="O240" t="s">
        <v>124</v>
      </c>
      <c r="P240" t="str">
        <f>"INVOICE00041352 ORDGS038041   "</f>
        <v xml:space="preserve">INVOICE00041352 ORDGS038041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21.38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0.2</v>
      </c>
      <c r="BJ240">
        <v>1.9</v>
      </c>
      <c r="BK240">
        <v>2</v>
      </c>
      <c r="BL240">
        <v>69.98</v>
      </c>
      <c r="BM240">
        <v>10.5</v>
      </c>
      <c r="BN240">
        <v>80.48</v>
      </c>
      <c r="BO240">
        <v>80.48</v>
      </c>
      <c r="BQ240" t="s">
        <v>934</v>
      </c>
      <c r="BR240" t="s">
        <v>84</v>
      </c>
      <c r="BS240" s="3">
        <v>45973</v>
      </c>
      <c r="BT240" s="4">
        <v>0.35416666666666669</v>
      </c>
      <c r="BU240" t="s">
        <v>935</v>
      </c>
      <c r="BV240" t="s">
        <v>86</v>
      </c>
      <c r="BY240">
        <v>9449.4599999999991</v>
      </c>
      <c r="BZ240" t="s">
        <v>126</v>
      </c>
      <c r="CA240" t="s">
        <v>288</v>
      </c>
      <c r="CC240" t="s">
        <v>163</v>
      </c>
      <c r="CD240">
        <v>6001</v>
      </c>
      <c r="CE240" t="s">
        <v>367</v>
      </c>
      <c r="CF240" s="3">
        <v>45973</v>
      </c>
      <c r="CI240">
        <v>2</v>
      </c>
      <c r="CJ240">
        <v>1</v>
      </c>
      <c r="CK240">
        <v>21</v>
      </c>
      <c r="CL240" t="s">
        <v>89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"GAB2029749"</f>
        <v>GAB2029749</v>
      </c>
      <c r="F241" s="3">
        <v>45972</v>
      </c>
      <c r="G241">
        <v>202608</v>
      </c>
      <c r="H241" t="s">
        <v>75</v>
      </c>
      <c r="I241" t="s">
        <v>76</v>
      </c>
      <c r="J241" t="s">
        <v>77</v>
      </c>
      <c r="K241" t="s">
        <v>78</v>
      </c>
      <c r="L241" t="s">
        <v>650</v>
      </c>
      <c r="M241" t="s">
        <v>651</v>
      </c>
      <c r="N241" t="s">
        <v>652</v>
      </c>
      <c r="O241" t="s">
        <v>124</v>
      </c>
      <c r="P241" t="str">
        <f>"INVOICE00122615 CT098197      "</f>
        <v xml:space="preserve">INVOICE00122615 CT098197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50.78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0.3</v>
      </c>
      <c r="BJ241">
        <v>2.5</v>
      </c>
      <c r="BK241">
        <v>2.5</v>
      </c>
      <c r="BL241">
        <v>166.2</v>
      </c>
      <c r="BM241">
        <v>24.93</v>
      </c>
      <c r="BN241">
        <v>191.13</v>
      </c>
      <c r="BO241">
        <v>191.13</v>
      </c>
      <c r="BR241" t="s">
        <v>84</v>
      </c>
      <c r="BS241" s="3">
        <v>45973</v>
      </c>
      <c r="BT241" s="4">
        <v>0.39027777777777778</v>
      </c>
      <c r="BU241" t="s">
        <v>936</v>
      </c>
      <c r="BV241" t="s">
        <v>86</v>
      </c>
      <c r="BY241">
        <v>12264.39</v>
      </c>
      <c r="BZ241" t="s">
        <v>126</v>
      </c>
      <c r="CA241" t="s">
        <v>937</v>
      </c>
      <c r="CC241" t="s">
        <v>651</v>
      </c>
      <c r="CD241">
        <v>2571</v>
      </c>
      <c r="CE241" t="s">
        <v>149</v>
      </c>
      <c r="CF241" s="3">
        <v>45974</v>
      </c>
      <c r="CI241">
        <v>2</v>
      </c>
      <c r="CJ241">
        <v>1</v>
      </c>
      <c r="CK241">
        <v>23</v>
      </c>
      <c r="CL241" t="s">
        <v>89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"GAB2029750"</f>
        <v>GAB2029750</v>
      </c>
      <c r="F242" s="3">
        <v>45972</v>
      </c>
      <c r="G242">
        <v>202608</v>
      </c>
      <c r="H242" t="s">
        <v>75</v>
      </c>
      <c r="I242" t="s">
        <v>76</v>
      </c>
      <c r="J242" t="s">
        <v>77</v>
      </c>
      <c r="K242" t="s">
        <v>78</v>
      </c>
      <c r="L242" t="s">
        <v>938</v>
      </c>
      <c r="M242" t="s">
        <v>939</v>
      </c>
      <c r="N242" t="s">
        <v>940</v>
      </c>
      <c r="O242" t="s">
        <v>124</v>
      </c>
      <c r="P242" t="str">
        <f>"INVOICE00122616 CT098198      "</f>
        <v xml:space="preserve">INVOICE00122616 CT098198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26.73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0.5</v>
      </c>
      <c r="BJ242">
        <v>2.5</v>
      </c>
      <c r="BK242">
        <v>2.5</v>
      </c>
      <c r="BL242">
        <v>87.47</v>
      </c>
      <c r="BM242">
        <v>13.12</v>
      </c>
      <c r="BN242">
        <v>100.59</v>
      </c>
      <c r="BO242">
        <v>100.59</v>
      </c>
      <c r="BQ242" t="s">
        <v>941</v>
      </c>
      <c r="BR242" t="s">
        <v>84</v>
      </c>
      <c r="BS242" s="3">
        <v>45973</v>
      </c>
      <c r="BT242" s="4">
        <v>0.41597222222222224</v>
      </c>
      <c r="BU242" t="s">
        <v>942</v>
      </c>
      <c r="BV242" t="s">
        <v>86</v>
      </c>
      <c r="BY242">
        <v>12447.96</v>
      </c>
      <c r="BZ242" t="s">
        <v>126</v>
      </c>
      <c r="CA242" t="s">
        <v>393</v>
      </c>
      <c r="CC242" t="s">
        <v>939</v>
      </c>
      <c r="CD242">
        <v>2194</v>
      </c>
      <c r="CE242" t="s">
        <v>452</v>
      </c>
      <c r="CF242" s="3">
        <v>45973</v>
      </c>
      <c r="CI242">
        <v>1</v>
      </c>
      <c r="CJ242">
        <v>1</v>
      </c>
      <c r="CK242">
        <v>21</v>
      </c>
      <c r="CL242" t="s">
        <v>89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"GAB2029751"</f>
        <v>GAB2029751</v>
      </c>
      <c r="F243" s="3">
        <v>45972</v>
      </c>
      <c r="G243">
        <v>202608</v>
      </c>
      <c r="H243" t="s">
        <v>75</v>
      </c>
      <c r="I243" t="s">
        <v>76</v>
      </c>
      <c r="J243" t="s">
        <v>77</v>
      </c>
      <c r="K243" t="s">
        <v>78</v>
      </c>
      <c r="L243" t="s">
        <v>75</v>
      </c>
      <c r="M243" t="s">
        <v>76</v>
      </c>
      <c r="N243" t="s">
        <v>943</v>
      </c>
      <c r="O243" t="s">
        <v>124</v>
      </c>
      <c r="P243" t="str">
        <f>"INVOICE00122614 CT098185      "</f>
        <v xml:space="preserve">INVOICE00122614 CT098185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16.7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0.9</v>
      </c>
      <c r="BJ243">
        <v>2.6</v>
      </c>
      <c r="BK243">
        <v>3</v>
      </c>
      <c r="BL243">
        <v>54.66</v>
      </c>
      <c r="BM243">
        <v>8.1999999999999993</v>
      </c>
      <c r="BN243">
        <v>62.86</v>
      </c>
      <c r="BO243">
        <v>62.86</v>
      </c>
      <c r="BQ243" t="s">
        <v>944</v>
      </c>
      <c r="BR243" t="s">
        <v>84</v>
      </c>
      <c r="BS243" s="3">
        <v>45973</v>
      </c>
      <c r="BT243" s="4">
        <v>0.60833333333333328</v>
      </c>
      <c r="BU243" t="s">
        <v>945</v>
      </c>
      <c r="BV243" t="s">
        <v>89</v>
      </c>
      <c r="BW243" t="s">
        <v>413</v>
      </c>
      <c r="BX243" t="s">
        <v>666</v>
      </c>
      <c r="BY243">
        <v>13027.2</v>
      </c>
      <c r="BZ243" t="s">
        <v>126</v>
      </c>
      <c r="CA243" t="s">
        <v>523</v>
      </c>
      <c r="CC243" t="s">
        <v>76</v>
      </c>
      <c r="CD243">
        <v>7550</v>
      </c>
      <c r="CE243" t="s">
        <v>946</v>
      </c>
      <c r="CF243" s="3">
        <v>45974</v>
      </c>
      <c r="CI243">
        <v>1</v>
      </c>
      <c r="CJ243">
        <v>1</v>
      </c>
      <c r="CK243">
        <v>22</v>
      </c>
      <c r="CL243" t="s">
        <v>89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"GAB2029754"</f>
        <v>GAB2029754</v>
      </c>
      <c r="F244" s="3">
        <v>45972</v>
      </c>
      <c r="G244">
        <v>202608</v>
      </c>
      <c r="H244" t="s">
        <v>75</v>
      </c>
      <c r="I244" t="s">
        <v>76</v>
      </c>
      <c r="J244" t="s">
        <v>77</v>
      </c>
      <c r="K244" t="s">
        <v>78</v>
      </c>
      <c r="L244" t="s">
        <v>230</v>
      </c>
      <c r="M244" t="s">
        <v>231</v>
      </c>
      <c r="N244" t="s">
        <v>232</v>
      </c>
      <c r="O244" t="s">
        <v>124</v>
      </c>
      <c r="P244" t="str">
        <f>"INVOICE00041358 ORDGS038030   "</f>
        <v xml:space="preserve">INVOICE00041358 ORDGS038030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26.73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0.3</v>
      </c>
      <c r="BJ244">
        <v>2.1</v>
      </c>
      <c r="BK244">
        <v>2.5</v>
      </c>
      <c r="BL244">
        <v>87.47</v>
      </c>
      <c r="BM244">
        <v>13.12</v>
      </c>
      <c r="BN244">
        <v>100.59</v>
      </c>
      <c r="BO244">
        <v>100.59</v>
      </c>
      <c r="BQ244" t="s">
        <v>947</v>
      </c>
      <c r="BR244" t="s">
        <v>84</v>
      </c>
      <c r="BS244" s="3">
        <v>45973</v>
      </c>
      <c r="BT244" s="4">
        <v>0.32222222222222224</v>
      </c>
      <c r="BU244" t="s">
        <v>948</v>
      </c>
      <c r="BV244" t="s">
        <v>86</v>
      </c>
      <c r="BY244">
        <v>10341.450000000001</v>
      </c>
      <c r="BZ244" t="s">
        <v>126</v>
      </c>
      <c r="CA244">
        <v>8102155384080</v>
      </c>
      <c r="CC244" t="s">
        <v>231</v>
      </c>
      <c r="CD244" s="5" t="s">
        <v>235</v>
      </c>
      <c r="CE244" t="s">
        <v>949</v>
      </c>
      <c r="CF244" s="3">
        <v>45973</v>
      </c>
      <c r="CI244">
        <v>1</v>
      </c>
      <c r="CJ244">
        <v>1</v>
      </c>
      <c r="CK244">
        <v>21</v>
      </c>
      <c r="CL244" t="s">
        <v>89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"GAB2029755"</f>
        <v>GAB2029755</v>
      </c>
      <c r="F245" s="3">
        <v>45972</v>
      </c>
      <c r="G245">
        <v>202608</v>
      </c>
      <c r="H245" t="s">
        <v>75</v>
      </c>
      <c r="I245" t="s">
        <v>76</v>
      </c>
      <c r="J245" t="s">
        <v>77</v>
      </c>
      <c r="K245" t="s">
        <v>78</v>
      </c>
      <c r="L245" t="s">
        <v>246</v>
      </c>
      <c r="M245" t="s">
        <v>247</v>
      </c>
      <c r="N245" t="s">
        <v>849</v>
      </c>
      <c r="O245" t="s">
        <v>124</v>
      </c>
      <c r="P245" t="str">
        <f>"INVOICE00041361 ORDGS038048   "</f>
        <v xml:space="preserve">INVOICE00041361 ORDGS038048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32.07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0.3</v>
      </c>
      <c r="BJ245">
        <v>2.6</v>
      </c>
      <c r="BK245">
        <v>3</v>
      </c>
      <c r="BL245">
        <v>104.95</v>
      </c>
      <c r="BM245">
        <v>15.74</v>
      </c>
      <c r="BN245">
        <v>120.69</v>
      </c>
      <c r="BO245">
        <v>120.69</v>
      </c>
      <c r="BQ245" t="s">
        <v>950</v>
      </c>
      <c r="BR245" t="s">
        <v>84</v>
      </c>
      <c r="BS245" s="3">
        <v>45973</v>
      </c>
      <c r="BT245" s="4">
        <v>0.43472222222222223</v>
      </c>
      <c r="BU245" t="s">
        <v>951</v>
      </c>
      <c r="BV245" t="s">
        <v>86</v>
      </c>
      <c r="BY245">
        <v>12798.28</v>
      </c>
      <c r="BZ245" t="s">
        <v>126</v>
      </c>
      <c r="CC245" t="s">
        <v>247</v>
      </c>
      <c r="CD245">
        <v>9301</v>
      </c>
      <c r="CE245" t="s">
        <v>912</v>
      </c>
      <c r="CF245" s="3">
        <v>45974</v>
      </c>
      <c r="CI245">
        <v>2</v>
      </c>
      <c r="CJ245">
        <v>1</v>
      </c>
      <c r="CK245">
        <v>21</v>
      </c>
      <c r="CL245" t="s">
        <v>89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"GAB2029756"</f>
        <v>GAB2029756</v>
      </c>
      <c r="F246" s="3">
        <v>45972</v>
      </c>
      <c r="G246">
        <v>202608</v>
      </c>
      <c r="H246" t="s">
        <v>75</v>
      </c>
      <c r="I246" t="s">
        <v>76</v>
      </c>
      <c r="J246" t="s">
        <v>77</v>
      </c>
      <c r="K246" t="s">
        <v>78</v>
      </c>
      <c r="L246" t="s">
        <v>169</v>
      </c>
      <c r="M246" t="s">
        <v>170</v>
      </c>
      <c r="N246" t="s">
        <v>171</v>
      </c>
      <c r="O246" t="s">
        <v>124</v>
      </c>
      <c r="P246" t="str">
        <f>"INVOICE00041359 ORDGS038036   "</f>
        <v xml:space="preserve">INVOICE00041359 ORDGS038036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32.07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0.4</v>
      </c>
      <c r="BJ246">
        <v>2.6</v>
      </c>
      <c r="BK246">
        <v>3</v>
      </c>
      <c r="BL246">
        <v>104.95</v>
      </c>
      <c r="BM246">
        <v>15.74</v>
      </c>
      <c r="BN246">
        <v>120.69</v>
      </c>
      <c r="BO246">
        <v>120.69</v>
      </c>
      <c r="BQ246" t="s">
        <v>952</v>
      </c>
      <c r="BR246" t="s">
        <v>84</v>
      </c>
      <c r="BS246" s="3">
        <v>45973</v>
      </c>
      <c r="BT246" s="4">
        <v>0.4284722222222222</v>
      </c>
      <c r="BU246" t="s">
        <v>173</v>
      </c>
      <c r="BV246" t="s">
        <v>86</v>
      </c>
      <c r="BY246">
        <v>13234.83</v>
      </c>
      <c r="BZ246" t="s">
        <v>126</v>
      </c>
      <c r="CA246" t="s">
        <v>174</v>
      </c>
      <c r="CC246" t="s">
        <v>170</v>
      </c>
      <c r="CD246">
        <v>2007</v>
      </c>
      <c r="CE246" t="s">
        <v>953</v>
      </c>
      <c r="CF246" s="3">
        <v>45973</v>
      </c>
      <c r="CI246">
        <v>1</v>
      </c>
      <c r="CJ246">
        <v>1</v>
      </c>
      <c r="CK246">
        <v>21</v>
      </c>
      <c r="CL246" t="s">
        <v>89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"GAB2029757"</f>
        <v>GAB2029757</v>
      </c>
      <c r="F247" s="3">
        <v>45972</v>
      </c>
      <c r="G247">
        <v>202608</v>
      </c>
      <c r="H247" t="s">
        <v>75</v>
      </c>
      <c r="I247" t="s">
        <v>76</v>
      </c>
      <c r="J247" t="s">
        <v>77</v>
      </c>
      <c r="K247" t="s">
        <v>78</v>
      </c>
      <c r="L247" t="s">
        <v>169</v>
      </c>
      <c r="M247" t="s">
        <v>170</v>
      </c>
      <c r="N247" t="s">
        <v>954</v>
      </c>
      <c r="O247" t="s">
        <v>124</v>
      </c>
      <c r="P247" t="str">
        <f>"INVOICE00122624 CT098203      "</f>
        <v xml:space="preserve">INVOICE00122624 CT098203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26.73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</v>
      </c>
      <c r="BJ247">
        <v>2.2999999999999998</v>
      </c>
      <c r="BK247">
        <v>2.5</v>
      </c>
      <c r="BL247">
        <v>87.47</v>
      </c>
      <c r="BM247">
        <v>13.12</v>
      </c>
      <c r="BN247">
        <v>100.59</v>
      </c>
      <c r="BO247">
        <v>100.59</v>
      </c>
      <c r="BQ247" t="s">
        <v>955</v>
      </c>
      <c r="BR247" t="s">
        <v>84</v>
      </c>
      <c r="BS247" s="3">
        <v>45973</v>
      </c>
      <c r="BT247" s="4">
        <v>0.3840277777777778</v>
      </c>
      <c r="BU247" t="s">
        <v>956</v>
      </c>
      <c r="BV247" t="s">
        <v>86</v>
      </c>
      <c r="BY247">
        <v>11706.38</v>
      </c>
      <c r="BZ247" t="s">
        <v>126</v>
      </c>
      <c r="CA247" t="s">
        <v>378</v>
      </c>
      <c r="CC247" t="s">
        <v>170</v>
      </c>
      <c r="CD247">
        <v>2196</v>
      </c>
      <c r="CE247" t="s">
        <v>946</v>
      </c>
      <c r="CF247" s="3">
        <v>45973</v>
      </c>
      <c r="CI247">
        <v>1</v>
      </c>
      <c r="CJ247">
        <v>1</v>
      </c>
      <c r="CK247">
        <v>21</v>
      </c>
      <c r="CL247" t="s">
        <v>89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"GAB2029760"</f>
        <v>GAB2029760</v>
      </c>
      <c r="F248" s="3">
        <v>45972</v>
      </c>
      <c r="G248">
        <v>202608</v>
      </c>
      <c r="H248" t="s">
        <v>75</v>
      </c>
      <c r="I248" t="s">
        <v>76</v>
      </c>
      <c r="J248" t="s">
        <v>77</v>
      </c>
      <c r="K248" t="s">
        <v>78</v>
      </c>
      <c r="L248" t="s">
        <v>230</v>
      </c>
      <c r="M248" t="s">
        <v>231</v>
      </c>
      <c r="N248" t="s">
        <v>957</v>
      </c>
      <c r="O248" t="s">
        <v>124</v>
      </c>
      <c r="P248" t="str">
        <f>"INVOICE00122628 CT098205      "</f>
        <v xml:space="preserve">INVOICE00122628 CT098205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26.73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16.739999999999998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0.4</v>
      </c>
      <c r="BJ248">
        <v>2.5</v>
      </c>
      <c r="BK248">
        <v>2.5</v>
      </c>
      <c r="BL248">
        <v>104.21</v>
      </c>
      <c r="BM248">
        <v>15.63</v>
      </c>
      <c r="BN248">
        <v>119.84</v>
      </c>
      <c r="BO248">
        <v>119.84</v>
      </c>
      <c r="BQ248" t="s">
        <v>958</v>
      </c>
      <c r="BR248" t="s">
        <v>84</v>
      </c>
      <c r="BS248" s="3">
        <v>45974</v>
      </c>
      <c r="BT248" s="4">
        <v>0.68333333333333335</v>
      </c>
      <c r="BU248" t="s">
        <v>959</v>
      </c>
      <c r="BV248" t="s">
        <v>89</v>
      </c>
      <c r="BW248" t="s">
        <v>960</v>
      </c>
      <c r="BX248" t="s">
        <v>961</v>
      </c>
      <c r="BY248">
        <v>12529.6</v>
      </c>
      <c r="BZ248" t="s">
        <v>180</v>
      </c>
      <c r="CC248" t="s">
        <v>231</v>
      </c>
      <c r="CD248" s="5" t="s">
        <v>962</v>
      </c>
      <c r="CE248" t="s">
        <v>953</v>
      </c>
      <c r="CF248" s="3">
        <v>45976</v>
      </c>
      <c r="CI248">
        <v>1</v>
      </c>
      <c r="CJ248">
        <v>2</v>
      </c>
      <c r="CK248">
        <v>21</v>
      </c>
      <c r="CL248" t="s">
        <v>89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"GAB2029762"</f>
        <v>GAB2029762</v>
      </c>
      <c r="F249" s="3">
        <v>45972</v>
      </c>
      <c r="G249">
        <v>202608</v>
      </c>
      <c r="H249" t="s">
        <v>75</v>
      </c>
      <c r="I249" t="s">
        <v>76</v>
      </c>
      <c r="J249" t="s">
        <v>77</v>
      </c>
      <c r="K249" t="s">
        <v>78</v>
      </c>
      <c r="L249" t="s">
        <v>155</v>
      </c>
      <c r="M249" t="s">
        <v>156</v>
      </c>
      <c r="N249" t="s">
        <v>157</v>
      </c>
      <c r="O249" t="s">
        <v>124</v>
      </c>
      <c r="P249" t="str">
        <f>"INVOICE 00041374 ORDGS038058  "</f>
        <v xml:space="preserve">INVOICE 00041374 ORDGS038058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21.38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0.2</v>
      </c>
      <c r="BJ249">
        <v>2</v>
      </c>
      <c r="BK249">
        <v>2</v>
      </c>
      <c r="BL249">
        <v>69.98</v>
      </c>
      <c r="BM249">
        <v>10.5</v>
      </c>
      <c r="BN249">
        <v>80.48</v>
      </c>
      <c r="BO249">
        <v>80.48</v>
      </c>
      <c r="BQ249" t="s">
        <v>158</v>
      </c>
      <c r="BR249" t="s">
        <v>84</v>
      </c>
      <c r="BS249" s="3">
        <v>45973</v>
      </c>
      <c r="BT249" s="4">
        <v>0.30972222222222223</v>
      </c>
      <c r="BU249" t="s">
        <v>963</v>
      </c>
      <c r="BV249" t="s">
        <v>86</v>
      </c>
      <c r="BY249">
        <v>10125.36</v>
      </c>
      <c r="BZ249" t="s">
        <v>126</v>
      </c>
      <c r="CA249" t="s">
        <v>964</v>
      </c>
      <c r="CC249" t="s">
        <v>156</v>
      </c>
      <c r="CD249">
        <v>1416</v>
      </c>
      <c r="CE249" t="s">
        <v>965</v>
      </c>
      <c r="CF249" s="3">
        <v>45973</v>
      </c>
      <c r="CI249">
        <v>1</v>
      </c>
      <c r="CJ249">
        <v>1</v>
      </c>
      <c r="CK249">
        <v>21</v>
      </c>
      <c r="CL249" t="s">
        <v>89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"GAB2029765"</f>
        <v>GAB2029765</v>
      </c>
      <c r="F250" s="3">
        <v>45972</v>
      </c>
      <c r="G250">
        <v>202608</v>
      </c>
      <c r="H250" t="s">
        <v>75</v>
      </c>
      <c r="I250" t="s">
        <v>76</v>
      </c>
      <c r="J250" t="s">
        <v>77</v>
      </c>
      <c r="K250" t="s">
        <v>78</v>
      </c>
      <c r="L250" t="s">
        <v>75</v>
      </c>
      <c r="M250" t="s">
        <v>76</v>
      </c>
      <c r="N250" t="s">
        <v>966</v>
      </c>
      <c r="O250" t="s">
        <v>124</v>
      </c>
      <c r="P250" t="str">
        <f>"INVOICE 00122636 CT098209     "</f>
        <v xml:space="preserve">INVOICE 00122636 CT098209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16.7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0.2</v>
      </c>
      <c r="BJ250">
        <v>2</v>
      </c>
      <c r="BK250">
        <v>2</v>
      </c>
      <c r="BL250">
        <v>54.66</v>
      </c>
      <c r="BM250">
        <v>8.1999999999999993</v>
      </c>
      <c r="BN250">
        <v>62.86</v>
      </c>
      <c r="BO250">
        <v>62.86</v>
      </c>
      <c r="BQ250" t="s">
        <v>967</v>
      </c>
      <c r="BR250" t="s">
        <v>84</v>
      </c>
      <c r="BS250" s="3">
        <v>45973</v>
      </c>
      <c r="BT250" s="4">
        <v>0.5</v>
      </c>
      <c r="BU250" t="s">
        <v>968</v>
      </c>
      <c r="BV250" t="s">
        <v>89</v>
      </c>
      <c r="BW250" t="s">
        <v>413</v>
      </c>
      <c r="BX250" t="s">
        <v>969</v>
      </c>
      <c r="BY250">
        <v>9753.08</v>
      </c>
      <c r="BZ250" t="s">
        <v>126</v>
      </c>
      <c r="CA250" t="s">
        <v>484</v>
      </c>
      <c r="CC250" t="s">
        <v>76</v>
      </c>
      <c r="CD250">
        <v>7441</v>
      </c>
      <c r="CE250" t="s">
        <v>128</v>
      </c>
      <c r="CF250" s="3">
        <v>45974</v>
      </c>
      <c r="CI250">
        <v>1</v>
      </c>
      <c r="CJ250">
        <v>1</v>
      </c>
      <c r="CK250">
        <v>22</v>
      </c>
      <c r="CL250" t="s">
        <v>89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"GAB2029766"</f>
        <v>GAB2029766</v>
      </c>
      <c r="F251" s="3">
        <v>45972</v>
      </c>
      <c r="G251">
        <v>202608</v>
      </c>
      <c r="H251" t="s">
        <v>75</v>
      </c>
      <c r="I251" t="s">
        <v>76</v>
      </c>
      <c r="J251" t="s">
        <v>77</v>
      </c>
      <c r="K251" t="s">
        <v>78</v>
      </c>
      <c r="L251" t="s">
        <v>75</v>
      </c>
      <c r="M251" t="s">
        <v>76</v>
      </c>
      <c r="N251" t="s">
        <v>386</v>
      </c>
      <c r="O251" t="s">
        <v>124</v>
      </c>
      <c r="P251" t="str">
        <f>"INVOICE 00122634 CT098150     "</f>
        <v xml:space="preserve">INVOICE 00122634 CT098150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16.7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0.2</v>
      </c>
      <c r="BJ251">
        <v>2.4</v>
      </c>
      <c r="BK251">
        <v>3</v>
      </c>
      <c r="BL251">
        <v>54.66</v>
      </c>
      <c r="BM251">
        <v>8.1999999999999993</v>
      </c>
      <c r="BN251">
        <v>62.86</v>
      </c>
      <c r="BO251">
        <v>62.86</v>
      </c>
      <c r="BQ251" t="s">
        <v>970</v>
      </c>
      <c r="BR251" t="s">
        <v>84</v>
      </c>
      <c r="BS251" s="3">
        <v>45973</v>
      </c>
      <c r="BT251" s="4">
        <v>0.46319444444444446</v>
      </c>
      <c r="BU251" t="s">
        <v>388</v>
      </c>
      <c r="BV251" t="s">
        <v>89</v>
      </c>
      <c r="BW251" t="s">
        <v>413</v>
      </c>
      <c r="BX251" t="s">
        <v>747</v>
      </c>
      <c r="BY251">
        <v>11875.5</v>
      </c>
      <c r="BZ251" t="s">
        <v>126</v>
      </c>
      <c r="CA251" t="s">
        <v>389</v>
      </c>
      <c r="CC251" t="s">
        <v>76</v>
      </c>
      <c r="CD251">
        <v>7800</v>
      </c>
      <c r="CE251" t="s">
        <v>154</v>
      </c>
      <c r="CF251" s="3">
        <v>45974</v>
      </c>
      <c r="CI251">
        <v>1</v>
      </c>
      <c r="CJ251">
        <v>1</v>
      </c>
      <c r="CK251">
        <v>22</v>
      </c>
      <c r="CL251" t="s">
        <v>89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"GAB2029767"</f>
        <v>GAB2029767</v>
      </c>
      <c r="F252" s="3">
        <v>45972</v>
      </c>
      <c r="G252">
        <v>202608</v>
      </c>
      <c r="H252" t="s">
        <v>75</v>
      </c>
      <c r="I252" t="s">
        <v>76</v>
      </c>
      <c r="J252" t="s">
        <v>77</v>
      </c>
      <c r="K252" t="s">
        <v>78</v>
      </c>
      <c r="L252" t="s">
        <v>394</v>
      </c>
      <c r="M252" t="s">
        <v>395</v>
      </c>
      <c r="N252" t="s">
        <v>677</v>
      </c>
      <c r="O252" t="s">
        <v>124</v>
      </c>
      <c r="P252" t="str">
        <f>"INVOICE 00041384 ORDGS038051  "</f>
        <v xml:space="preserve">INVOICE 00041384 ORDGS038051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50.78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0.4</v>
      </c>
      <c r="BJ252">
        <v>2.2000000000000002</v>
      </c>
      <c r="BK252">
        <v>2.5</v>
      </c>
      <c r="BL252">
        <v>166.2</v>
      </c>
      <c r="BM252">
        <v>24.93</v>
      </c>
      <c r="BN252">
        <v>191.13</v>
      </c>
      <c r="BO252">
        <v>191.13</v>
      </c>
      <c r="BQ252" t="s">
        <v>971</v>
      </c>
      <c r="BR252" t="s">
        <v>84</v>
      </c>
      <c r="BS252" s="3">
        <v>45973</v>
      </c>
      <c r="BT252" s="4">
        <v>0.42777777777777776</v>
      </c>
      <c r="BU252" t="s">
        <v>972</v>
      </c>
      <c r="BV252" t="s">
        <v>86</v>
      </c>
      <c r="BY252">
        <v>11147.6</v>
      </c>
      <c r="BZ252" t="s">
        <v>126</v>
      </c>
      <c r="CA252" t="s">
        <v>973</v>
      </c>
      <c r="CC252" t="s">
        <v>395</v>
      </c>
      <c r="CD252" s="5" t="s">
        <v>399</v>
      </c>
      <c r="CE252" t="s">
        <v>452</v>
      </c>
      <c r="CF252" s="3">
        <v>45974</v>
      </c>
      <c r="CI252">
        <v>2</v>
      </c>
      <c r="CJ252">
        <v>1</v>
      </c>
      <c r="CK252">
        <v>23</v>
      </c>
      <c r="CL252" t="s">
        <v>89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"GAB2029768"</f>
        <v>GAB2029768</v>
      </c>
      <c r="F253" s="3">
        <v>45972</v>
      </c>
      <c r="G253">
        <v>202608</v>
      </c>
      <c r="H253" t="s">
        <v>75</v>
      </c>
      <c r="I253" t="s">
        <v>76</v>
      </c>
      <c r="J253" t="s">
        <v>77</v>
      </c>
      <c r="K253" t="s">
        <v>78</v>
      </c>
      <c r="L253" t="s">
        <v>79</v>
      </c>
      <c r="M253" t="s">
        <v>80</v>
      </c>
      <c r="N253" t="s">
        <v>81</v>
      </c>
      <c r="O253" t="s">
        <v>124</v>
      </c>
      <c r="P253" t="str">
        <f>"CT097873 - REPAIRED           "</f>
        <v xml:space="preserve">CT097873 - REPAIRED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26.73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0.3</v>
      </c>
      <c r="BJ253">
        <v>2.2999999999999998</v>
      </c>
      <c r="BK253">
        <v>2.5</v>
      </c>
      <c r="BL253">
        <v>87.47</v>
      </c>
      <c r="BM253">
        <v>13.12</v>
      </c>
      <c r="BN253">
        <v>100.59</v>
      </c>
      <c r="BO253">
        <v>100.59</v>
      </c>
      <c r="BQ253" t="s">
        <v>974</v>
      </c>
      <c r="BR253" t="s">
        <v>84</v>
      </c>
      <c r="BS253" s="3">
        <v>45973</v>
      </c>
      <c r="BT253" s="4">
        <v>0.36875000000000002</v>
      </c>
      <c r="BU253" t="s">
        <v>686</v>
      </c>
      <c r="BV253" t="s">
        <v>86</v>
      </c>
      <c r="BY253">
        <v>11463.12</v>
      </c>
      <c r="BZ253" t="s">
        <v>126</v>
      </c>
      <c r="CA253">
        <v>8601266266086</v>
      </c>
      <c r="CC253" t="s">
        <v>80</v>
      </c>
      <c r="CD253" s="5" t="s">
        <v>87</v>
      </c>
      <c r="CE253" t="s">
        <v>975</v>
      </c>
      <c r="CF253" s="3">
        <v>45973</v>
      </c>
      <c r="CI253">
        <v>1</v>
      </c>
      <c r="CJ253">
        <v>1</v>
      </c>
      <c r="CK253">
        <v>21</v>
      </c>
      <c r="CL253" t="s">
        <v>89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"009945158416"</f>
        <v>009945158416</v>
      </c>
      <c r="F254" s="3">
        <v>45972</v>
      </c>
      <c r="G254">
        <v>202608</v>
      </c>
      <c r="H254" t="s">
        <v>230</v>
      </c>
      <c r="I254" t="s">
        <v>231</v>
      </c>
      <c r="J254" t="s">
        <v>236</v>
      </c>
      <c r="K254" t="s">
        <v>78</v>
      </c>
      <c r="L254" t="s">
        <v>90</v>
      </c>
      <c r="M254" t="s">
        <v>91</v>
      </c>
      <c r="N254" t="s">
        <v>976</v>
      </c>
      <c r="O254" t="s">
        <v>124</v>
      </c>
      <c r="P254" t="str">
        <f>"NO REF                        "</f>
        <v xml:space="preserve">NO REF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21.38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1</v>
      </c>
      <c r="BJ254">
        <v>0.2</v>
      </c>
      <c r="BK254">
        <v>1</v>
      </c>
      <c r="BL254">
        <v>69.98</v>
      </c>
      <c r="BM254">
        <v>10.5</v>
      </c>
      <c r="BN254">
        <v>80.48</v>
      </c>
      <c r="BO254">
        <v>80.48</v>
      </c>
      <c r="BQ254" t="s">
        <v>977</v>
      </c>
      <c r="BR254" t="s">
        <v>241</v>
      </c>
      <c r="BS254" s="3">
        <v>45973</v>
      </c>
      <c r="BT254" s="4">
        <v>0.59513888888888888</v>
      </c>
      <c r="BU254" t="s">
        <v>978</v>
      </c>
      <c r="BV254" t="s">
        <v>89</v>
      </c>
      <c r="BW254" t="s">
        <v>979</v>
      </c>
      <c r="BX254" t="s">
        <v>980</v>
      </c>
      <c r="BY254">
        <v>1200</v>
      </c>
      <c r="BZ254" t="s">
        <v>126</v>
      </c>
      <c r="CC254" t="s">
        <v>91</v>
      </c>
      <c r="CD254">
        <v>4000</v>
      </c>
      <c r="CE254" t="s">
        <v>254</v>
      </c>
      <c r="CF254" s="3">
        <v>45974</v>
      </c>
      <c r="CI254">
        <v>1</v>
      </c>
      <c r="CJ254">
        <v>1</v>
      </c>
      <c r="CK254">
        <v>21</v>
      </c>
      <c r="CL254" t="s">
        <v>89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"009945158413"</f>
        <v>009945158413</v>
      </c>
      <c r="F255" s="3">
        <v>45972</v>
      </c>
      <c r="G255">
        <v>202608</v>
      </c>
      <c r="H255" t="s">
        <v>230</v>
      </c>
      <c r="I255" t="s">
        <v>231</v>
      </c>
      <c r="J255" t="s">
        <v>236</v>
      </c>
      <c r="K255" t="s">
        <v>78</v>
      </c>
      <c r="L255" t="s">
        <v>121</v>
      </c>
      <c r="M255" t="s">
        <v>122</v>
      </c>
      <c r="N255" t="s">
        <v>981</v>
      </c>
      <c r="O255" t="s">
        <v>124</v>
      </c>
      <c r="P255" t="str">
        <f>"NO REF                        "</f>
        <v xml:space="preserve">NO REF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21.38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1</v>
      </c>
      <c r="BJ255">
        <v>0.2</v>
      </c>
      <c r="BK255">
        <v>1</v>
      </c>
      <c r="BL255">
        <v>69.98</v>
      </c>
      <c r="BM255">
        <v>10.5</v>
      </c>
      <c r="BN255">
        <v>80.48</v>
      </c>
      <c r="BO255">
        <v>80.48</v>
      </c>
      <c r="BQ255" t="s">
        <v>982</v>
      </c>
      <c r="BR255" t="s">
        <v>241</v>
      </c>
      <c r="BS255" s="3">
        <v>45973</v>
      </c>
      <c r="BT255" s="4">
        <v>0.35416666666666669</v>
      </c>
      <c r="BU255" t="s">
        <v>982</v>
      </c>
      <c r="BV255" t="s">
        <v>86</v>
      </c>
      <c r="BY255">
        <v>1200</v>
      </c>
      <c r="BZ255" t="s">
        <v>126</v>
      </c>
      <c r="CA255" t="s">
        <v>983</v>
      </c>
      <c r="CC255" t="s">
        <v>122</v>
      </c>
      <c r="CD255">
        <v>1200</v>
      </c>
      <c r="CE255" t="s">
        <v>254</v>
      </c>
      <c r="CF255" s="3">
        <v>45973</v>
      </c>
      <c r="CI255">
        <v>1</v>
      </c>
      <c r="CJ255">
        <v>1</v>
      </c>
      <c r="CK255">
        <v>21</v>
      </c>
      <c r="CL255" t="s">
        <v>89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"009945158414"</f>
        <v>009945158414</v>
      </c>
      <c r="F256" s="3">
        <v>45972</v>
      </c>
      <c r="G256">
        <v>202608</v>
      </c>
      <c r="H256" t="s">
        <v>230</v>
      </c>
      <c r="I256" t="s">
        <v>231</v>
      </c>
      <c r="J256" t="s">
        <v>236</v>
      </c>
      <c r="K256" t="s">
        <v>78</v>
      </c>
      <c r="L256" t="s">
        <v>394</v>
      </c>
      <c r="M256" t="s">
        <v>395</v>
      </c>
      <c r="N256" t="s">
        <v>984</v>
      </c>
      <c r="O256" t="s">
        <v>124</v>
      </c>
      <c r="P256" t="str">
        <f>"NO REF                        "</f>
        <v xml:space="preserve">NO REF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41.43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1</v>
      </c>
      <c r="BJ256">
        <v>0.2</v>
      </c>
      <c r="BK256">
        <v>1</v>
      </c>
      <c r="BL256">
        <v>135.59</v>
      </c>
      <c r="BM256">
        <v>20.34</v>
      </c>
      <c r="BN256">
        <v>155.93</v>
      </c>
      <c r="BO256">
        <v>155.93</v>
      </c>
      <c r="BQ256" t="s">
        <v>985</v>
      </c>
      <c r="BR256" t="s">
        <v>241</v>
      </c>
      <c r="BS256" s="3">
        <v>45973</v>
      </c>
      <c r="BT256" s="4">
        <v>0.42777777777777776</v>
      </c>
      <c r="BU256" t="s">
        <v>986</v>
      </c>
      <c r="BV256" t="s">
        <v>86</v>
      </c>
      <c r="BY256">
        <v>1200</v>
      </c>
      <c r="BZ256" t="s">
        <v>126</v>
      </c>
      <c r="CA256" t="s">
        <v>398</v>
      </c>
      <c r="CC256" t="s">
        <v>395</v>
      </c>
      <c r="CD256" s="5" t="s">
        <v>399</v>
      </c>
      <c r="CE256" t="s">
        <v>254</v>
      </c>
      <c r="CF256" s="3">
        <v>45974</v>
      </c>
      <c r="CI256">
        <v>1</v>
      </c>
      <c r="CJ256">
        <v>1</v>
      </c>
      <c r="CK256">
        <v>23</v>
      </c>
      <c r="CL256" t="s">
        <v>89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"009945158417"</f>
        <v>009945158417</v>
      </c>
      <c r="F257" s="3">
        <v>45972</v>
      </c>
      <c r="G257">
        <v>202608</v>
      </c>
      <c r="H257" t="s">
        <v>230</v>
      </c>
      <c r="I257" t="s">
        <v>231</v>
      </c>
      <c r="J257" t="s">
        <v>236</v>
      </c>
      <c r="K257" t="s">
        <v>78</v>
      </c>
      <c r="L257" t="s">
        <v>75</v>
      </c>
      <c r="M257" t="s">
        <v>76</v>
      </c>
      <c r="N257" t="s">
        <v>976</v>
      </c>
      <c r="O257" t="s">
        <v>124</v>
      </c>
      <c r="P257" t="str">
        <f>"NO REF                        "</f>
        <v xml:space="preserve">NO REF  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21.38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1</v>
      </c>
      <c r="BJ257">
        <v>0.2</v>
      </c>
      <c r="BK257">
        <v>1</v>
      </c>
      <c r="BL257">
        <v>69.98</v>
      </c>
      <c r="BM257">
        <v>10.5</v>
      </c>
      <c r="BN257">
        <v>80.48</v>
      </c>
      <c r="BO257">
        <v>80.48</v>
      </c>
      <c r="BQ257" t="s">
        <v>987</v>
      </c>
      <c r="BR257" t="s">
        <v>241</v>
      </c>
      <c r="BS257" s="3">
        <v>45973</v>
      </c>
      <c r="BT257" s="4">
        <v>0.54374999999999996</v>
      </c>
      <c r="BU257" t="s">
        <v>988</v>
      </c>
      <c r="BV257" t="s">
        <v>89</v>
      </c>
      <c r="BW257" t="s">
        <v>413</v>
      </c>
      <c r="BX257" t="s">
        <v>716</v>
      </c>
      <c r="BY257">
        <v>1200</v>
      </c>
      <c r="BZ257" t="s">
        <v>126</v>
      </c>
      <c r="CA257" t="s">
        <v>508</v>
      </c>
      <c r="CC257" t="s">
        <v>76</v>
      </c>
      <c r="CD257">
        <v>7460</v>
      </c>
      <c r="CE257" t="s">
        <v>254</v>
      </c>
      <c r="CF257" s="3">
        <v>45974</v>
      </c>
      <c r="CI257">
        <v>1</v>
      </c>
      <c r="CJ257">
        <v>1</v>
      </c>
      <c r="CK257">
        <v>21</v>
      </c>
      <c r="CL257" t="s">
        <v>89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"009945158415"</f>
        <v>009945158415</v>
      </c>
      <c r="F258" s="3">
        <v>45972</v>
      </c>
      <c r="G258">
        <v>202608</v>
      </c>
      <c r="H258" t="s">
        <v>230</v>
      </c>
      <c r="I258" t="s">
        <v>231</v>
      </c>
      <c r="J258" t="s">
        <v>236</v>
      </c>
      <c r="K258" t="s">
        <v>78</v>
      </c>
      <c r="L258" t="s">
        <v>759</v>
      </c>
      <c r="M258" t="s">
        <v>760</v>
      </c>
      <c r="N258" t="s">
        <v>989</v>
      </c>
      <c r="O258" t="s">
        <v>124</v>
      </c>
      <c r="P258" t="str">
        <f>"NO REF                        "</f>
        <v xml:space="preserve">NO REF  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50.78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1.9</v>
      </c>
      <c r="BJ258">
        <v>2.4</v>
      </c>
      <c r="BK258">
        <v>2.5</v>
      </c>
      <c r="BL258">
        <v>166.2</v>
      </c>
      <c r="BM258">
        <v>24.93</v>
      </c>
      <c r="BN258">
        <v>191.13</v>
      </c>
      <c r="BO258">
        <v>191.13</v>
      </c>
      <c r="BQ258" t="s">
        <v>990</v>
      </c>
      <c r="BR258" t="s">
        <v>241</v>
      </c>
      <c r="BS258" s="3">
        <v>45973</v>
      </c>
      <c r="BT258" s="4">
        <v>0.43611111111111112</v>
      </c>
      <c r="BU258" t="s">
        <v>991</v>
      </c>
      <c r="BV258" t="s">
        <v>86</v>
      </c>
      <c r="BY258">
        <v>12090</v>
      </c>
      <c r="BZ258" t="s">
        <v>126</v>
      </c>
      <c r="CA258" t="s">
        <v>764</v>
      </c>
      <c r="CC258" t="s">
        <v>760</v>
      </c>
      <c r="CD258" s="5" t="s">
        <v>765</v>
      </c>
      <c r="CE258" t="s">
        <v>254</v>
      </c>
      <c r="CF258" s="3">
        <v>45974</v>
      </c>
      <c r="CI258">
        <v>1</v>
      </c>
      <c r="CJ258">
        <v>1</v>
      </c>
      <c r="CK258">
        <v>23</v>
      </c>
      <c r="CL258" t="s">
        <v>89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"GAB2029764"</f>
        <v>GAB2029764</v>
      </c>
      <c r="F259" s="3">
        <v>45972</v>
      </c>
      <c r="G259">
        <v>202608</v>
      </c>
      <c r="H259" t="s">
        <v>75</v>
      </c>
      <c r="I259" t="s">
        <v>76</v>
      </c>
      <c r="J259" t="s">
        <v>77</v>
      </c>
      <c r="K259" t="s">
        <v>78</v>
      </c>
      <c r="L259" t="s">
        <v>230</v>
      </c>
      <c r="M259" t="s">
        <v>231</v>
      </c>
      <c r="N259" t="s">
        <v>992</v>
      </c>
      <c r="O259" t="s">
        <v>82</v>
      </c>
      <c r="P259" t="str">
        <f>"invoice 00041375 ordgs038059  "</f>
        <v xml:space="preserve">invoice 00041375 ordgs038059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5.87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70.37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2</v>
      </c>
      <c r="BI259">
        <v>13.1</v>
      </c>
      <c r="BJ259">
        <v>31.1</v>
      </c>
      <c r="BK259">
        <v>32</v>
      </c>
      <c r="BL259">
        <v>236.18</v>
      </c>
      <c r="BM259">
        <v>35.43</v>
      </c>
      <c r="BN259">
        <v>271.61</v>
      </c>
      <c r="BO259">
        <v>271.61</v>
      </c>
      <c r="BR259" t="s">
        <v>84</v>
      </c>
      <c r="BS259" s="3">
        <v>45975</v>
      </c>
      <c r="BT259" s="4">
        <v>0.89166666666666672</v>
      </c>
      <c r="BU259" t="s">
        <v>993</v>
      </c>
      <c r="BV259" t="s">
        <v>86</v>
      </c>
      <c r="BY259">
        <v>155572.25</v>
      </c>
      <c r="CA259" t="s">
        <v>994</v>
      </c>
      <c r="CC259" t="s">
        <v>231</v>
      </c>
      <c r="CD259" s="5" t="s">
        <v>995</v>
      </c>
      <c r="CE259" t="s">
        <v>88</v>
      </c>
      <c r="CF259" s="3">
        <v>45975</v>
      </c>
      <c r="CI259">
        <v>3</v>
      </c>
      <c r="CJ259">
        <v>3</v>
      </c>
      <c r="CK259">
        <v>41</v>
      </c>
      <c r="CL259" t="s">
        <v>89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"080011673736"</f>
        <v>080011673736</v>
      </c>
      <c r="F260" s="3">
        <v>45973</v>
      </c>
      <c r="G260">
        <v>202608</v>
      </c>
      <c r="H260" t="s">
        <v>620</v>
      </c>
      <c r="I260" t="s">
        <v>621</v>
      </c>
      <c r="J260" t="s">
        <v>996</v>
      </c>
      <c r="K260" t="s">
        <v>78</v>
      </c>
      <c r="L260" t="s">
        <v>75</v>
      </c>
      <c r="M260" t="s">
        <v>76</v>
      </c>
      <c r="N260" t="s">
        <v>236</v>
      </c>
      <c r="O260" t="s">
        <v>124</v>
      </c>
      <c r="P260" t="str">
        <f>"-                             "</f>
        <v xml:space="preserve">-         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16.7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0.2</v>
      </c>
      <c r="BJ260">
        <v>2.2000000000000002</v>
      </c>
      <c r="BK260">
        <v>3</v>
      </c>
      <c r="BL260">
        <v>54.66</v>
      </c>
      <c r="BM260">
        <v>8.1999999999999993</v>
      </c>
      <c r="BN260">
        <v>62.86</v>
      </c>
      <c r="BO260">
        <v>62.86</v>
      </c>
      <c r="BQ260" t="s">
        <v>997</v>
      </c>
      <c r="BR260" t="s">
        <v>998</v>
      </c>
      <c r="BS260" s="3">
        <v>45974</v>
      </c>
      <c r="BT260" s="4">
        <v>0.45763888888888887</v>
      </c>
      <c r="BU260" t="s">
        <v>507</v>
      </c>
      <c r="BV260" t="s">
        <v>89</v>
      </c>
      <c r="BW260" t="s">
        <v>413</v>
      </c>
      <c r="BX260" t="s">
        <v>716</v>
      </c>
      <c r="BY260">
        <v>10854.6</v>
      </c>
      <c r="BZ260" t="s">
        <v>126</v>
      </c>
      <c r="CA260" t="s">
        <v>508</v>
      </c>
      <c r="CC260" t="s">
        <v>76</v>
      </c>
      <c r="CD260">
        <v>7460</v>
      </c>
      <c r="CE260" t="s">
        <v>245</v>
      </c>
      <c r="CF260" s="3">
        <v>45975</v>
      </c>
      <c r="CI260">
        <v>1</v>
      </c>
      <c r="CJ260">
        <v>1</v>
      </c>
      <c r="CK260">
        <v>22</v>
      </c>
      <c r="CL260" t="s">
        <v>89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"080011675420"</f>
        <v>080011675420</v>
      </c>
      <c r="F261" s="3">
        <v>45973</v>
      </c>
      <c r="G261">
        <v>202608</v>
      </c>
      <c r="H261" t="s">
        <v>330</v>
      </c>
      <c r="I261" t="s">
        <v>331</v>
      </c>
      <c r="J261" t="s">
        <v>999</v>
      </c>
      <c r="K261" t="s">
        <v>78</v>
      </c>
      <c r="L261" t="s">
        <v>75</v>
      </c>
      <c r="M261" t="s">
        <v>76</v>
      </c>
      <c r="N261" t="s">
        <v>236</v>
      </c>
      <c r="O261" t="s">
        <v>82</v>
      </c>
      <c r="P261" t="str">
        <f>"Hester                        "</f>
        <v xml:space="preserve">Hester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5.87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41.35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2</v>
      </c>
      <c r="BJ261">
        <v>0.4</v>
      </c>
      <c r="BK261">
        <v>2</v>
      </c>
      <c r="BL261">
        <v>141.19999999999999</v>
      </c>
      <c r="BM261">
        <v>21.18</v>
      </c>
      <c r="BN261">
        <v>162.38</v>
      </c>
      <c r="BO261">
        <v>162.38</v>
      </c>
      <c r="BQ261" t="s">
        <v>997</v>
      </c>
      <c r="BR261" t="s">
        <v>1000</v>
      </c>
      <c r="BS261" s="3">
        <v>45975</v>
      </c>
      <c r="BT261" s="4">
        <v>0.56111111111111112</v>
      </c>
      <c r="BU261" t="s">
        <v>988</v>
      </c>
      <c r="BV261" t="s">
        <v>86</v>
      </c>
      <c r="BY261">
        <v>1848</v>
      </c>
      <c r="BZ261" t="s">
        <v>505</v>
      </c>
      <c r="CA261" t="s">
        <v>508</v>
      </c>
      <c r="CC261" t="s">
        <v>76</v>
      </c>
      <c r="CD261">
        <v>7460</v>
      </c>
      <c r="CE261" t="s">
        <v>245</v>
      </c>
      <c r="CF261" s="3">
        <v>45978</v>
      </c>
      <c r="CI261">
        <v>3</v>
      </c>
      <c r="CJ261">
        <v>2</v>
      </c>
      <c r="CK261">
        <v>41</v>
      </c>
      <c r="CL261" t="s">
        <v>89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"GAB2029775"</f>
        <v>GAB2029775</v>
      </c>
      <c r="F262" s="3">
        <v>45973</v>
      </c>
      <c r="G262">
        <v>202608</v>
      </c>
      <c r="H262" t="s">
        <v>75</v>
      </c>
      <c r="I262" t="s">
        <v>76</v>
      </c>
      <c r="J262" t="s">
        <v>77</v>
      </c>
      <c r="K262" t="s">
        <v>78</v>
      </c>
      <c r="L262" t="s">
        <v>353</v>
      </c>
      <c r="M262" t="s">
        <v>354</v>
      </c>
      <c r="N262" t="s">
        <v>589</v>
      </c>
      <c r="O262" t="s">
        <v>82</v>
      </c>
      <c r="P262" t="str">
        <f>"INVOICE00041386 ORDGS038063   "</f>
        <v xml:space="preserve">INVOICE00041386 ORDGS038063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5.87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58.32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4.9000000000000004</v>
      </c>
      <c r="BJ262">
        <v>13.1</v>
      </c>
      <c r="BK262">
        <v>14</v>
      </c>
      <c r="BL262">
        <v>196.74</v>
      </c>
      <c r="BM262">
        <v>29.51</v>
      </c>
      <c r="BN262">
        <v>226.25</v>
      </c>
      <c r="BO262">
        <v>226.25</v>
      </c>
      <c r="BQ262" t="s">
        <v>93</v>
      </c>
      <c r="BR262" t="s">
        <v>84</v>
      </c>
      <c r="BS262" s="3">
        <v>45975</v>
      </c>
      <c r="BT262" s="4">
        <v>0.625</v>
      </c>
      <c r="BU262" t="s">
        <v>1001</v>
      </c>
      <c r="BV262" t="s">
        <v>86</v>
      </c>
      <c r="BY262">
        <v>65707.199999999997</v>
      </c>
      <c r="CC262" t="s">
        <v>354</v>
      </c>
      <c r="CD262">
        <v>1050</v>
      </c>
      <c r="CE262" t="s">
        <v>88</v>
      </c>
      <c r="CF262" s="3">
        <v>45975</v>
      </c>
      <c r="CI262">
        <v>2</v>
      </c>
      <c r="CJ262">
        <v>2</v>
      </c>
      <c r="CK262">
        <v>43</v>
      </c>
      <c r="CL262" t="s">
        <v>89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"GAB2029783"</f>
        <v>GAB2029783</v>
      </c>
      <c r="F263" s="3">
        <v>45973</v>
      </c>
      <c r="G263">
        <v>202608</v>
      </c>
      <c r="H263" t="s">
        <v>75</v>
      </c>
      <c r="I263" t="s">
        <v>76</v>
      </c>
      <c r="J263" t="s">
        <v>77</v>
      </c>
      <c r="K263" t="s">
        <v>78</v>
      </c>
      <c r="L263" t="s">
        <v>650</v>
      </c>
      <c r="M263" t="s">
        <v>651</v>
      </c>
      <c r="N263" t="s">
        <v>1002</v>
      </c>
      <c r="O263" t="s">
        <v>82</v>
      </c>
      <c r="P263" t="str">
        <f>"INVOICE00041389 ORDGS038075   "</f>
        <v xml:space="preserve">INVOICE00041389 ORDGS038075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5.87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58.32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2.6</v>
      </c>
      <c r="BJ263">
        <v>6.1</v>
      </c>
      <c r="BK263">
        <v>7</v>
      </c>
      <c r="BL263">
        <v>196.74</v>
      </c>
      <c r="BM263">
        <v>29.51</v>
      </c>
      <c r="BN263">
        <v>226.25</v>
      </c>
      <c r="BO263">
        <v>226.25</v>
      </c>
      <c r="BR263" t="s">
        <v>84</v>
      </c>
      <c r="BS263" s="3">
        <v>45979</v>
      </c>
      <c r="BT263" s="4">
        <v>0.43888888888888888</v>
      </c>
      <c r="BU263" t="s">
        <v>1003</v>
      </c>
      <c r="BV263" t="s">
        <v>89</v>
      </c>
      <c r="BW263" t="s">
        <v>830</v>
      </c>
      <c r="BX263" t="s">
        <v>1004</v>
      </c>
      <c r="BY263">
        <v>30523.5</v>
      </c>
      <c r="CA263" t="s">
        <v>1005</v>
      </c>
      <c r="CC263" t="s">
        <v>651</v>
      </c>
      <c r="CD263">
        <v>2571</v>
      </c>
      <c r="CE263" t="s">
        <v>103</v>
      </c>
      <c r="CF263" s="3">
        <v>45980</v>
      </c>
      <c r="CI263">
        <v>2</v>
      </c>
      <c r="CJ263">
        <v>4</v>
      </c>
      <c r="CK263">
        <v>43</v>
      </c>
      <c r="CL263" t="s">
        <v>89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"GAB2029792"</f>
        <v>GAB2029792</v>
      </c>
      <c r="F264" s="3">
        <v>45973</v>
      </c>
      <c r="G264">
        <v>202608</v>
      </c>
      <c r="H264" t="s">
        <v>75</v>
      </c>
      <c r="I264" t="s">
        <v>76</v>
      </c>
      <c r="J264" t="s">
        <v>77</v>
      </c>
      <c r="K264" t="s">
        <v>78</v>
      </c>
      <c r="L264" t="s">
        <v>230</v>
      </c>
      <c r="M264" t="s">
        <v>231</v>
      </c>
      <c r="N264" t="s">
        <v>1006</v>
      </c>
      <c r="O264" t="s">
        <v>82</v>
      </c>
      <c r="P264" t="str">
        <f>"INVOICES 00041403 OOO41401 ORD"</f>
        <v>INVOICES 00041403 OOO41401 ORD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5.87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92.57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3</v>
      </c>
      <c r="BI264">
        <v>19.100000000000001</v>
      </c>
      <c r="BJ264">
        <v>44.9</v>
      </c>
      <c r="BK264">
        <v>45</v>
      </c>
      <c r="BL264">
        <v>308.82</v>
      </c>
      <c r="BM264">
        <v>46.32</v>
      </c>
      <c r="BN264">
        <v>355.14</v>
      </c>
      <c r="BO264">
        <v>355.14</v>
      </c>
      <c r="BR264" t="s">
        <v>84</v>
      </c>
      <c r="BS264" s="3">
        <v>45981</v>
      </c>
      <c r="BT264" s="4">
        <v>0.64444444444444449</v>
      </c>
      <c r="BU264" t="s">
        <v>993</v>
      </c>
      <c r="BV264" t="s">
        <v>89</v>
      </c>
      <c r="BY264">
        <v>224278.59</v>
      </c>
      <c r="CA264" t="s">
        <v>994</v>
      </c>
      <c r="CC264" t="s">
        <v>231</v>
      </c>
      <c r="CD264" s="5" t="s">
        <v>382</v>
      </c>
      <c r="CE264" t="s">
        <v>103</v>
      </c>
      <c r="CF264" s="3">
        <v>45978</v>
      </c>
      <c r="CI264">
        <v>3</v>
      </c>
      <c r="CJ264">
        <v>6</v>
      </c>
      <c r="CK264">
        <v>41</v>
      </c>
      <c r="CL264" t="s">
        <v>89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"GAB2029795"</f>
        <v>GAB2029795</v>
      </c>
      <c r="F265" s="3">
        <v>45973</v>
      </c>
      <c r="G265">
        <v>202608</v>
      </c>
      <c r="H265" t="s">
        <v>75</v>
      </c>
      <c r="I265" t="s">
        <v>76</v>
      </c>
      <c r="J265" t="s">
        <v>77</v>
      </c>
      <c r="K265" t="s">
        <v>78</v>
      </c>
      <c r="L265" t="s">
        <v>429</v>
      </c>
      <c r="M265" t="s">
        <v>430</v>
      </c>
      <c r="N265" t="s">
        <v>1007</v>
      </c>
      <c r="O265" t="s">
        <v>82</v>
      </c>
      <c r="P265" t="str">
        <f>"INVOICE 00041405 ORDGS037784  "</f>
        <v xml:space="preserve">INVOICE 00041405 ORDGS037784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5.87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41.35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1.6</v>
      </c>
      <c r="BJ265">
        <v>5.7</v>
      </c>
      <c r="BK265">
        <v>6</v>
      </c>
      <c r="BL265">
        <v>141.19999999999999</v>
      </c>
      <c r="BM265">
        <v>21.18</v>
      </c>
      <c r="BN265">
        <v>162.38</v>
      </c>
      <c r="BO265">
        <v>162.38</v>
      </c>
      <c r="BQ265" t="s">
        <v>1008</v>
      </c>
      <c r="BR265" t="s">
        <v>84</v>
      </c>
      <c r="BS265" s="3">
        <v>45978</v>
      </c>
      <c r="BT265" s="4">
        <v>0.38819444444444445</v>
      </c>
      <c r="BU265" t="s">
        <v>1009</v>
      </c>
      <c r="BV265" t="s">
        <v>86</v>
      </c>
      <c r="BY265">
        <v>28633.5</v>
      </c>
      <c r="CA265" t="s">
        <v>1010</v>
      </c>
      <c r="CC265" t="s">
        <v>430</v>
      </c>
      <c r="CD265">
        <v>3201</v>
      </c>
      <c r="CE265" t="s">
        <v>103</v>
      </c>
      <c r="CF265" s="3">
        <v>45979</v>
      </c>
      <c r="CI265">
        <v>4</v>
      </c>
      <c r="CJ265">
        <v>3</v>
      </c>
      <c r="CK265">
        <v>41</v>
      </c>
      <c r="CL265" t="s">
        <v>89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"GAB2029770"</f>
        <v>GAB2029770</v>
      </c>
      <c r="F266" s="3">
        <v>45973</v>
      </c>
      <c r="G266">
        <v>202608</v>
      </c>
      <c r="H266" t="s">
        <v>75</v>
      </c>
      <c r="I266" t="s">
        <v>76</v>
      </c>
      <c r="J266" t="s">
        <v>77</v>
      </c>
      <c r="K266" t="s">
        <v>78</v>
      </c>
      <c r="L266" t="s">
        <v>230</v>
      </c>
      <c r="M266" t="s">
        <v>231</v>
      </c>
      <c r="N266" t="s">
        <v>335</v>
      </c>
      <c r="O266" t="s">
        <v>124</v>
      </c>
      <c r="P266" t="str">
        <f>"INVOICE00041385 ORDGS038056   "</f>
        <v xml:space="preserve">INVOICE00041385 ORDGS038056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26.73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1</v>
      </c>
      <c r="BJ266">
        <v>2.4</v>
      </c>
      <c r="BK266">
        <v>2.5</v>
      </c>
      <c r="BL266">
        <v>87.47</v>
      </c>
      <c r="BM266">
        <v>13.12</v>
      </c>
      <c r="BN266">
        <v>100.59</v>
      </c>
      <c r="BO266">
        <v>100.59</v>
      </c>
      <c r="BQ266" t="s">
        <v>1011</v>
      </c>
      <c r="BR266" t="s">
        <v>84</v>
      </c>
      <c r="BS266" s="3">
        <v>45974</v>
      </c>
      <c r="BT266" s="4">
        <v>0.32569444444444445</v>
      </c>
      <c r="BU266" t="s">
        <v>798</v>
      </c>
      <c r="BV266" t="s">
        <v>86</v>
      </c>
      <c r="BY266">
        <v>12000</v>
      </c>
      <c r="BZ266" t="s">
        <v>126</v>
      </c>
      <c r="CA266">
        <v>9107126013089</v>
      </c>
      <c r="CC266" t="s">
        <v>231</v>
      </c>
      <c r="CD266" s="5" t="s">
        <v>337</v>
      </c>
      <c r="CE266" t="s">
        <v>341</v>
      </c>
      <c r="CF266" s="3">
        <v>45974</v>
      </c>
      <c r="CI266">
        <v>1</v>
      </c>
      <c r="CJ266">
        <v>1</v>
      </c>
      <c r="CK266">
        <v>21</v>
      </c>
      <c r="CL266" t="s">
        <v>89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"GAB2029771"</f>
        <v>GAB2029771</v>
      </c>
      <c r="F267" s="3">
        <v>45973</v>
      </c>
      <c r="G267">
        <v>202608</v>
      </c>
      <c r="H267" t="s">
        <v>75</v>
      </c>
      <c r="I267" t="s">
        <v>76</v>
      </c>
      <c r="J267" t="s">
        <v>77</v>
      </c>
      <c r="K267" t="s">
        <v>78</v>
      </c>
      <c r="L267" t="s">
        <v>75</v>
      </c>
      <c r="M267" t="s">
        <v>76</v>
      </c>
      <c r="N267" t="s">
        <v>1012</v>
      </c>
      <c r="O267" t="s">
        <v>124</v>
      </c>
      <c r="P267" t="str">
        <f>"INVOICE00122645 CT098213      "</f>
        <v xml:space="preserve">INVOICE00122645 CT098213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16.7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0.3</v>
      </c>
      <c r="BJ267">
        <v>1.9</v>
      </c>
      <c r="BK267">
        <v>2</v>
      </c>
      <c r="BL267">
        <v>54.66</v>
      </c>
      <c r="BM267">
        <v>8.1999999999999993</v>
      </c>
      <c r="BN267">
        <v>62.86</v>
      </c>
      <c r="BO267">
        <v>62.86</v>
      </c>
      <c r="BQ267" t="s">
        <v>1013</v>
      </c>
      <c r="BR267" t="s">
        <v>84</v>
      </c>
      <c r="BS267" s="3">
        <v>45974</v>
      </c>
      <c r="BT267" s="4">
        <v>0.41666666666666669</v>
      </c>
      <c r="BU267" t="s">
        <v>1014</v>
      </c>
      <c r="BV267" t="s">
        <v>86</v>
      </c>
      <c r="BY267">
        <v>9481.5</v>
      </c>
      <c r="BZ267" t="s">
        <v>126</v>
      </c>
      <c r="CC267" t="s">
        <v>76</v>
      </c>
      <c r="CD267">
        <v>7550</v>
      </c>
      <c r="CE267" t="s">
        <v>843</v>
      </c>
      <c r="CF267" s="3">
        <v>45975</v>
      </c>
      <c r="CI267">
        <v>1</v>
      </c>
      <c r="CJ267">
        <v>1</v>
      </c>
      <c r="CK267">
        <v>22</v>
      </c>
      <c r="CL267" t="s">
        <v>89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"GAB2029772"</f>
        <v>GAB2029772</v>
      </c>
      <c r="F268" s="3">
        <v>45973</v>
      </c>
      <c r="G268">
        <v>202608</v>
      </c>
      <c r="H268" t="s">
        <v>75</v>
      </c>
      <c r="I268" t="s">
        <v>76</v>
      </c>
      <c r="J268" t="s">
        <v>77</v>
      </c>
      <c r="K268" t="s">
        <v>78</v>
      </c>
      <c r="L268" t="s">
        <v>207</v>
      </c>
      <c r="M268" t="s">
        <v>208</v>
      </c>
      <c r="N268" t="s">
        <v>209</v>
      </c>
      <c r="O268" t="s">
        <v>124</v>
      </c>
      <c r="P268" t="str">
        <f>"INVOICE00122644 CT098212      "</f>
        <v xml:space="preserve">INVOICE00122644 CT098212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21.38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0.3</v>
      </c>
      <c r="BJ268">
        <v>2</v>
      </c>
      <c r="BK268">
        <v>2</v>
      </c>
      <c r="BL268">
        <v>69.98</v>
      </c>
      <c r="BM268">
        <v>10.5</v>
      </c>
      <c r="BN268">
        <v>80.48</v>
      </c>
      <c r="BO268">
        <v>80.48</v>
      </c>
      <c r="BQ268" t="s">
        <v>210</v>
      </c>
      <c r="BR268" t="s">
        <v>84</v>
      </c>
      <c r="BS268" s="3">
        <v>45975</v>
      </c>
      <c r="BT268" s="4">
        <v>0.41666666666666669</v>
      </c>
      <c r="BU268" t="s">
        <v>1015</v>
      </c>
      <c r="BV268" t="s">
        <v>86</v>
      </c>
      <c r="BY268">
        <v>10120.950000000001</v>
      </c>
      <c r="BZ268" t="s">
        <v>126</v>
      </c>
      <c r="CC268" t="s">
        <v>208</v>
      </c>
      <c r="CD268">
        <v>8301</v>
      </c>
      <c r="CE268" t="s">
        <v>843</v>
      </c>
      <c r="CF268" s="3">
        <v>45978</v>
      </c>
      <c r="CI268">
        <v>2</v>
      </c>
      <c r="CJ268">
        <v>2</v>
      </c>
      <c r="CK268">
        <v>21</v>
      </c>
      <c r="CL268" t="s">
        <v>89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"GAB2029774"</f>
        <v>GAB2029774</v>
      </c>
      <c r="F269" s="3">
        <v>45973</v>
      </c>
      <c r="G269">
        <v>202608</v>
      </c>
      <c r="H269" t="s">
        <v>75</v>
      </c>
      <c r="I269" t="s">
        <v>76</v>
      </c>
      <c r="J269" t="s">
        <v>77</v>
      </c>
      <c r="K269" t="s">
        <v>78</v>
      </c>
      <c r="L269" t="s">
        <v>75</v>
      </c>
      <c r="M269" t="s">
        <v>76</v>
      </c>
      <c r="N269" t="s">
        <v>1016</v>
      </c>
      <c r="O269" t="s">
        <v>124</v>
      </c>
      <c r="P269" t="str">
        <f>"INVOICE00122643 CT098211      "</f>
        <v xml:space="preserve">INVOICE00122643 CT098211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16.7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0.2</v>
      </c>
      <c r="BJ269">
        <v>1.9</v>
      </c>
      <c r="BK269">
        <v>2</v>
      </c>
      <c r="BL269">
        <v>54.66</v>
      </c>
      <c r="BM269">
        <v>8.1999999999999993</v>
      </c>
      <c r="BN269">
        <v>62.86</v>
      </c>
      <c r="BO269">
        <v>62.86</v>
      </c>
      <c r="BQ269" t="s">
        <v>1017</v>
      </c>
      <c r="BR269" t="s">
        <v>84</v>
      </c>
      <c r="BS269" s="3">
        <v>45974</v>
      </c>
      <c r="BT269" s="4">
        <v>0.40416666666666667</v>
      </c>
      <c r="BU269" t="s">
        <v>1018</v>
      </c>
      <c r="BV269" t="s">
        <v>86</v>
      </c>
      <c r="BY269">
        <v>9547.5</v>
      </c>
      <c r="BZ269" t="s">
        <v>126</v>
      </c>
      <c r="CA269" t="s">
        <v>530</v>
      </c>
      <c r="CC269" t="s">
        <v>76</v>
      </c>
      <c r="CD269">
        <v>8001</v>
      </c>
      <c r="CE269" t="s">
        <v>367</v>
      </c>
      <c r="CF269" s="3">
        <v>45975</v>
      </c>
      <c r="CI269">
        <v>1</v>
      </c>
      <c r="CJ269">
        <v>1</v>
      </c>
      <c r="CK269">
        <v>22</v>
      </c>
      <c r="CL269" t="s">
        <v>89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"GAB2029776"</f>
        <v>GAB2029776</v>
      </c>
      <c r="F270" s="3">
        <v>45973</v>
      </c>
      <c r="G270">
        <v>202608</v>
      </c>
      <c r="H270" t="s">
        <v>75</v>
      </c>
      <c r="I270" t="s">
        <v>76</v>
      </c>
      <c r="J270" t="s">
        <v>77</v>
      </c>
      <c r="K270" t="s">
        <v>78</v>
      </c>
      <c r="L270" t="s">
        <v>90</v>
      </c>
      <c r="M270" t="s">
        <v>91</v>
      </c>
      <c r="N270" t="s">
        <v>1019</v>
      </c>
      <c r="O270" t="s">
        <v>124</v>
      </c>
      <c r="P270" t="str">
        <f>"INVOICE00041388 ORDGS038071   "</f>
        <v xml:space="preserve">INVOICE00041388 ORDGS038071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26.73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0.3</v>
      </c>
      <c r="BJ270">
        <v>2.5</v>
      </c>
      <c r="BK270">
        <v>2.5</v>
      </c>
      <c r="BL270">
        <v>87.47</v>
      </c>
      <c r="BM270">
        <v>13.12</v>
      </c>
      <c r="BN270">
        <v>100.59</v>
      </c>
      <c r="BO270">
        <v>100.59</v>
      </c>
      <c r="BQ270" t="s">
        <v>1020</v>
      </c>
      <c r="BR270" t="s">
        <v>84</v>
      </c>
      <c r="BS270" s="3">
        <v>45975</v>
      </c>
      <c r="BT270" s="4">
        <v>0.41597222222222224</v>
      </c>
      <c r="BU270" t="s">
        <v>1021</v>
      </c>
      <c r="BV270" t="s">
        <v>86</v>
      </c>
      <c r="BY270">
        <v>12503.21</v>
      </c>
      <c r="BZ270" t="s">
        <v>126</v>
      </c>
      <c r="CA270" t="s">
        <v>1022</v>
      </c>
      <c r="CC270" t="s">
        <v>91</v>
      </c>
      <c r="CD270">
        <v>4092</v>
      </c>
      <c r="CE270" t="s">
        <v>814</v>
      </c>
      <c r="CF270" s="3">
        <v>45975</v>
      </c>
      <c r="CI270">
        <v>2</v>
      </c>
      <c r="CJ270">
        <v>2</v>
      </c>
      <c r="CK270">
        <v>21</v>
      </c>
      <c r="CL270" t="s">
        <v>89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"GAB2029777"</f>
        <v>GAB2029777</v>
      </c>
      <c r="F271" s="3">
        <v>45973</v>
      </c>
      <c r="G271">
        <v>202608</v>
      </c>
      <c r="H271" t="s">
        <v>75</v>
      </c>
      <c r="I271" t="s">
        <v>76</v>
      </c>
      <c r="J271" t="s">
        <v>77</v>
      </c>
      <c r="K271" t="s">
        <v>78</v>
      </c>
      <c r="L271" t="s">
        <v>212</v>
      </c>
      <c r="M271" t="s">
        <v>213</v>
      </c>
      <c r="N271" t="s">
        <v>410</v>
      </c>
      <c r="O271" t="s">
        <v>124</v>
      </c>
      <c r="P271" t="str">
        <f>"INVOICE00041387 ORDGS038064   "</f>
        <v xml:space="preserve">INVOICE00041387 ORDGS038064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21.38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0.3</v>
      </c>
      <c r="BJ271">
        <v>1.8</v>
      </c>
      <c r="BK271">
        <v>2</v>
      </c>
      <c r="BL271">
        <v>69.98</v>
      </c>
      <c r="BM271">
        <v>10.5</v>
      </c>
      <c r="BN271">
        <v>80.48</v>
      </c>
      <c r="BO271">
        <v>80.48</v>
      </c>
      <c r="BQ271" t="s">
        <v>411</v>
      </c>
      <c r="BR271" t="s">
        <v>84</v>
      </c>
      <c r="BS271" s="3">
        <v>45974</v>
      </c>
      <c r="BT271" s="4">
        <v>0.49930555555555556</v>
      </c>
      <c r="BU271" t="s">
        <v>1023</v>
      </c>
      <c r="BV271" t="s">
        <v>89</v>
      </c>
      <c r="BW271" t="s">
        <v>216</v>
      </c>
      <c r="BX271" t="s">
        <v>217</v>
      </c>
      <c r="BY271">
        <v>9037.5</v>
      </c>
      <c r="BZ271" t="s">
        <v>126</v>
      </c>
      <c r="CA271" t="s">
        <v>414</v>
      </c>
      <c r="CC271" t="s">
        <v>213</v>
      </c>
      <c r="CD271">
        <v>5201</v>
      </c>
      <c r="CE271" t="s">
        <v>843</v>
      </c>
      <c r="CF271" s="3">
        <v>45975</v>
      </c>
      <c r="CI271">
        <v>1</v>
      </c>
      <c r="CJ271">
        <v>1</v>
      </c>
      <c r="CK271">
        <v>21</v>
      </c>
      <c r="CL271" t="s">
        <v>89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"GAB2029778"</f>
        <v>GAB2029778</v>
      </c>
      <c r="F272" s="3">
        <v>45973</v>
      </c>
      <c r="G272">
        <v>202608</v>
      </c>
      <c r="H272" t="s">
        <v>75</v>
      </c>
      <c r="I272" t="s">
        <v>76</v>
      </c>
      <c r="J272" t="s">
        <v>77</v>
      </c>
      <c r="K272" t="s">
        <v>78</v>
      </c>
      <c r="L272" t="s">
        <v>509</v>
      </c>
      <c r="M272" t="s">
        <v>510</v>
      </c>
      <c r="N272" t="s">
        <v>1024</v>
      </c>
      <c r="O272" t="s">
        <v>124</v>
      </c>
      <c r="P272" t="str">
        <f>"INVOICE00122649 CT098215      "</f>
        <v xml:space="preserve">INVOICE00122649 CT098215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21.38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16.739999999999998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0.2</v>
      </c>
      <c r="BJ272">
        <v>1.8</v>
      </c>
      <c r="BK272">
        <v>2</v>
      </c>
      <c r="BL272">
        <v>86.72</v>
      </c>
      <c r="BM272">
        <v>13.01</v>
      </c>
      <c r="BN272">
        <v>99.73</v>
      </c>
      <c r="BO272">
        <v>99.73</v>
      </c>
      <c r="BR272" t="s">
        <v>84</v>
      </c>
      <c r="BS272" s="3">
        <v>45974</v>
      </c>
      <c r="BT272" s="4">
        <v>0.35416666666666669</v>
      </c>
      <c r="BU272" t="s">
        <v>1025</v>
      </c>
      <c r="BV272" t="s">
        <v>86</v>
      </c>
      <c r="BY272">
        <v>9087.2000000000007</v>
      </c>
      <c r="BZ272" t="s">
        <v>180</v>
      </c>
      <c r="CA272" t="s">
        <v>1026</v>
      </c>
      <c r="CC272" t="s">
        <v>510</v>
      </c>
      <c r="CD272">
        <v>1632</v>
      </c>
      <c r="CE272" t="s">
        <v>367</v>
      </c>
      <c r="CF272" s="3">
        <v>45974</v>
      </c>
      <c r="CI272">
        <v>1</v>
      </c>
      <c r="CJ272">
        <v>1</v>
      </c>
      <c r="CK272">
        <v>21</v>
      </c>
      <c r="CL272" t="s">
        <v>89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"GAB2029779"</f>
        <v>GAB2029779</v>
      </c>
      <c r="F273" s="3">
        <v>45973</v>
      </c>
      <c r="G273">
        <v>202608</v>
      </c>
      <c r="H273" t="s">
        <v>75</v>
      </c>
      <c r="I273" t="s">
        <v>76</v>
      </c>
      <c r="J273" t="s">
        <v>77</v>
      </c>
      <c r="K273" t="s">
        <v>78</v>
      </c>
      <c r="L273" t="s">
        <v>75</v>
      </c>
      <c r="M273" t="s">
        <v>76</v>
      </c>
      <c r="N273" t="s">
        <v>804</v>
      </c>
      <c r="O273" t="s">
        <v>124</v>
      </c>
      <c r="P273" t="str">
        <f>"INVOICE00122650 CT098217      "</f>
        <v xml:space="preserve">INVOICE00122650 CT098217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16.7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0.2</v>
      </c>
      <c r="BJ273">
        <v>1.8</v>
      </c>
      <c r="BK273">
        <v>2</v>
      </c>
      <c r="BL273">
        <v>54.66</v>
      </c>
      <c r="BM273">
        <v>8.1999999999999993</v>
      </c>
      <c r="BN273">
        <v>62.86</v>
      </c>
      <c r="BO273">
        <v>62.86</v>
      </c>
      <c r="BQ273" t="s">
        <v>753</v>
      </c>
      <c r="BR273" t="s">
        <v>84</v>
      </c>
      <c r="BS273" s="3">
        <v>45974</v>
      </c>
      <c r="BT273" s="4">
        <v>0.42777777777777776</v>
      </c>
      <c r="BU273" t="s">
        <v>754</v>
      </c>
      <c r="BV273" t="s">
        <v>86</v>
      </c>
      <c r="BY273">
        <v>9215.64</v>
      </c>
      <c r="BZ273" t="s">
        <v>126</v>
      </c>
      <c r="CA273" t="s">
        <v>755</v>
      </c>
      <c r="CC273" t="s">
        <v>76</v>
      </c>
      <c r="CD273">
        <v>7441</v>
      </c>
      <c r="CE273" t="s">
        <v>367</v>
      </c>
      <c r="CF273" s="3">
        <v>45975</v>
      </c>
      <c r="CI273">
        <v>1</v>
      </c>
      <c r="CJ273">
        <v>1</v>
      </c>
      <c r="CK273">
        <v>22</v>
      </c>
      <c r="CL273" t="s">
        <v>89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"GAB2029780"</f>
        <v>GAB2029780</v>
      </c>
      <c r="F274" s="3">
        <v>45973</v>
      </c>
      <c r="G274">
        <v>202608</v>
      </c>
      <c r="H274" t="s">
        <v>75</v>
      </c>
      <c r="I274" t="s">
        <v>76</v>
      </c>
      <c r="J274" t="s">
        <v>77</v>
      </c>
      <c r="K274" t="s">
        <v>78</v>
      </c>
      <c r="L274" t="s">
        <v>465</v>
      </c>
      <c r="M274" t="s">
        <v>466</v>
      </c>
      <c r="N274" t="s">
        <v>467</v>
      </c>
      <c r="O274" t="s">
        <v>124</v>
      </c>
      <c r="P274" t="str">
        <f>"INVOICE00122651 CT098218      "</f>
        <v xml:space="preserve">INVOICE00122651 CT098218 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50.78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0.3</v>
      </c>
      <c r="BJ274">
        <v>2.2999999999999998</v>
      </c>
      <c r="BK274">
        <v>2.5</v>
      </c>
      <c r="BL274">
        <v>166.2</v>
      </c>
      <c r="BM274">
        <v>24.93</v>
      </c>
      <c r="BN274">
        <v>191.13</v>
      </c>
      <c r="BO274">
        <v>191.13</v>
      </c>
      <c r="BQ274" t="s">
        <v>468</v>
      </c>
      <c r="BR274" t="s">
        <v>84</v>
      </c>
      <c r="BS274" s="3">
        <v>45974</v>
      </c>
      <c r="BT274" s="4">
        <v>0.38541666666666669</v>
      </c>
      <c r="BU274" t="s">
        <v>1027</v>
      </c>
      <c r="BV274" t="s">
        <v>86</v>
      </c>
      <c r="BY274">
        <v>11726.68</v>
      </c>
      <c r="BZ274" t="s">
        <v>126</v>
      </c>
      <c r="CA274" t="s">
        <v>1028</v>
      </c>
      <c r="CC274" t="s">
        <v>466</v>
      </c>
      <c r="CD274">
        <v>2515</v>
      </c>
      <c r="CE274" t="s">
        <v>953</v>
      </c>
      <c r="CF274" s="3">
        <v>45974</v>
      </c>
      <c r="CI274">
        <v>1</v>
      </c>
      <c r="CJ274">
        <v>1</v>
      </c>
      <c r="CK274">
        <v>23</v>
      </c>
      <c r="CL274" t="s">
        <v>89</v>
      </c>
    </row>
    <row r="275" spans="1:90" x14ac:dyDescent="0.3">
      <c r="A275" t="s">
        <v>72</v>
      </c>
      <c r="B275" t="s">
        <v>73</v>
      </c>
      <c r="C275" t="s">
        <v>74</v>
      </c>
      <c r="E275" t="str">
        <f>"GAB2029784"</f>
        <v>GAB2029784</v>
      </c>
      <c r="F275" s="3">
        <v>45973</v>
      </c>
      <c r="G275">
        <v>202608</v>
      </c>
      <c r="H275" t="s">
        <v>75</v>
      </c>
      <c r="I275" t="s">
        <v>76</v>
      </c>
      <c r="J275" t="s">
        <v>77</v>
      </c>
      <c r="K275" t="s">
        <v>78</v>
      </c>
      <c r="L275" t="s">
        <v>169</v>
      </c>
      <c r="M275" t="s">
        <v>170</v>
      </c>
      <c r="N275" t="s">
        <v>1029</v>
      </c>
      <c r="O275" t="s">
        <v>124</v>
      </c>
      <c r="P275" t="str">
        <f>"INVOICE00122654 CT098221      "</f>
        <v xml:space="preserve">INVOICE00122654 CT098221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26.73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16.739999999999998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1</v>
      </c>
      <c r="BI275">
        <v>0.2</v>
      </c>
      <c r="BJ275">
        <v>2.1</v>
      </c>
      <c r="BK275">
        <v>2.5</v>
      </c>
      <c r="BL275">
        <v>104.21</v>
      </c>
      <c r="BM275">
        <v>15.63</v>
      </c>
      <c r="BN275">
        <v>119.84</v>
      </c>
      <c r="BO275">
        <v>119.84</v>
      </c>
      <c r="BR275" t="s">
        <v>84</v>
      </c>
      <c r="BS275" s="3">
        <v>45974</v>
      </c>
      <c r="BT275" s="4">
        <v>0.44027777777777777</v>
      </c>
      <c r="BU275" t="s">
        <v>1030</v>
      </c>
      <c r="BV275" t="s">
        <v>86</v>
      </c>
      <c r="BY275">
        <v>10636.22</v>
      </c>
      <c r="BZ275" t="s">
        <v>180</v>
      </c>
      <c r="CA275">
        <v>8309225483087</v>
      </c>
      <c r="CC275" t="s">
        <v>170</v>
      </c>
      <c r="CD275">
        <v>1827</v>
      </c>
      <c r="CE275" t="s">
        <v>843</v>
      </c>
      <c r="CF275" s="3">
        <v>45975</v>
      </c>
      <c r="CI275">
        <v>0</v>
      </c>
      <c r="CJ275">
        <v>0</v>
      </c>
      <c r="CK275">
        <v>21</v>
      </c>
      <c r="CL275" t="s">
        <v>89</v>
      </c>
    </row>
    <row r="276" spans="1:90" x14ac:dyDescent="0.3">
      <c r="A276" t="s">
        <v>72</v>
      </c>
      <c r="B276" t="s">
        <v>73</v>
      </c>
      <c r="C276" t="s">
        <v>74</v>
      </c>
      <c r="E276" t="str">
        <f>"GAB2029785"</f>
        <v>GAB2029785</v>
      </c>
      <c r="F276" s="3">
        <v>45973</v>
      </c>
      <c r="G276">
        <v>202608</v>
      </c>
      <c r="H276" t="s">
        <v>75</v>
      </c>
      <c r="I276" t="s">
        <v>76</v>
      </c>
      <c r="J276" t="s">
        <v>77</v>
      </c>
      <c r="K276" t="s">
        <v>78</v>
      </c>
      <c r="L276" t="s">
        <v>75</v>
      </c>
      <c r="M276" t="s">
        <v>76</v>
      </c>
      <c r="N276" t="s">
        <v>1031</v>
      </c>
      <c r="O276" t="s">
        <v>124</v>
      </c>
      <c r="P276" t="str">
        <f>"INVOICE00122656 CT098220      "</f>
        <v xml:space="preserve">INVOICE00122656 CT098220 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16.7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1</v>
      </c>
      <c r="BI276">
        <v>0.7</v>
      </c>
      <c r="BJ276">
        <v>1.9</v>
      </c>
      <c r="BK276">
        <v>2</v>
      </c>
      <c r="BL276">
        <v>54.66</v>
      </c>
      <c r="BM276">
        <v>8.1999999999999993</v>
      </c>
      <c r="BN276">
        <v>62.86</v>
      </c>
      <c r="BO276">
        <v>62.86</v>
      </c>
      <c r="BR276" t="s">
        <v>84</v>
      </c>
      <c r="BS276" s="3">
        <v>45974</v>
      </c>
      <c r="BT276" s="4">
        <v>0.38541666666666669</v>
      </c>
      <c r="BU276" t="s">
        <v>1032</v>
      </c>
      <c r="BV276" t="s">
        <v>86</v>
      </c>
      <c r="BY276">
        <v>9465.6</v>
      </c>
      <c r="BZ276" t="s">
        <v>126</v>
      </c>
      <c r="CA276" t="s">
        <v>373</v>
      </c>
      <c r="CC276" t="s">
        <v>76</v>
      </c>
      <c r="CD276">
        <v>7700</v>
      </c>
      <c r="CE276" t="s">
        <v>1033</v>
      </c>
      <c r="CF276" s="3">
        <v>45975</v>
      </c>
      <c r="CI276">
        <v>1</v>
      </c>
      <c r="CJ276">
        <v>1</v>
      </c>
      <c r="CK276">
        <v>22</v>
      </c>
      <c r="CL276" t="s">
        <v>89</v>
      </c>
    </row>
    <row r="277" spans="1:90" x14ac:dyDescent="0.3">
      <c r="A277" t="s">
        <v>72</v>
      </c>
      <c r="B277" t="s">
        <v>73</v>
      </c>
      <c r="C277" t="s">
        <v>74</v>
      </c>
      <c r="E277" t="str">
        <f>"GAB2029789"</f>
        <v>GAB2029789</v>
      </c>
      <c r="F277" s="3">
        <v>45973</v>
      </c>
      <c r="G277">
        <v>202608</v>
      </c>
      <c r="H277" t="s">
        <v>75</v>
      </c>
      <c r="I277" t="s">
        <v>76</v>
      </c>
      <c r="J277" t="s">
        <v>77</v>
      </c>
      <c r="K277" t="s">
        <v>78</v>
      </c>
      <c r="L277" t="s">
        <v>189</v>
      </c>
      <c r="M277" t="s">
        <v>190</v>
      </c>
      <c r="N277" t="s">
        <v>890</v>
      </c>
      <c r="O277" t="s">
        <v>124</v>
      </c>
      <c r="P277" t="str">
        <f>"MICHELLE FICK                 "</f>
        <v xml:space="preserve">MICHELLE FICK            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41.43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1</v>
      </c>
      <c r="BI277">
        <v>0.3</v>
      </c>
      <c r="BJ277">
        <v>1.8</v>
      </c>
      <c r="BK277">
        <v>2</v>
      </c>
      <c r="BL277">
        <v>135.59</v>
      </c>
      <c r="BM277">
        <v>20.34</v>
      </c>
      <c r="BN277">
        <v>155.93</v>
      </c>
      <c r="BO277">
        <v>155.93</v>
      </c>
      <c r="BQ277" t="s">
        <v>1034</v>
      </c>
      <c r="BR277" t="s">
        <v>84</v>
      </c>
      <c r="BS277" s="3">
        <v>45974</v>
      </c>
      <c r="BT277" s="4">
        <v>0.625</v>
      </c>
      <c r="BU277" t="s">
        <v>1035</v>
      </c>
      <c r="BV277" t="s">
        <v>86</v>
      </c>
      <c r="BY277">
        <v>8977.5</v>
      </c>
      <c r="BZ277" t="s">
        <v>126</v>
      </c>
      <c r="CC277" t="s">
        <v>190</v>
      </c>
      <c r="CD277">
        <v>6506</v>
      </c>
      <c r="CE277" t="s">
        <v>493</v>
      </c>
      <c r="CF277" s="3">
        <v>45975</v>
      </c>
      <c r="CI277">
        <v>1</v>
      </c>
      <c r="CJ277">
        <v>1</v>
      </c>
      <c r="CK277">
        <v>23</v>
      </c>
      <c r="CL277" t="s">
        <v>89</v>
      </c>
    </row>
    <row r="278" spans="1:90" x14ac:dyDescent="0.3">
      <c r="A278" t="s">
        <v>72</v>
      </c>
      <c r="B278" t="s">
        <v>73</v>
      </c>
      <c r="C278" t="s">
        <v>74</v>
      </c>
      <c r="E278" t="str">
        <f>"GAB2029790"</f>
        <v>GAB2029790</v>
      </c>
      <c r="F278" s="3">
        <v>45973</v>
      </c>
      <c r="G278">
        <v>202608</v>
      </c>
      <c r="H278" t="s">
        <v>75</v>
      </c>
      <c r="I278" t="s">
        <v>76</v>
      </c>
      <c r="J278" t="s">
        <v>77</v>
      </c>
      <c r="K278" t="s">
        <v>78</v>
      </c>
      <c r="L278" t="s">
        <v>175</v>
      </c>
      <c r="M278" t="s">
        <v>176</v>
      </c>
      <c r="N278" t="s">
        <v>177</v>
      </c>
      <c r="O278" t="s">
        <v>124</v>
      </c>
      <c r="P278" t="str">
        <f>"INVOICES 00122661 00122658 CT0"</f>
        <v>INVOICES 00122661 00122658 CT0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50.78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16.739999999999998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1</v>
      </c>
      <c r="BI278">
        <v>0.5</v>
      </c>
      <c r="BJ278">
        <v>2.2000000000000002</v>
      </c>
      <c r="BK278">
        <v>2.5</v>
      </c>
      <c r="BL278">
        <v>182.94</v>
      </c>
      <c r="BM278">
        <v>27.44</v>
      </c>
      <c r="BN278">
        <v>210.38</v>
      </c>
      <c r="BO278">
        <v>210.38</v>
      </c>
      <c r="BQ278" t="s">
        <v>251</v>
      </c>
      <c r="BR278" t="s">
        <v>84</v>
      </c>
      <c r="BS278" s="3">
        <v>45975</v>
      </c>
      <c r="BT278" s="4">
        <v>0.36805555555555558</v>
      </c>
      <c r="BU278" t="s">
        <v>1036</v>
      </c>
      <c r="BV278" t="s">
        <v>86</v>
      </c>
      <c r="BY278">
        <v>10818.89</v>
      </c>
      <c r="BZ278" t="s">
        <v>180</v>
      </c>
      <c r="CA278" t="s">
        <v>594</v>
      </c>
      <c r="CC278" t="s">
        <v>176</v>
      </c>
      <c r="CD278">
        <v>2745</v>
      </c>
      <c r="CE278" t="s">
        <v>383</v>
      </c>
      <c r="CF278" s="3">
        <v>45978</v>
      </c>
      <c r="CI278">
        <v>2</v>
      </c>
      <c r="CJ278">
        <v>2</v>
      </c>
      <c r="CK278">
        <v>23</v>
      </c>
      <c r="CL278" t="s">
        <v>89</v>
      </c>
    </row>
    <row r="279" spans="1:90" x14ac:dyDescent="0.3">
      <c r="A279" t="s">
        <v>72</v>
      </c>
      <c r="B279" t="s">
        <v>73</v>
      </c>
      <c r="C279" t="s">
        <v>74</v>
      </c>
      <c r="E279" t="str">
        <f>"GAB2029791"</f>
        <v>GAB2029791</v>
      </c>
      <c r="F279" s="3">
        <v>45973</v>
      </c>
      <c r="G279">
        <v>202608</v>
      </c>
      <c r="H279" t="s">
        <v>75</v>
      </c>
      <c r="I279" t="s">
        <v>76</v>
      </c>
      <c r="J279" t="s">
        <v>77</v>
      </c>
      <c r="K279" t="s">
        <v>78</v>
      </c>
      <c r="L279" t="s">
        <v>79</v>
      </c>
      <c r="M279" t="s">
        <v>80</v>
      </c>
      <c r="N279" t="s">
        <v>1037</v>
      </c>
      <c r="O279" t="s">
        <v>124</v>
      </c>
      <c r="P279" t="str">
        <f>"INVOICES 00122639 00122640 CT0"</f>
        <v>INVOICES 00122639 00122640 CT0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26.73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0.5</v>
      </c>
      <c r="BJ279">
        <v>2.5</v>
      </c>
      <c r="BK279">
        <v>2.5</v>
      </c>
      <c r="BL279">
        <v>87.47</v>
      </c>
      <c r="BM279">
        <v>13.12</v>
      </c>
      <c r="BN279">
        <v>100.59</v>
      </c>
      <c r="BO279">
        <v>100.59</v>
      </c>
      <c r="BQ279" t="s">
        <v>1038</v>
      </c>
      <c r="BR279" t="s">
        <v>84</v>
      </c>
      <c r="BS279" s="3">
        <v>45974</v>
      </c>
      <c r="BT279" s="4">
        <v>0.34375</v>
      </c>
      <c r="BU279" t="s">
        <v>323</v>
      </c>
      <c r="BV279" t="s">
        <v>86</v>
      </c>
      <c r="BY279">
        <v>12555.27</v>
      </c>
      <c r="BZ279" t="s">
        <v>126</v>
      </c>
      <c r="CA279">
        <v>9512275238082</v>
      </c>
      <c r="CC279" t="s">
        <v>80</v>
      </c>
      <c r="CD279" s="5" t="s">
        <v>87</v>
      </c>
      <c r="CE279" t="s">
        <v>1039</v>
      </c>
      <c r="CF279" s="3">
        <v>45974</v>
      </c>
      <c r="CI279">
        <v>1</v>
      </c>
      <c r="CJ279">
        <v>1</v>
      </c>
      <c r="CK279">
        <v>21</v>
      </c>
      <c r="CL279" t="s">
        <v>89</v>
      </c>
    </row>
    <row r="280" spans="1:90" x14ac:dyDescent="0.3">
      <c r="A280" t="s">
        <v>72</v>
      </c>
      <c r="B280" t="s">
        <v>73</v>
      </c>
      <c r="C280" t="s">
        <v>74</v>
      </c>
      <c r="E280" t="str">
        <f>"GAB2029793"</f>
        <v>GAB2029793</v>
      </c>
      <c r="F280" s="3">
        <v>45973</v>
      </c>
      <c r="G280">
        <v>202608</v>
      </c>
      <c r="H280" t="s">
        <v>75</v>
      </c>
      <c r="I280" t="s">
        <v>76</v>
      </c>
      <c r="J280" t="s">
        <v>77</v>
      </c>
      <c r="K280" t="s">
        <v>78</v>
      </c>
      <c r="L280" t="s">
        <v>620</v>
      </c>
      <c r="M280" t="s">
        <v>621</v>
      </c>
      <c r="N280" t="s">
        <v>712</v>
      </c>
      <c r="O280" t="s">
        <v>124</v>
      </c>
      <c r="P280" t="str">
        <f>"INCOICE 00041402 ORDGS037977  "</f>
        <v xml:space="preserve">INCOICE 00041402 ORDGS037977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30.07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1</v>
      </c>
      <c r="BI280">
        <v>0.2</v>
      </c>
      <c r="BJ280">
        <v>1.7</v>
      </c>
      <c r="BK280">
        <v>2</v>
      </c>
      <c r="BL280">
        <v>98.42</v>
      </c>
      <c r="BM280">
        <v>14.76</v>
      </c>
      <c r="BN280">
        <v>113.18</v>
      </c>
      <c r="BO280">
        <v>113.18</v>
      </c>
      <c r="BQ280" t="s">
        <v>1040</v>
      </c>
      <c r="BR280" t="s">
        <v>84</v>
      </c>
      <c r="BS280" s="3">
        <v>45974</v>
      </c>
      <c r="BT280" s="4">
        <v>0.45833333333333331</v>
      </c>
      <c r="BU280" t="s">
        <v>1041</v>
      </c>
      <c r="BV280" t="s">
        <v>86</v>
      </c>
      <c r="BY280">
        <v>8259.4500000000007</v>
      </c>
      <c r="BZ280" t="s">
        <v>126</v>
      </c>
      <c r="CA280" t="s">
        <v>625</v>
      </c>
      <c r="CC280" t="s">
        <v>621</v>
      </c>
      <c r="CD280">
        <v>7130</v>
      </c>
      <c r="CE280" t="s">
        <v>367</v>
      </c>
      <c r="CF280" s="3">
        <v>45975</v>
      </c>
      <c r="CI280">
        <v>1</v>
      </c>
      <c r="CJ280">
        <v>1</v>
      </c>
      <c r="CK280">
        <v>24</v>
      </c>
      <c r="CL280" t="s">
        <v>89</v>
      </c>
    </row>
    <row r="281" spans="1:90" x14ac:dyDescent="0.3">
      <c r="A281" t="s">
        <v>72</v>
      </c>
      <c r="B281" t="s">
        <v>73</v>
      </c>
      <c r="C281" t="s">
        <v>74</v>
      </c>
      <c r="E281" t="str">
        <f>"GAB2029794"</f>
        <v>GAB2029794</v>
      </c>
      <c r="F281" s="3">
        <v>45973</v>
      </c>
      <c r="G281">
        <v>202608</v>
      </c>
      <c r="H281" t="s">
        <v>75</v>
      </c>
      <c r="I281" t="s">
        <v>76</v>
      </c>
      <c r="J281" t="s">
        <v>77</v>
      </c>
      <c r="K281" t="s">
        <v>78</v>
      </c>
      <c r="L281" t="s">
        <v>182</v>
      </c>
      <c r="M281" t="s">
        <v>183</v>
      </c>
      <c r="N281" t="s">
        <v>1042</v>
      </c>
      <c r="O281" t="s">
        <v>124</v>
      </c>
      <c r="P281" t="str">
        <f>"INVOICE 00041404 ORDGS037990  "</f>
        <v xml:space="preserve">INVOICE 00041404 ORDGS037990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50.78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16.739999999999998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1</v>
      </c>
      <c r="BI281">
        <v>1.2</v>
      </c>
      <c r="BJ281">
        <v>2.4</v>
      </c>
      <c r="BK281">
        <v>2.5</v>
      </c>
      <c r="BL281">
        <v>182.94</v>
      </c>
      <c r="BM281">
        <v>27.44</v>
      </c>
      <c r="BN281">
        <v>210.38</v>
      </c>
      <c r="BO281">
        <v>210.38</v>
      </c>
      <c r="BQ281" t="s">
        <v>185</v>
      </c>
      <c r="BR281" t="s">
        <v>84</v>
      </c>
      <c r="BS281" s="3">
        <v>45975</v>
      </c>
      <c r="BT281" s="4">
        <v>0.5625</v>
      </c>
      <c r="BU281" t="s">
        <v>1043</v>
      </c>
      <c r="BV281" t="s">
        <v>86</v>
      </c>
      <c r="BY281">
        <v>12175.2</v>
      </c>
      <c r="BZ281" t="s">
        <v>180</v>
      </c>
      <c r="CA281" t="s">
        <v>187</v>
      </c>
      <c r="CC281" t="s">
        <v>183</v>
      </c>
      <c r="CD281">
        <v>9866</v>
      </c>
      <c r="CE281" t="s">
        <v>1044</v>
      </c>
      <c r="CF281" s="3">
        <v>45978</v>
      </c>
      <c r="CI281">
        <v>2</v>
      </c>
      <c r="CJ281">
        <v>2</v>
      </c>
      <c r="CK281">
        <v>23</v>
      </c>
      <c r="CL281" t="s">
        <v>89</v>
      </c>
    </row>
    <row r="282" spans="1:90" x14ac:dyDescent="0.3">
      <c r="A282" t="s">
        <v>72</v>
      </c>
      <c r="B282" t="s">
        <v>73</v>
      </c>
      <c r="C282" t="s">
        <v>74</v>
      </c>
      <c r="E282" t="str">
        <f>"GAB2029796"</f>
        <v>GAB2029796</v>
      </c>
      <c r="F282" s="3">
        <v>45973</v>
      </c>
      <c r="G282">
        <v>202608</v>
      </c>
      <c r="H282" t="s">
        <v>75</v>
      </c>
      <c r="I282" t="s">
        <v>76</v>
      </c>
      <c r="J282" t="s">
        <v>77</v>
      </c>
      <c r="K282" t="s">
        <v>78</v>
      </c>
      <c r="L282" t="s">
        <v>274</v>
      </c>
      <c r="M282" t="s">
        <v>275</v>
      </c>
      <c r="N282" t="s">
        <v>299</v>
      </c>
      <c r="O282" t="s">
        <v>124</v>
      </c>
      <c r="P282" t="str">
        <f>"INVOICE00122660 CT098228      "</f>
        <v xml:space="preserve">INVOICE00122660 CT098228  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41.43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1</v>
      </c>
      <c r="BI282">
        <v>0.6</v>
      </c>
      <c r="BJ282">
        <v>1.8</v>
      </c>
      <c r="BK282">
        <v>2</v>
      </c>
      <c r="BL282">
        <v>135.59</v>
      </c>
      <c r="BM282">
        <v>20.34</v>
      </c>
      <c r="BN282">
        <v>155.93</v>
      </c>
      <c r="BO282">
        <v>155.93</v>
      </c>
      <c r="BQ282" t="s">
        <v>1045</v>
      </c>
      <c r="BR282" t="s">
        <v>84</v>
      </c>
      <c r="BS282" s="3">
        <v>45974</v>
      </c>
      <c r="BT282" s="4">
        <v>0.41666666666666669</v>
      </c>
      <c r="BU282" t="s">
        <v>301</v>
      </c>
      <c r="BV282" t="s">
        <v>86</v>
      </c>
      <c r="BY282">
        <v>9022.58</v>
      </c>
      <c r="BZ282" t="s">
        <v>126</v>
      </c>
      <c r="CA282" t="s">
        <v>302</v>
      </c>
      <c r="CC282" t="s">
        <v>275</v>
      </c>
      <c r="CD282">
        <v>9459</v>
      </c>
      <c r="CE282" t="s">
        <v>1046</v>
      </c>
      <c r="CF282" s="3">
        <v>45974</v>
      </c>
      <c r="CI282">
        <v>2</v>
      </c>
      <c r="CJ282">
        <v>1</v>
      </c>
      <c r="CK282">
        <v>23</v>
      </c>
      <c r="CL282" t="s">
        <v>89</v>
      </c>
    </row>
    <row r="283" spans="1:90" x14ac:dyDescent="0.3">
      <c r="A283" t="s">
        <v>72</v>
      </c>
      <c r="B283" t="s">
        <v>73</v>
      </c>
      <c r="C283" t="s">
        <v>74</v>
      </c>
      <c r="E283" t="str">
        <f>"GAB2029797"</f>
        <v>GAB2029797</v>
      </c>
      <c r="F283" s="3">
        <v>45973</v>
      </c>
      <c r="G283">
        <v>202608</v>
      </c>
      <c r="H283" t="s">
        <v>75</v>
      </c>
      <c r="I283" t="s">
        <v>76</v>
      </c>
      <c r="J283" t="s">
        <v>77</v>
      </c>
      <c r="K283" t="s">
        <v>78</v>
      </c>
      <c r="L283" t="s">
        <v>330</v>
      </c>
      <c r="M283" t="s">
        <v>331</v>
      </c>
      <c r="N283" t="s">
        <v>332</v>
      </c>
      <c r="O283" t="s">
        <v>124</v>
      </c>
      <c r="P283" t="str">
        <f>"INVOICE00122663 CT098224      "</f>
        <v xml:space="preserve">INVOICE00122663 CT098224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26.73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16.739999999999998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1</v>
      </c>
      <c r="BI283">
        <v>0.4</v>
      </c>
      <c r="BJ283">
        <v>2.5</v>
      </c>
      <c r="BK283">
        <v>2.5</v>
      </c>
      <c r="BL283">
        <v>104.21</v>
      </c>
      <c r="BM283">
        <v>15.63</v>
      </c>
      <c r="BN283">
        <v>119.84</v>
      </c>
      <c r="BO283">
        <v>119.84</v>
      </c>
      <c r="BQ283" t="s">
        <v>400</v>
      </c>
      <c r="BR283" t="s">
        <v>84</v>
      </c>
      <c r="BS283" s="3">
        <v>45974</v>
      </c>
      <c r="BT283" s="4">
        <v>0.41249999999999998</v>
      </c>
      <c r="BU283" t="s">
        <v>521</v>
      </c>
      <c r="BV283" t="s">
        <v>86</v>
      </c>
      <c r="BY283">
        <v>12418.56</v>
      </c>
      <c r="BZ283" t="s">
        <v>180</v>
      </c>
      <c r="CA283" t="s">
        <v>402</v>
      </c>
      <c r="CC283" t="s">
        <v>331</v>
      </c>
      <c r="CD283">
        <v>1475</v>
      </c>
      <c r="CE283" t="s">
        <v>953</v>
      </c>
      <c r="CF283" s="3">
        <v>45974</v>
      </c>
      <c r="CI283">
        <v>1</v>
      </c>
      <c r="CJ283">
        <v>1</v>
      </c>
      <c r="CK283">
        <v>21</v>
      </c>
      <c r="CL283" t="s">
        <v>89</v>
      </c>
    </row>
    <row r="284" spans="1:90" x14ac:dyDescent="0.3">
      <c r="A284" t="s">
        <v>72</v>
      </c>
      <c r="B284" t="s">
        <v>73</v>
      </c>
      <c r="C284" t="s">
        <v>74</v>
      </c>
      <c r="E284" t="str">
        <f>"GAB2029798"</f>
        <v>GAB2029798</v>
      </c>
      <c r="F284" s="3">
        <v>45973</v>
      </c>
      <c r="G284">
        <v>202608</v>
      </c>
      <c r="H284" t="s">
        <v>75</v>
      </c>
      <c r="I284" t="s">
        <v>76</v>
      </c>
      <c r="J284" t="s">
        <v>77</v>
      </c>
      <c r="K284" t="s">
        <v>78</v>
      </c>
      <c r="L284" t="s">
        <v>435</v>
      </c>
      <c r="M284" t="s">
        <v>435</v>
      </c>
      <c r="N284" t="s">
        <v>577</v>
      </c>
      <c r="O284" t="s">
        <v>124</v>
      </c>
      <c r="P284" t="str">
        <f>"INVOICE00122662 CT097728      "</f>
        <v xml:space="preserve">INVOICE00122662 CT097728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30.07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1</v>
      </c>
      <c r="BI284">
        <v>0.2</v>
      </c>
      <c r="BJ284">
        <v>1.8</v>
      </c>
      <c r="BK284">
        <v>2</v>
      </c>
      <c r="BL284">
        <v>98.42</v>
      </c>
      <c r="BM284">
        <v>14.76</v>
      </c>
      <c r="BN284">
        <v>113.18</v>
      </c>
      <c r="BO284">
        <v>113.18</v>
      </c>
      <c r="BQ284" t="s">
        <v>578</v>
      </c>
      <c r="BR284" t="s">
        <v>84</v>
      </c>
      <c r="BS284" s="3">
        <v>45974</v>
      </c>
      <c r="BT284" s="4">
        <v>0.75694444444444442</v>
      </c>
      <c r="BU284" t="s">
        <v>1047</v>
      </c>
      <c r="BV284" t="s">
        <v>89</v>
      </c>
      <c r="BW284" t="s">
        <v>413</v>
      </c>
      <c r="BX284" t="s">
        <v>716</v>
      </c>
      <c r="BY284">
        <v>9141.66</v>
      </c>
      <c r="BZ284" t="s">
        <v>126</v>
      </c>
      <c r="CA284" t="s">
        <v>1048</v>
      </c>
      <c r="CC284" t="s">
        <v>435</v>
      </c>
      <c r="CD284">
        <v>7646</v>
      </c>
      <c r="CE284" t="s">
        <v>367</v>
      </c>
      <c r="CF284" s="3">
        <v>45975</v>
      </c>
      <c r="CI284">
        <v>1</v>
      </c>
      <c r="CJ284">
        <v>1</v>
      </c>
      <c r="CK284">
        <v>24</v>
      </c>
      <c r="CL284" t="s">
        <v>89</v>
      </c>
    </row>
    <row r="285" spans="1:90" x14ac:dyDescent="0.3">
      <c r="A285" t="s">
        <v>72</v>
      </c>
      <c r="B285" t="s">
        <v>73</v>
      </c>
      <c r="C285" t="s">
        <v>74</v>
      </c>
      <c r="E285" t="str">
        <f>"GAB2029799"</f>
        <v>GAB2029799</v>
      </c>
      <c r="F285" s="3">
        <v>45973</v>
      </c>
      <c r="G285">
        <v>202608</v>
      </c>
      <c r="H285" t="s">
        <v>75</v>
      </c>
      <c r="I285" t="s">
        <v>76</v>
      </c>
      <c r="J285" t="s">
        <v>77</v>
      </c>
      <c r="K285" t="s">
        <v>78</v>
      </c>
      <c r="L285" t="s">
        <v>143</v>
      </c>
      <c r="M285" t="s">
        <v>144</v>
      </c>
      <c r="N285" t="s">
        <v>1049</v>
      </c>
      <c r="O285" t="s">
        <v>124</v>
      </c>
      <c r="P285" t="str">
        <f>"INVOICE00041419 ORDGS038087   "</f>
        <v xml:space="preserve">INVOICE00041419 ORDGS038087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16.7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1</v>
      </c>
      <c r="BI285">
        <v>0.9</v>
      </c>
      <c r="BJ285">
        <v>2.6</v>
      </c>
      <c r="BK285">
        <v>3</v>
      </c>
      <c r="BL285">
        <v>54.66</v>
      </c>
      <c r="BM285">
        <v>8.1999999999999993</v>
      </c>
      <c r="BN285">
        <v>62.86</v>
      </c>
      <c r="BO285">
        <v>62.86</v>
      </c>
      <c r="BQ285" t="s">
        <v>185</v>
      </c>
      <c r="BR285" t="s">
        <v>84</v>
      </c>
      <c r="BS285" s="3">
        <v>45975</v>
      </c>
      <c r="BT285" s="4">
        <v>0.41666666666666669</v>
      </c>
      <c r="BU285" t="s">
        <v>1050</v>
      </c>
      <c r="BV285" t="s">
        <v>89</v>
      </c>
      <c r="BW285" t="s">
        <v>413</v>
      </c>
      <c r="BX285" t="s">
        <v>969</v>
      </c>
      <c r="BY285">
        <v>12834</v>
      </c>
      <c r="BZ285" t="s">
        <v>126</v>
      </c>
      <c r="CC285" t="s">
        <v>144</v>
      </c>
      <c r="CD285">
        <v>7600</v>
      </c>
      <c r="CE285" t="s">
        <v>946</v>
      </c>
      <c r="CF285" s="3">
        <v>45978</v>
      </c>
      <c r="CI285">
        <v>1</v>
      </c>
      <c r="CJ285">
        <v>2</v>
      </c>
      <c r="CK285">
        <v>22</v>
      </c>
      <c r="CL285" t="s">
        <v>89</v>
      </c>
    </row>
    <row r="286" spans="1:90" x14ac:dyDescent="0.3">
      <c r="A286" t="s">
        <v>72</v>
      </c>
      <c r="B286" t="s">
        <v>73</v>
      </c>
      <c r="C286" t="s">
        <v>74</v>
      </c>
      <c r="E286" t="str">
        <f>"GAB2029800"</f>
        <v>GAB2029800</v>
      </c>
      <c r="F286" s="3">
        <v>45973</v>
      </c>
      <c r="G286">
        <v>202608</v>
      </c>
      <c r="H286" t="s">
        <v>75</v>
      </c>
      <c r="I286" t="s">
        <v>76</v>
      </c>
      <c r="J286" t="s">
        <v>77</v>
      </c>
      <c r="K286" t="s">
        <v>78</v>
      </c>
      <c r="L286" t="s">
        <v>129</v>
      </c>
      <c r="M286" t="s">
        <v>130</v>
      </c>
      <c r="N286" t="s">
        <v>1051</v>
      </c>
      <c r="O286" t="s">
        <v>124</v>
      </c>
      <c r="P286" t="str">
        <f>"INVOICE00041417 ORDGS038082   "</f>
        <v xml:space="preserve">INVOICE00041417 ORDGS038082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26.73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1</v>
      </c>
      <c r="BI286">
        <v>0.2</v>
      </c>
      <c r="BJ286">
        <v>2.2999999999999998</v>
      </c>
      <c r="BK286">
        <v>2.5</v>
      </c>
      <c r="BL286">
        <v>87.47</v>
      </c>
      <c r="BM286">
        <v>13.12</v>
      </c>
      <c r="BN286">
        <v>100.59</v>
      </c>
      <c r="BO286">
        <v>100.59</v>
      </c>
      <c r="BQ286" t="s">
        <v>740</v>
      </c>
      <c r="BR286" t="s">
        <v>84</v>
      </c>
      <c r="BS286" s="3">
        <v>45975</v>
      </c>
      <c r="BT286" s="4">
        <v>0.49166666666666664</v>
      </c>
      <c r="BU286" t="s">
        <v>1052</v>
      </c>
      <c r="BV286" t="s">
        <v>89</v>
      </c>
      <c r="BY286">
        <v>11745.8</v>
      </c>
      <c r="BZ286" t="s">
        <v>126</v>
      </c>
      <c r="CA286" t="s">
        <v>1053</v>
      </c>
      <c r="CC286" t="s">
        <v>130</v>
      </c>
      <c r="CD286" s="5" t="s">
        <v>135</v>
      </c>
      <c r="CE286" t="s">
        <v>843</v>
      </c>
      <c r="CF286" s="3">
        <v>45975</v>
      </c>
      <c r="CI286">
        <v>2</v>
      </c>
      <c r="CJ286">
        <v>2</v>
      </c>
      <c r="CK286">
        <v>21</v>
      </c>
      <c r="CL286" t="s">
        <v>89</v>
      </c>
    </row>
    <row r="287" spans="1:90" x14ac:dyDescent="0.3">
      <c r="A287" t="s">
        <v>72</v>
      </c>
      <c r="B287" t="s">
        <v>73</v>
      </c>
      <c r="C287" t="s">
        <v>74</v>
      </c>
      <c r="E287" t="str">
        <f>"GAB2029801"</f>
        <v>GAB2029801</v>
      </c>
      <c r="F287" s="3">
        <v>45973</v>
      </c>
      <c r="G287">
        <v>202608</v>
      </c>
      <c r="H287" t="s">
        <v>75</v>
      </c>
      <c r="I287" t="s">
        <v>76</v>
      </c>
      <c r="J287" t="s">
        <v>77</v>
      </c>
      <c r="K287" t="s">
        <v>78</v>
      </c>
      <c r="L287" t="s">
        <v>97</v>
      </c>
      <c r="M287" t="s">
        <v>98</v>
      </c>
      <c r="N287" t="s">
        <v>1054</v>
      </c>
      <c r="O287" t="s">
        <v>124</v>
      </c>
      <c r="P287" t="str">
        <f>"INVOICE00041418 ORDGS038078   "</f>
        <v xml:space="preserve">INVOICE00041418 ORDGS038078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26.73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1</v>
      </c>
      <c r="BI287">
        <v>0.2</v>
      </c>
      <c r="BJ287">
        <v>2.2000000000000002</v>
      </c>
      <c r="BK287">
        <v>2.5</v>
      </c>
      <c r="BL287">
        <v>87.47</v>
      </c>
      <c r="BM287">
        <v>13.12</v>
      </c>
      <c r="BN287">
        <v>100.59</v>
      </c>
      <c r="BO287">
        <v>100.59</v>
      </c>
      <c r="BQ287" t="s">
        <v>1055</v>
      </c>
      <c r="BR287" t="s">
        <v>84</v>
      </c>
      <c r="BS287" s="3">
        <v>45975</v>
      </c>
      <c r="BT287" s="4">
        <v>0.37222222222222223</v>
      </c>
      <c r="BU287" t="s">
        <v>1056</v>
      </c>
      <c r="BV287" t="s">
        <v>86</v>
      </c>
      <c r="BY287">
        <v>10877.9</v>
      </c>
      <c r="BZ287" t="s">
        <v>126</v>
      </c>
      <c r="CA287" t="s">
        <v>1057</v>
      </c>
      <c r="CC287" t="s">
        <v>98</v>
      </c>
      <c r="CD287">
        <v>3610</v>
      </c>
      <c r="CE287" t="s">
        <v>843</v>
      </c>
      <c r="CF287" s="3">
        <v>45978</v>
      </c>
      <c r="CI287">
        <v>2</v>
      </c>
      <c r="CJ287">
        <v>2</v>
      </c>
      <c r="CK287">
        <v>21</v>
      </c>
      <c r="CL287" t="s">
        <v>89</v>
      </c>
    </row>
    <row r="288" spans="1:90" x14ac:dyDescent="0.3">
      <c r="A288" t="s">
        <v>72</v>
      </c>
      <c r="B288" t="s">
        <v>73</v>
      </c>
      <c r="C288" t="s">
        <v>74</v>
      </c>
      <c r="E288" t="str">
        <f>"GAB2029802"</f>
        <v>GAB2029802</v>
      </c>
      <c r="F288" s="3">
        <v>45973</v>
      </c>
      <c r="G288">
        <v>202608</v>
      </c>
      <c r="H288" t="s">
        <v>75</v>
      </c>
      <c r="I288" t="s">
        <v>76</v>
      </c>
      <c r="J288" t="s">
        <v>77</v>
      </c>
      <c r="K288" t="s">
        <v>78</v>
      </c>
      <c r="L288" t="s">
        <v>115</v>
      </c>
      <c r="M288" t="s">
        <v>116</v>
      </c>
      <c r="N288" t="s">
        <v>117</v>
      </c>
      <c r="O288" t="s">
        <v>124</v>
      </c>
      <c r="P288" t="str">
        <f>"INVOICE00122674 CT097989      "</f>
        <v xml:space="preserve">INVOICE00122674 CT097989      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69.489999999999995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1</v>
      </c>
      <c r="BI288">
        <v>0.4</v>
      </c>
      <c r="BJ288">
        <v>3.3</v>
      </c>
      <c r="BK288">
        <v>3.5</v>
      </c>
      <c r="BL288">
        <v>227.43</v>
      </c>
      <c r="BM288">
        <v>34.11</v>
      </c>
      <c r="BN288">
        <v>261.54000000000002</v>
      </c>
      <c r="BO288">
        <v>261.54000000000002</v>
      </c>
      <c r="BQ288" t="s">
        <v>118</v>
      </c>
      <c r="BR288" t="s">
        <v>84</v>
      </c>
      <c r="BS288" s="3">
        <v>45974</v>
      </c>
      <c r="BT288" s="4">
        <v>0.49166666666666664</v>
      </c>
      <c r="BU288" t="s">
        <v>1058</v>
      </c>
      <c r="BV288" t="s">
        <v>86</v>
      </c>
      <c r="BY288">
        <v>16550.099999999999</v>
      </c>
      <c r="BZ288" t="s">
        <v>126</v>
      </c>
      <c r="CA288" t="s">
        <v>1059</v>
      </c>
      <c r="CC288" t="s">
        <v>116</v>
      </c>
      <c r="CD288">
        <v>3100</v>
      </c>
      <c r="CE288" t="s">
        <v>912</v>
      </c>
      <c r="CF288" s="3">
        <v>45975</v>
      </c>
      <c r="CI288">
        <v>2</v>
      </c>
      <c r="CJ288">
        <v>1</v>
      </c>
      <c r="CK288">
        <v>23</v>
      </c>
      <c r="CL288" t="s">
        <v>89</v>
      </c>
    </row>
    <row r="289" spans="1:90" x14ac:dyDescent="0.3">
      <c r="A289" t="s">
        <v>72</v>
      </c>
      <c r="B289" t="s">
        <v>73</v>
      </c>
      <c r="C289" t="s">
        <v>74</v>
      </c>
      <c r="E289" t="str">
        <f>"009945158420"</f>
        <v>009945158420</v>
      </c>
      <c r="F289" s="3">
        <v>45973</v>
      </c>
      <c r="G289">
        <v>202608</v>
      </c>
      <c r="H289" t="s">
        <v>230</v>
      </c>
      <c r="I289" t="s">
        <v>231</v>
      </c>
      <c r="J289" t="s">
        <v>236</v>
      </c>
      <c r="K289" t="s">
        <v>78</v>
      </c>
      <c r="L289" t="s">
        <v>162</v>
      </c>
      <c r="M289" t="s">
        <v>163</v>
      </c>
      <c r="N289" t="s">
        <v>1060</v>
      </c>
      <c r="O289" t="s">
        <v>124</v>
      </c>
      <c r="P289" t="str">
        <f>"NO REF                        "</f>
        <v xml:space="preserve">NO REF                      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21.38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1</v>
      </c>
      <c r="BI289">
        <v>1</v>
      </c>
      <c r="BJ289">
        <v>0.2</v>
      </c>
      <c r="BK289">
        <v>1</v>
      </c>
      <c r="BL289">
        <v>69.98</v>
      </c>
      <c r="BM289">
        <v>10.5</v>
      </c>
      <c r="BN289">
        <v>80.48</v>
      </c>
      <c r="BO289">
        <v>80.48</v>
      </c>
      <c r="BP289" t="s">
        <v>1061</v>
      </c>
      <c r="BQ289" t="s">
        <v>1062</v>
      </c>
      <c r="BR289" t="s">
        <v>241</v>
      </c>
      <c r="BS289" s="3">
        <v>45974</v>
      </c>
      <c r="BT289" s="4">
        <v>0.64444444444444449</v>
      </c>
      <c r="BU289" t="s">
        <v>1063</v>
      </c>
      <c r="BV289" t="s">
        <v>89</v>
      </c>
      <c r="BY289">
        <v>1200</v>
      </c>
      <c r="BZ289" t="s">
        <v>126</v>
      </c>
      <c r="CC289" t="s">
        <v>163</v>
      </c>
      <c r="CD289">
        <v>6000</v>
      </c>
      <c r="CE289" t="s">
        <v>245</v>
      </c>
      <c r="CF289" s="3">
        <v>45975</v>
      </c>
      <c r="CI289">
        <v>1</v>
      </c>
      <c r="CJ289">
        <v>1</v>
      </c>
      <c r="CK289">
        <v>21</v>
      </c>
      <c r="CL289" t="s">
        <v>89</v>
      </c>
    </row>
    <row r="290" spans="1:90" x14ac:dyDescent="0.3">
      <c r="A290" t="s">
        <v>72</v>
      </c>
      <c r="B290" t="s">
        <v>73</v>
      </c>
      <c r="C290" t="s">
        <v>74</v>
      </c>
      <c r="E290" t="str">
        <f>"080011677082"</f>
        <v>080011677082</v>
      </c>
      <c r="F290" s="3">
        <v>45974</v>
      </c>
      <c r="G290">
        <v>202608</v>
      </c>
      <c r="H290" t="s">
        <v>330</v>
      </c>
      <c r="I290" t="s">
        <v>331</v>
      </c>
      <c r="J290" t="s">
        <v>1064</v>
      </c>
      <c r="K290" t="s">
        <v>78</v>
      </c>
      <c r="L290" t="s">
        <v>75</v>
      </c>
      <c r="M290" t="s">
        <v>76</v>
      </c>
      <c r="N290" t="s">
        <v>236</v>
      </c>
      <c r="O290" t="s">
        <v>82</v>
      </c>
      <c r="P290" t="str">
        <f>"Hester                        "</f>
        <v xml:space="preserve">Hester                        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5.87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155.72999999999999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2</v>
      </c>
      <c r="BI290">
        <v>82</v>
      </c>
      <c r="BJ290">
        <v>35.9</v>
      </c>
      <c r="BK290">
        <v>82</v>
      </c>
      <c r="BL290">
        <v>515.54</v>
      </c>
      <c r="BM290">
        <v>77.33</v>
      </c>
      <c r="BN290">
        <v>592.87</v>
      </c>
      <c r="BO290">
        <v>592.87</v>
      </c>
      <c r="BQ290" t="s">
        <v>997</v>
      </c>
      <c r="BR290" t="s">
        <v>1065</v>
      </c>
      <c r="BS290" s="3">
        <v>45978</v>
      </c>
      <c r="BT290" s="4">
        <v>0.5180555555555556</v>
      </c>
      <c r="BU290" t="s">
        <v>988</v>
      </c>
      <c r="BV290" t="s">
        <v>86</v>
      </c>
      <c r="BY290">
        <v>89739</v>
      </c>
      <c r="BZ290" t="s">
        <v>505</v>
      </c>
      <c r="CA290" t="s">
        <v>508</v>
      </c>
      <c r="CC290" t="s">
        <v>76</v>
      </c>
      <c r="CD290">
        <v>7460</v>
      </c>
      <c r="CE290" t="s">
        <v>245</v>
      </c>
      <c r="CF290" s="3">
        <v>45979</v>
      </c>
      <c r="CI290">
        <v>3</v>
      </c>
      <c r="CJ290">
        <v>2</v>
      </c>
      <c r="CK290">
        <v>41</v>
      </c>
      <c r="CL290" t="s">
        <v>89</v>
      </c>
    </row>
    <row r="291" spans="1:90" x14ac:dyDescent="0.3">
      <c r="A291" t="s">
        <v>72</v>
      </c>
      <c r="B291" t="s">
        <v>73</v>
      </c>
      <c r="C291" t="s">
        <v>74</v>
      </c>
      <c r="E291" t="str">
        <f>"GAB2029809"</f>
        <v>GAB2029809</v>
      </c>
      <c r="F291" s="3">
        <v>45974</v>
      </c>
      <c r="G291">
        <v>202608</v>
      </c>
      <c r="H291" t="s">
        <v>75</v>
      </c>
      <c r="I291" t="s">
        <v>76</v>
      </c>
      <c r="J291" t="s">
        <v>77</v>
      </c>
      <c r="K291" t="s">
        <v>78</v>
      </c>
      <c r="L291" t="s">
        <v>877</v>
      </c>
      <c r="M291" t="s">
        <v>878</v>
      </c>
      <c r="N291" t="s">
        <v>879</v>
      </c>
      <c r="O291" t="s">
        <v>82</v>
      </c>
      <c r="P291" t="str">
        <f>"INVOICE00041432 ORDGS038103   "</f>
        <v xml:space="preserve">INVOICE00041432 ORDGS038103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5.87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58.32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1</v>
      </c>
      <c r="BI291">
        <v>4.5999999999999996</v>
      </c>
      <c r="BJ291">
        <v>12</v>
      </c>
      <c r="BK291">
        <v>12</v>
      </c>
      <c r="BL291">
        <v>196.74</v>
      </c>
      <c r="BM291">
        <v>29.51</v>
      </c>
      <c r="BN291">
        <v>226.25</v>
      </c>
      <c r="BO291">
        <v>226.25</v>
      </c>
      <c r="BQ291" t="s">
        <v>1066</v>
      </c>
      <c r="BR291" t="s">
        <v>84</v>
      </c>
      <c r="BS291" s="3">
        <v>45978</v>
      </c>
      <c r="BT291" s="4">
        <v>0.40277777777777779</v>
      </c>
      <c r="BU291" t="s">
        <v>1067</v>
      </c>
      <c r="BV291" t="s">
        <v>86</v>
      </c>
      <c r="BY291">
        <v>60249.42</v>
      </c>
      <c r="CA291" t="s">
        <v>1068</v>
      </c>
      <c r="CC291" t="s">
        <v>878</v>
      </c>
      <c r="CD291">
        <v>4360</v>
      </c>
      <c r="CE291" t="s">
        <v>103</v>
      </c>
      <c r="CF291" s="3">
        <v>45979</v>
      </c>
      <c r="CI291">
        <v>4</v>
      </c>
      <c r="CJ291">
        <v>2</v>
      </c>
      <c r="CK291">
        <v>43</v>
      </c>
      <c r="CL291" t="s">
        <v>89</v>
      </c>
    </row>
    <row r="292" spans="1:90" x14ac:dyDescent="0.3">
      <c r="A292" t="s">
        <v>72</v>
      </c>
      <c r="B292" t="s">
        <v>73</v>
      </c>
      <c r="C292" t="s">
        <v>74</v>
      </c>
      <c r="E292" t="str">
        <f>"GAB2029810"</f>
        <v>GAB2029810</v>
      </c>
      <c r="F292" s="3">
        <v>45974</v>
      </c>
      <c r="G292">
        <v>202608</v>
      </c>
      <c r="H292" t="s">
        <v>75</v>
      </c>
      <c r="I292" t="s">
        <v>76</v>
      </c>
      <c r="J292" t="s">
        <v>77</v>
      </c>
      <c r="K292" t="s">
        <v>78</v>
      </c>
      <c r="L292" t="s">
        <v>79</v>
      </c>
      <c r="M292" t="s">
        <v>80</v>
      </c>
      <c r="N292" t="s">
        <v>81</v>
      </c>
      <c r="O292" t="s">
        <v>82</v>
      </c>
      <c r="P292" t="str">
        <f>"invoice00122685 ct098231      "</f>
        <v xml:space="preserve">invoice00122685 ct098231 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5.87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63.54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2</v>
      </c>
      <c r="BI292">
        <v>13.2</v>
      </c>
      <c r="BJ292">
        <v>27.8</v>
      </c>
      <c r="BK292">
        <v>28</v>
      </c>
      <c r="BL292">
        <v>213.83</v>
      </c>
      <c r="BM292">
        <v>32.07</v>
      </c>
      <c r="BN292">
        <v>245.9</v>
      </c>
      <c r="BO292">
        <v>245.9</v>
      </c>
      <c r="BQ292" t="s">
        <v>974</v>
      </c>
      <c r="BR292" t="s">
        <v>84</v>
      </c>
      <c r="BS292" s="3">
        <v>45978</v>
      </c>
      <c r="BT292" s="4">
        <v>0.34583333333333333</v>
      </c>
      <c r="BU292" t="s">
        <v>85</v>
      </c>
      <c r="BV292" t="s">
        <v>86</v>
      </c>
      <c r="BY292">
        <v>139066.04999999999</v>
      </c>
      <c r="CA292">
        <v>8601266266086</v>
      </c>
      <c r="CC292" t="s">
        <v>80</v>
      </c>
      <c r="CD292" s="5" t="s">
        <v>87</v>
      </c>
      <c r="CE292" t="s">
        <v>103</v>
      </c>
      <c r="CF292" s="3">
        <v>45978</v>
      </c>
      <c r="CI292">
        <v>3</v>
      </c>
      <c r="CJ292">
        <v>2</v>
      </c>
      <c r="CK292">
        <v>41</v>
      </c>
      <c r="CL292" t="s">
        <v>89</v>
      </c>
    </row>
    <row r="293" spans="1:90" x14ac:dyDescent="0.3">
      <c r="A293" t="s">
        <v>72</v>
      </c>
      <c r="B293" t="s">
        <v>73</v>
      </c>
      <c r="C293" t="s">
        <v>74</v>
      </c>
      <c r="E293" t="str">
        <f>"GAB2029815"</f>
        <v>GAB2029815</v>
      </c>
      <c r="F293" s="3">
        <v>45974</v>
      </c>
      <c r="G293">
        <v>202608</v>
      </c>
      <c r="H293" t="s">
        <v>75</v>
      </c>
      <c r="I293" t="s">
        <v>76</v>
      </c>
      <c r="J293" t="s">
        <v>77</v>
      </c>
      <c r="K293" t="s">
        <v>78</v>
      </c>
      <c r="L293" t="s">
        <v>230</v>
      </c>
      <c r="M293" t="s">
        <v>231</v>
      </c>
      <c r="N293" t="s">
        <v>1069</v>
      </c>
      <c r="O293" t="s">
        <v>82</v>
      </c>
      <c r="P293" t="str">
        <f>"INVOICE00041447 ORDGS038102   "</f>
        <v xml:space="preserve">INVOICE00041447 ORDGS038102 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5.87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41.35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1</v>
      </c>
      <c r="BI293">
        <v>5.9</v>
      </c>
      <c r="BJ293">
        <v>12.5</v>
      </c>
      <c r="BK293">
        <v>13</v>
      </c>
      <c r="BL293">
        <v>141.19999999999999</v>
      </c>
      <c r="BM293">
        <v>21.18</v>
      </c>
      <c r="BN293">
        <v>162.38</v>
      </c>
      <c r="BO293">
        <v>162.38</v>
      </c>
      <c r="BQ293" t="s">
        <v>1070</v>
      </c>
      <c r="BR293" t="s">
        <v>84</v>
      </c>
      <c r="BS293" s="3">
        <v>45978</v>
      </c>
      <c r="BT293" s="4">
        <v>0.6694444444444444</v>
      </c>
      <c r="BU293" t="s">
        <v>137</v>
      </c>
      <c r="BV293" t="s">
        <v>86</v>
      </c>
      <c r="BY293">
        <v>62560</v>
      </c>
      <c r="CA293">
        <v>8303236124087</v>
      </c>
      <c r="CC293" t="s">
        <v>231</v>
      </c>
      <c r="CD293" s="5" t="s">
        <v>1071</v>
      </c>
      <c r="CE293" t="s">
        <v>103</v>
      </c>
      <c r="CF293" s="3">
        <v>45978</v>
      </c>
      <c r="CI293">
        <v>3</v>
      </c>
      <c r="CJ293">
        <v>2</v>
      </c>
      <c r="CK293">
        <v>41</v>
      </c>
      <c r="CL293" t="s">
        <v>89</v>
      </c>
    </row>
    <row r="294" spans="1:90" x14ac:dyDescent="0.3">
      <c r="A294" t="s">
        <v>72</v>
      </c>
      <c r="B294" t="s">
        <v>73</v>
      </c>
      <c r="C294" t="s">
        <v>74</v>
      </c>
      <c r="E294" t="str">
        <f>"GAB2029821"</f>
        <v>GAB2029821</v>
      </c>
      <c r="F294" s="3">
        <v>45974</v>
      </c>
      <c r="G294">
        <v>202608</v>
      </c>
      <c r="H294" t="s">
        <v>75</v>
      </c>
      <c r="I294" t="s">
        <v>76</v>
      </c>
      <c r="J294" t="s">
        <v>77</v>
      </c>
      <c r="K294" t="s">
        <v>78</v>
      </c>
      <c r="L294" t="s">
        <v>246</v>
      </c>
      <c r="M294" t="s">
        <v>247</v>
      </c>
      <c r="N294" t="s">
        <v>1072</v>
      </c>
      <c r="O294" t="s">
        <v>82</v>
      </c>
      <c r="P294" t="str">
        <f>"INVOICE00122699 CT098246      "</f>
        <v xml:space="preserve">INVOICE00122699 CT098246      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5.87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41.35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1</v>
      </c>
      <c r="BI294">
        <v>4.5</v>
      </c>
      <c r="BJ294">
        <v>12.1</v>
      </c>
      <c r="BK294">
        <v>13</v>
      </c>
      <c r="BL294">
        <v>141.19999999999999</v>
      </c>
      <c r="BM294">
        <v>21.18</v>
      </c>
      <c r="BN294">
        <v>162.38</v>
      </c>
      <c r="BO294">
        <v>162.38</v>
      </c>
      <c r="BQ294" t="s">
        <v>1073</v>
      </c>
      <c r="BR294" t="s">
        <v>84</v>
      </c>
      <c r="BS294" s="3">
        <v>45978</v>
      </c>
      <c r="BT294" s="4">
        <v>0.39583333333333331</v>
      </c>
      <c r="BU294" t="s">
        <v>1074</v>
      </c>
      <c r="BV294" t="s">
        <v>86</v>
      </c>
      <c r="BY294">
        <v>60521.58</v>
      </c>
      <c r="CA294" t="s">
        <v>1075</v>
      </c>
      <c r="CC294" t="s">
        <v>247</v>
      </c>
      <c r="CD294">
        <v>9301</v>
      </c>
      <c r="CE294" t="s">
        <v>88</v>
      </c>
      <c r="CF294" s="3">
        <v>45979</v>
      </c>
      <c r="CI294">
        <v>4</v>
      </c>
      <c r="CJ294">
        <v>2</v>
      </c>
      <c r="CK294">
        <v>41</v>
      </c>
      <c r="CL294" t="s">
        <v>89</v>
      </c>
    </row>
    <row r="295" spans="1:90" x14ac:dyDescent="0.3">
      <c r="A295" t="s">
        <v>72</v>
      </c>
      <c r="B295" t="s">
        <v>73</v>
      </c>
      <c r="C295" t="s">
        <v>74</v>
      </c>
      <c r="E295" t="str">
        <f>"GAB2029823"</f>
        <v>GAB2029823</v>
      </c>
      <c r="F295" s="3">
        <v>45974</v>
      </c>
      <c r="G295">
        <v>202608</v>
      </c>
      <c r="H295" t="s">
        <v>75</v>
      </c>
      <c r="I295" t="s">
        <v>76</v>
      </c>
      <c r="J295" t="s">
        <v>77</v>
      </c>
      <c r="K295" t="s">
        <v>78</v>
      </c>
      <c r="L295" t="s">
        <v>224</v>
      </c>
      <c r="M295" t="s">
        <v>225</v>
      </c>
      <c r="N295" t="s">
        <v>1076</v>
      </c>
      <c r="O295" t="s">
        <v>82</v>
      </c>
      <c r="P295" t="str">
        <f>"INVOICES 00122705 00122698 CT0"</f>
        <v>INVOICES 00122705 00122698 CT0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5.87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58.32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1</v>
      </c>
      <c r="BI295">
        <v>2.8</v>
      </c>
      <c r="BJ295">
        <v>6.3</v>
      </c>
      <c r="BK295">
        <v>7</v>
      </c>
      <c r="BL295">
        <v>196.74</v>
      </c>
      <c r="BM295">
        <v>29.51</v>
      </c>
      <c r="BN295">
        <v>226.25</v>
      </c>
      <c r="BO295">
        <v>226.25</v>
      </c>
      <c r="BQ295" t="s">
        <v>1077</v>
      </c>
      <c r="BR295" t="s">
        <v>84</v>
      </c>
      <c r="BS295" s="3">
        <v>45978</v>
      </c>
      <c r="BT295" s="4">
        <v>0.6479166666666667</v>
      </c>
      <c r="BU295" t="s">
        <v>1078</v>
      </c>
      <c r="BV295" t="s">
        <v>86</v>
      </c>
      <c r="BY295">
        <v>31406.1</v>
      </c>
      <c r="CA295" t="s">
        <v>229</v>
      </c>
      <c r="CC295" t="s">
        <v>225</v>
      </c>
      <c r="CD295">
        <v>9700</v>
      </c>
      <c r="CE295" t="s">
        <v>103</v>
      </c>
      <c r="CF295" s="3">
        <v>45979</v>
      </c>
      <c r="CI295">
        <v>4</v>
      </c>
      <c r="CJ295">
        <v>2</v>
      </c>
      <c r="CK295">
        <v>43</v>
      </c>
      <c r="CL295" t="s">
        <v>89</v>
      </c>
    </row>
    <row r="296" spans="1:90" x14ac:dyDescent="0.3">
      <c r="A296" t="s">
        <v>72</v>
      </c>
      <c r="B296" t="s">
        <v>73</v>
      </c>
      <c r="C296" t="s">
        <v>74</v>
      </c>
      <c r="E296" t="str">
        <f>"GAB2029803"</f>
        <v>GAB2029803</v>
      </c>
      <c r="F296" s="3">
        <v>45974</v>
      </c>
      <c r="G296">
        <v>202608</v>
      </c>
      <c r="H296" t="s">
        <v>75</v>
      </c>
      <c r="I296" t="s">
        <v>76</v>
      </c>
      <c r="J296" t="s">
        <v>77</v>
      </c>
      <c r="K296" t="s">
        <v>78</v>
      </c>
      <c r="L296" t="s">
        <v>129</v>
      </c>
      <c r="M296" t="s">
        <v>130</v>
      </c>
      <c r="N296" t="s">
        <v>131</v>
      </c>
      <c r="O296" t="s">
        <v>124</v>
      </c>
      <c r="P296" t="str">
        <f>"INVOICE00122675 CT098233      "</f>
        <v xml:space="preserve">INVOICE00122675 CT098233      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26.73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1</v>
      </c>
      <c r="BI296">
        <v>0.5</v>
      </c>
      <c r="BJ296">
        <v>2.4</v>
      </c>
      <c r="BK296">
        <v>2.5</v>
      </c>
      <c r="BL296">
        <v>87.47</v>
      </c>
      <c r="BM296">
        <v>13.12</v>
      </c>
      <c r="BN296">
        <v>100.59</v>
      </c>
      <c r="BO296">
        <v>100.59</v>
      </c>
      <c r="BQ296" t="s">
        <v>132</v>
      </c>
      <c r="BR296" t="s">
        <v>84</v>
      </c>
      <c r="BS296" s="3">
        <v>45978</v>
      </c>
      <c r="BT296" s="4">
        <v>0.49652777777777779</v>
      </c>
      <c r="BU296" t="s">
        <v>1079</v>
      </c>
      <c r="BV296" t="s">
        <v>89</v>
      </c>
      <c r="BW296" t="s">
        <v>865</v>
      </c>
      <c r="BX296" t="s">
        <v>866</v>
      </c>
      <c r="BY296">
        <v>11951.68</v>
      </c>
      <c r="BZ296" t="s">
        <v>126</v>
      </c>
      <c r="CA296" t="s">
        <v>1080</v>
      </c>
      <c r="CC296" t="s">
        <v>130</v>
      </c>
      <c r="CD296" s="5" t="s">
        <v>135</v>
      </c>
      <c r="CE296" t="s">
        <v>953</v>
      </c>
      <c r="CF296" s="3">
        <v>45979</v>
      </c>
      <c r="CI296">
        <v>2</v>
      </c>
      <c r="CJ296">
        <v>2</v>
      </c>
      <c r="CK296">
        <v>21</v>
      </c>
      <c r="CL296" t="s">
        <v>89</v>
      </c>
    </row>
    <row r="297" spans="1:90" x14ac:dyDescent="0.3">
      <c r="A297" t="s">
        <v>72</v>
      </c>
      <c r="B297" t="s">
        <v>73</v>
      </c>
      <c r="C297" t="s">
        <v>74</v>
      </c>
      <c r="E297" t="str">
        <f>"GAB2029804"</f>
        <v>GAB2029804</v>
      </c>
      <c r="F297" s="3">
        <v>45974</v>
      </c>
      <c r="G297">
        <v>202608</v>
      </c>
      <c r="H297" t="s">
        <v>75</v>
      </c>
      <c r="I297" t="s">
        <v>76</v>
      </c>
      <c r="J297" t="s">
        <v>77</v>
      </c>
      <c r="K297" t="s">
        <v>78</v>
      </c>
      <c r="L297" t="s">
        <v>1081</v>
      </c>
      <c r="M297" t="s">
        <v>1082</v>
      </c>
      <c r="N297" t="s">
        <v>1083</v>
      </c>
      <c r="O297" t="s">
        <v>124</v>
      </c>
      <c r="P297" t="str">
        <f>"INVOICE00041429 ORDGS038101   "</f>
        <v xml:space="preserve">INVOICE00041429 ORDGS038101   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41.43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1</v>
      </c>
      <c r="BI297">
        <v>0.3</v>
      </c>
      <c r="BJ297">
        <v>2</v>
      </c>
      <c r="BK297">
        <v>2</v>
      </c>
      <c r="BL297">
        <v>135.59</v>
      </c>
      <c r="BM297">
        <v>20.34</v>
      </c>
      <c r="BN297">
        <v>155.93</v>
      </c>
      <c r="BO297">
        <v>155.93</v>
      </c>
      <c r="BQ297" t="s">
        <v>740</v>
      </c>
      <c r="BR297" t="s">
        <v>84</v>
      </c>
      <c r="BS297" s="3">
        <v>45975</v>
      </c>
      <c r="BT297" s="4">
        <v>0.36388888888888887</v>
      </c>
      <c r="BU297" t="s">
        <v>1084</v>
      </c>
      <c r="BV297" t="s">
        <v>86</v>
      </c>
      <c r="BY297">
        <v>10177.4</v>
      </c>
      <c r="BZ297" t="s">
        <v>126</v>
      </c>
      <c r="CC297" t="s">
        <v>1082</v>
      </c>
      <c r="CD297">
        <v>9499</v>
      </c>
      <c r="CE297" t="s">
        <v>814</v>
      </c>
      <c r="CF297" s="3">
        <v>45978</v>
      </c>
      <c r="CI297">
        <v>2</v>
      </c>
      <c r="CJ297">
        <v>1</v>
      </c>
      <c r="CK297">
        <v>23</v>
      </c>
      <c r="CL297" t="s">
        <v>89</v>
      </c>
    </row>
    <row r="298" spans="1:90" x14ac:dyDescent="0.3">
      <c r="A298" t="s">
        <v>72</v>
      </c>
      <c r="B298" t="s">
        <v>73</v>
      </c>
      <c r="C298" t="s">
        <v>74</v>
      </c>
      <c r="E298" t="str">
        <f>"GAB2029806"</f>
        <v>GAB2029806</v>
      </c>
      <c r="F298" s="3">
        <v>45974</v>
      </c>
      <c r="G298">
        <v>202608</v>
      </c>
      <c r="H298" t="s">
        <v>75</v>
      </c>
      <c r="I298" t="s">
        <v>76</v>
      </c>
      <c r="J298" t="s">
        <v>77</v>
      </c>
      <c r="K298" t="s">
        <v>78</v>
      </c>
      <c r="L298" t="s">
        <v>75</v>
      </c>
      <c r="M298" t="s">
        <v>76</v>
      </c>
      <c r="N298" t="s">
        <v>520</v>
      </c>
      <c r="O298" t="s">
        <v>124</v>
      </c>
      <c r="P298" t="str">
        <f>"INVOICE00122680 CT098236      "</f>
        <v xml:space="preserve">INVOICE00122680 CT098236      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16.7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1</v>
      </c>
      <c r="BI298">
        <v>0.2</v>
      </c>
      <c r="BJ298">
        <v>1.8</v>
      </c>
      <c r="BK298">
        <v>2</v>
      </c>
      <c r="BL298">
        <v>54.66</v>
      </c>
      <c r="BM298">
        <v>8.1999999999999993</v>
      </c>
      <c r="BN298">
        <v>62.86</v>
      </c>
      <c r="BO298">
        <v>62.86</v>
      </c>
      <c r="BQ298" t="s">
        <v>1085</v>
      </c>
      <c r="BR298" t="s">
        <v>84</v>
      </c>
      <c r="BS298" s="3">
        <v>45975</v>
      </c>
      <c r="BT298" s="4">
        <v>0.43125000000000002</v>
      </c>
      <c r="BU298" t="s">
        <v>1086</v>
      </c>
      <c r="BV298" t="s">
        <v>86</v>
      </c>
      <c r="BY298">
        <v>8910.5</v>
      </c>
      <c r="BZ298" t="s">
        <v>126</v>
      </c>
      <c r="CA298" t="s">
        <v>523</v>
      </c>
      <c r="CC298" t="s">
        <v>76</v>
      </c>
      <c r="CD298">
        <v>7550</v>
      </c>
      <c r="CE298" t="s">
        <v>367</v>
      </c>
      <c r="CF298" s="3">
        <v>45978</v>
      </c>
      <c r="CI298">
        <v>1</v>
      </c>
      <c r="CJ298">
        <v>1</v>
      </c>
      <c r="CK298">
        <v>22</v>
      </c>
      <c r="CL298" t="s">
        <v>89</v>
      </c>
    </row>
    <row r="299" spans="1:90" x14ac:dyDescent="0.3">
      <c r="A299" t="s">
        <v>72</v>
      </c>
      <c r="B299" t="s">
        <v>73</v>
      </c>
      <c r="C299" t="s">
        <v>74</v>
      </c>
      <c r="E299" t="str">
        <f>"GAB2029807"</f>
        <v>GAB2029807</v>
      </c>
      <c r="F299" s="3">
        <v>45974</v>
      </c>
      <c r="G299">
        <v>202608</v>
      </c>
      <c r="H299" t="s">
        <v>75</v>
      </c>
      <c r="I299" t="s">
        <v>76</v>
      </c>
      <c r="J299" t="s">
        <v>77</v>
      </c>
      <c r="K299" t="s">
        <v>78</v>
      </c>
      <c r="L299" t="s">
        <v>169</v>
      </c>
      <c r="M299" t="s">
        <v>170</v>
      </c>
      <c r="N299" t="s">
        <v>1087</v>
      </c>
      <c r="O299" t="s">
        <v>124</v>
      </c>
      <c r="P299" t="str">
        <f>"INVOICE00122681 CT098238      "</f>
        <v xml:space="preserve">INVOICE00122681 CT098238      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21.38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1</v>
      </c>
      <c r="BI299">
        <v>0.3</v>
      </c>
      <c r="BJ299">
        <v>1.6</v>
      </c>
      <c r="BK299">
        <v>2</v>
      </c>
      <c r="BL299">
        <v>69.98</v>
      </c>
      <c r="BM299">
        <v>10.5</v>
      </c>
      <c r="BN299">
        <v>80.48</v>
      </c>
      <c r="BO299">
        <v>80.48</v>
      </c>
      <c r="BQ299" t="s">
        <v>1088</v>
      </c>
      <c r="BR299" t="s">
        <v>84</v>
      </c>
      <c r="BS299" s="3">
        <v>45975</v>
      </c>
      <c r="BT299" s="4">
        <v>0.37569444444444444</v>
      </c>
      <c r="BU299" t="s">
        <v>392</v>
      </c>
      <c r="BV299" t="s">
        <v>86</v>
      </c>
      <c r="BY299">
        <v>8153.28</v>
      </c>
      <c r="BZ299" t="s">
        <v>126</v>
      </c>
      <c r="CA299" t="s">
        <v>393</v>
      </c>
      <c r="CC299" t="s">
        <v>170</v>
      </c>
      <c r="CD299">
        <v>2021</v>
      </c>
      <c r="CE299" t="s">
        <v>814</v>
      </c>
      <c r="CF299" s="3">
        <v>45976</v>
      </c>
      <c r="CI299">
        <v>1</v>
      </c>
      <c r="CJ299">
        <v>1</v>
      </c>
      <c r="CK299">
        <v>21</v>
      </c>
      <c r="CL299" t="s">
        <v>89</v>
      </c>
    </row>
    <row r="300" spans="1:90" x14ac:dyDescent="0.3">
      <c r="A300" t="s">
        <v>72</v>
      </c>
      <c r="B300" t="s">
        <v>73</v>
      </c>
      <c r="C300" t="s">
        <v>74</v>
      </c>
      <c r="E300" t="str">
        <f>"GAB2029808"</f>
        <v>GAB2029808</v>
      </c>
      <c r="F300" s="3">
        <v>45974</v>
      </c>
      <c r="G300">
        <v>202608</v>
      </c>
      <c r="H300" t="s">
        <v>75</v>
      </c>
      <c r="I300" t="s">
        <v>76</v>
      </c>
      <c r="J300" t="s">
        <v>77</v>
      </c>
      <c r="K300" t="s">
        <v>78</v>
      </c>
      <c r="L300" t="s">
        <v>143</v>
      </c>
      <c r="M300" t="s">
        <v>144</v>
      </c>
      <c r="N300" t="s">
        <v>145</v>
      </c>
      <c r="O300" t="s">
        <v>124</v>
      </c>
      <c r="P300" t="str">
        <f>"INVOICE00122682 CT098239      "</f>
        <v xml:space="preserve">INVOICE00122682 CT098239      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16.7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1</v>
      </c>
      <c r="BI300">
        <v>0.2</v>
      </c>
      <c r="BJ300">
        <v>2.2000000000000002</v>
      </c>
      <c r="BK300">
        <v>3</v>
      </c>
      <c r="BL300">
        <v>54.66</v>
      </c>
      <c r="BM300">
        <v>8.1999999999999993</v>
      </c>
      <c r="BN300">
        <v>62.86</v>
      </c>
      <c r="BO300">
        <v>62.86</v>
      </c>
      <c r="BQ300" t="s">
        <v>146</v>
      </c>
      <c r="BR300" t="s">
        <v>84</v>
      </c>
      <c r="BS300" s="3">
        <v>45975</v>
      </c>
      <c r="BT300" s="4">
        <v>0.54861111111111116</v>
      </c>
      <c r="BU300" t="s">
        <v>1089</v>
      </c>
      <c r="BV300" t="s">
        <v>89</v>
      </c>
      <c r="BW300" t="s">
        <v>562</v>
      </c>
      <c r="BX300" t="s">
        <v>1090</v>
      </c>
      <c r="BY300">
        <v>10894.5</v>
      </c>
      <c r="BZ300" t="s">
        <v>126</v>
      </c>
      <c r="CC300" t="s">
        <v>144</v>
      </c>
      <c r="CD300">
        <v>7600</v>
      </c>
      <c r="CE300" t="s">
        <v>367</v>
      </c>
      <c r="CF300" s="3">
        <v>45978</v>
      </c>
      <c r="CI300">
        <v>1</v>
      </c>
      <c r="CJ300">
        <v>1</v>
      </c>
      <c r="CK300">
        <v>22</v>
      </c>
      <c r="CL300" t="s">
        <v>89</v>
      </c>
    </row>
    <row r="301" spans="1:90" x14ac:dyDescent="0.3">
      <c r="A301" t="s">
        <v>72</v>
      </c>
      <c r="B301" t="s">
        <v>73</v>
      </c>
      <c r="C301" t="s">
        <v>74</v>
      </c>
      <c r="E301" t="str">
        <f>"GAB2029811"</f>
        <v>GAB2029811</v>
      </c>
      <c r="F301" s="3">
        <v>45974</v>
      </c>
      <c r="G301">
        <v>202608</v>
      </c>
      <c r="H301" t="s">
        <v>75</v>
      </c>
      <c r="I301" t="s">
        <v>76</v>
      </c>
      <c r="J301" t="s">
        <v>77</v>
      </c>
      <c r="K301" t="s">
        <v>78</v>
      </c>
      <c r="L301" t="s">
        <v>212</v>
      </c>
      <c r="M301" t="s">
        <v>213</v>
      </c>
      <c r="N301" t="s">
        <v>410</v>
      </c>
      <c r="O301" t="s">
        <v>124</v>
      </c>
      <c r="P301" t="str">
        <f>"invoice00041437 ordgs038112   "</f>
        <v xml:space="preserve">invoice00041437 ordgs038112   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26.73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1</v>
      </c>
      <c r="BI301">
        <v>0.4</v>
      </c>
      <c r="BJ301">
        <v>2.1</v>
      </c>
      <c r="BK301">
        <v>2.5</v>
      </c>
      <c r="BL301">
        <v>87.47</v>
      </c>
      <c r="BM301">
        <v>13.12</v>
      </c>
      <c r="BN301">
        <v>100.59</v>
      </c>
      <c r="BO301">
        <v>100.59</v>
      </c>
      <c r="BQ301" t="s">
        <v>1091</v>
      </c>
      <c r="BR301" t="s">
        <v>84</v>
      </c>
      <c r="BS301" s="3">
        <v>45975</v>
      </c>
      <c r="BT301" s="4">
        <v>0.52847222222222223</v>
      </c>
      <c r="BU301" t="s">
        <v>1023</v>
      </c>
      <c r="BV301" t="s">
        <v>89</v>
      </c>
      <c r="BW301" t="s">
        <v>216</v>
      </c>
      <c r="BX301" t="s">
        <v>217</v>
      </c>
      <c r="BY301">
        <v>10506.24</v>
      </c>
      <c r="BZ301" t="s">
        <v>126</v>
      </c>
      <c r="CA301" t="s">
        <v>414</v>
      </c>
      <c r="CC301" t="s">
        <v>213</v>
      </c>
      <c r="CD301">
        <v>5201</v>
      </c>
      <c r="CE301" t="s">
        <v>1092</v>
      </c>
      <c r="CF301" s="3">
        <v>45977</v>
      </c>
      <c r="CI301">
        <v>1</v>
      </c>
      <c r="CJ301">
        <v>1</v>
      </c>
      <c r="CK301">
        <v>21</v>
      </c>
      <c r="CL301" t="s">
        <v>89</v>
      </c>
    </row>
    <row r="302" spans="1:90" x14ac:dyDescent="0.3">
      <c r="A302" t="s">
        <v>72</v>
      </c>
      <c r="B302" t="s">
        <v>73</v>
      </c>
      <c r="C302" t="s">
        <v>74</v>
      </c>
      <c r="E302" t="str">
        <f>"GAB2029812"</f>
        <v>GAB2029812</v>
      </c>
      <c r="F302" s="3">
        <v>45974</v>
      </c>
      <c r="G302">
        <v>202608</v>
      </c>
      <c r="H302" t="s">
        <v>75</v>
      </c>
      <c r="I302" t="s">
        <v>76</v>
      </c>
      <c r="J302" t="s">
        <v>77</v>
      </c>
      <c r="K302" t="s">
        <v>78</v>
      </c>
      <c r="L302" t="s">
        <v>435</v>
      </c>
      <c r="M302" t="s">
        <v>435</v>
      </c>
      <c r="N302" t="s">
        <v>436</v>
      </c>
      <c r="O302" t="s">
        <v>124</v>
      </c>
      <c r="P302" t="str">
        <f>"INVOICE00041435 ORDGS038117   "</f>
        <v xml:space="preserve">INVOICE00041435 ORDGS038117   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30.07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1</v>
      </c>
      <c r="BI302">
        <v>0.4</v>
      </c>
      <c r="BJ302">
        <v>2</v>
      </c>
      <c r="BK302">
        <v>2</v>
      </c>
      <c r="BL302">
        <v>98.42</v>
      </c>
      <c r="BM302">
        <v>14.76</v>
      </c>
      <c r="BN302">
        <v>113.18</v>
      </c>
      <c r="BO302">
        <v>113.18</v>
      </c>
      <c r="BQ302" t="s">
        <v>1093</v>
      </c>
      <c r="BR302" t="s">
        <v>84</v>
      </c>
      <c r="BS302" s="3">
        <v>45975</v>
      </c>
      <c r="BT302" s="4">
        <v>0.78263888888888888</v>
      </c>
      <c r="BU302" t="s">
        <v>1094</v>
      </c>
      <c r="BV302" t="s">
        <v>89</v>
      </c>
      <c r="BW302" t="s">
        <v>413</v>
      </c>
      <c r="BX302" t="s">
        <v>806</v>
      </c>
      <c r="BY302">
        <v>10224</v>
      </c>
      <c r="BZ302" t="s">
        <v>126</v>
      </c>
      <c r="CA302" t="s">
        <v>1095</v>
      </c>
      <c r="CC302" t="s">
        <v>435</v>
      </c>
      <c r="CD302">
        <v>7646</v>
      </c>
      <c r="CE302" t="s">
        <v>1096</v>
      </c>
      <c r="CF302" s="3">
        <v>45978</v>
      </c>
      <c r="CI302">
        <v>0</v>
      </c>
      <c r="CJ302">
        <v>0</v>
      </c>
      <c r="CK302">
        <v>24</v>
      </c>
      <c r="CL302" t="s">
        <v>89</v>
      </c>
    </row>
    <row r="303" spans="1:90" x14ac:dyDescent="0.3">
      <c r="A303" t="s">
        <v>72</v>
      </c>
      <c r="B303" t="s">
        <v>73</v>
      </c>
      <c r="C303" t="s">
        <v>74</v>
      </c>
      <c r="E303" t="str">
        <f>"GAB2029813"</f>
        <v>GAB2029813</v>
      </c>
      <c r="F303" s="3">
        <v>45974</v>
      </c>
      <c r="G303">
        <v>202608</v>
      </c>
      <c r="H303" t="s">
        <v>75</v>
      </c>
      <c r="I303" t="s">
        <v>76</v>
      </c>
      <c r="J303" t="s">
        <v>77</v>
      </c>
      <c r="K303" t="s">
        <v>78</v>
      </c>
      <c r="L303" t="s">
        <v>143</v>
      </c>
      <c r="M303" t="s">
        <v>144</v>
      </c>
      <c r="N303" t="s">
        <v>556</v>
      </c>
      <c r="O303" t="s">
        <v>124</v>
      </c>
      <c r="P303" t="str">
        <f>"INVOICE00122689 CT098241      "</f>
        <v xml:space="preserve">INVOICE00122689 CT098241      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16.7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1</v>
      </c>
      <c r="BI303">
        <v>0.5</v>
      </c>
      <c r="BJ303">
        <v>2.5</v>
      </c>
      <c r="BK303">
        <v>3</v>
      </c>
      <c r="BL303">
        <v>54.66</v>
      </c>
      <c r="BM303">
        <v>8.1999999999999993</v>
      </c>
      <c r="BN303">
        <v>62.86</v>
      </c>
      <c r="BO303">
        <v>62.86</v>
      </c>
      <c r="BQ303" t="s">
        <v>557</v>
      </c>
      <c r="BR303" t="s">
        <v>84</v>
      </c>
      <c r="BS303" s="3">
        <v>45975</v>
      </c>
      <c r="BT303" s="4">
        <v>0.5</v>
      </c>
      <c r="BU303" t="s">
        <v>1097</v>
      </c>
      <c r="BV303" t="s">
        <v>86</v>
      </c>
      <c r="BY303">
        <v>12590.4</v>
      </c>
      <c r="BZ303" t="s">
        <v>126</v>
      </c>
      <c r="CC303" t="s">
        <v>144</v>
      </c>
      <c r="CD303">
        <v>7600</v>
      </c>
      <c r="CE303" t="s">
        <v>807</v>
      </c>
      <c r="CF303" s="3">
        <v>45978</v>
      </c>
      <c r="CI303">
        <v>1</v>
      </c>
      <c r="CJ303">
        <v>1</v>
      </c>
      <c r="CK303">
        <v>22</v>
      </c>
      <c r="CL303" t="s">
        <v>89</v>
      </c>
    </row>
    <row r="304" spans="1:90" x14ac:dyDescent="0.3">
      <c r="A304" t="s">
        <v>72</v>
      </c>
      <c r="B304" t="s">
        <v>73</v>
      </c>
      <c r="C304" t="s">
        <v>74</v>
      </c>
      <c r="E304" t="str">
        <f>"GAB2029816"</f>
        <v>GAB2029816</v>
      </c>
      <c r="F304" s="3">
        <v>45974</v>
      </c>
      <c r="G304">
        <v>202608</v>
      </c>
      <c r="H304" t="s">
        <v>75</v>
      </c>
      <c r="I304" t="s">
        <v>76</v>
      </c>
      <c r="J304" t="s">
        <v>77</v>
      </c>
      <c r="K304" t="s">
        <v>78</v>
      </c>
      <c r="L304" t="s">
        <v>169</v>
      </c>
      <c r="M304" t="s">
        <v>170</v>
      </c>
      <c r="N304" t="s">
        <v>1098</v>
      </c>
      <c r="O304" t="s">
        <v>124</v>
      </c>
      <c r="P304" t="str">
        <f>"INVOICE00041448 ORDGS038092   "</f>
        <v xml:space="preserve">INVOICE00041448 ORDGS038092   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32.07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1</v>
      </c>
      <c r="BI304">
        <v>0.3</v>
      </c>
      <c r="BJ304">
        <v>2.6</v>
      </c>
      <c r="BK304">
        <v>3</v>
      </c>
      <c r="BL304">
        <v>104.95</v>
      </c>
      <c r="BM304">
        <v>15.74</v>
      </c>
      <c r="BN304">
        <v>120.69</v>
      </c>
      <c r="BO304">
        <v>120.69</v>
      </c>
      <c r="BQ304" t="s">
        <v>740</v>
      </c>
      <c r="BR304" t="s">
        <v>84</v>
      </c>
      <c r="BS304" s="3">
        <v>45975</v>
      </c>
      <c r="BT304" s="4">
        <v>0.35416666666666669</v>
      </c>
      <c r="BU304" t="s">
        <v>1099</v>
      </c>
      <c r="BV304" t="s">
        <v>86</v>
      </c>
      <c r="BY304">
        <v>12750</v>
      </c>
      <c r="BZ304" t="s">
        <v>126</v>
      </c>
      <c r="CA304" t="s">
        <v>916</v>
      </c>
      <c r="CC304" t="s">
        <v>170</v>
      </c>
      <c r="CD304">
        <v>2001</v>
      </c>
      <c r="CE304" t="s">
        <v>843</v>
      </c>
      <c r="CF304" s="3">
        <v>45975</v>
      </c>
      <c r="CI304">
        <v>1</v>
      </c>
      <c r="CJ304">
        <v>1</v>
      </c>
      <c r="CK304">
        <v>21</v>
      </c>
      <c r="CL304" t="s">
        <v>89</v>
      </c>
    </row>
    <row r="305" spans="1:90" x14ac:dyDescent="0.3">
      <c r="A305" t="s">
        <v>72</v>
      </c>
      <c r="B305" t="s">
        <v>73</v>
      </c>
      <c r="C305" t="s">
        <v>74</v>
      </c>
      <c r="E305" t="str">
        <f>"GAB2029818"</f>
        <v>GAB2029818</v>
      </c>
      <c r="F305" s="3">
        <v>45974</v>
      </c>
      <c r="G305">
        <v>202608</v>
      </c>
      <c r="H305" t="s">
        <v>75</v>
      </c>
      <c r="I305" t="s">
        <v>76</v>
      </c>
      <c r="J305" t="s">
        <v>77</v>
      </c>
      <c r="K305" t="s">
        <v>78</v>
      </c>
      <c r="L305" t="s">
        <v>230</v>
      </c>
      <c r="M305" t="s">
        <v>231</v>
      </c>
      <c r="N305" t="s">
        <v>232</v>
      </c>
      <c r="O305" t="s">
        <v>124</v>
      </c>
      <c r="P305" t="str">
        <f>"INVOICE00041451 ORDGS038106   "</f>
        <v xml:space="preserve">INVOICE00041451 ORDGS038106   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21.38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1</v>
      </c>
      <c r="BI305">
        <v>0.3</v>
      </c>
      <c r="BJ305">
        <v>1.8</v>
      </c>
      <c r="BK305">
        <v>2</v>
      </c>
      <c r="BL305">
        <v>69.98</v>
      </c>
      <c r="BM305">
        <v>10.5</v>
      </c>
      <c r="BN305">
        <v>80.48</v>
      </c>
      <c r="BO305">
        <v>80.48</v>
      </c>
      <c r="BR305" t="s">
        <v>84</v>
      </c>
      <c r="BS305" s="3">
        <v>45975</v>
      </c>
      <c r="BT305" s="4">
        <v>0.34652777777777777</v>
      </c>
      <c r="BU305" t="s">
        <v>948</v>
      </c>
      <c r="BV305" t="s">
        <v>86</v>
      </c>
      <c r="BY305">
        <v>8857.08</v>
      </c>
      <c r="BZ305" t="s">
        <v>126</v>
      </c>
      <c r="CA305">
        <v>8102155384080</v>
      </c>
      <c r="CC305" t="s">
        <v>231</v>
      </c>
      <c r="CD305" s="5" t="s">
        <v>235</v>
      </c>
      <c r="CE305" t="s">
        <v>814</v>
      </c>
      <c r="CF305" s="3">
        <v>45975</v>
      </c>
      <c r="CI305">
        <v>1</v>
      </c>
      <c r="CJ305">
        <v>1</v>
      </c>
      <c r="CK305">
        <v>21</v>
      </c>
      <c r="CL305" t="s">
        <v>89</v>
      </c>
    </row>
    <row r="306" spans="1:90" x14ac:dyDescent="0.3">
      <c r="A306" t="s">
        <v>72</v>
      </c>
      <c r="B306" t="s">
        <v>73</v>
      </c>
      <c r="C306" t="s">
        <v>74</v>
      </c>
      <c r="E306" t="str">
        <f>"GAB2029819"</f>
        <v>GAB2029819</v>
      </c>
      <c r="F306" s="3">
        <v>45974</v>
      </c>
      <c r="G306">
        <v>202608</v>
      </c>
      <c r="H306" t="s">
        <v>75</v>
      </c>
      <c r="I306" t="s">
        <v>76</v>
      </c>
      <c r="J306" t="s">
        <v>77</v>
      </c>
      <c r="K306" t="s">
        <v>78</v>
      </c>
      <c r="L306" t="s">
        <v>207</v>
      </c>
      <c r="M306" t="s">
        <v>208</v>
      </c>
      <c r="N306" t="s">
        <v>1100</v>
      </c>
      <c r="O306" t="s">
        <v>124</v>
      </c>
      <c r="P306" t="str">
        <f>"INVOICE00122696 CT098250      "</f>
        <v xml:space="preserve">INVOICE00122696 CT098250      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21.38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1</v>
      </c>
      <c r="BI306">
        <v>0.2</v>
      </c>
      <c r="BJ306">
        <v>2</v>
      </c>
      <c r="BK306">
        <v>2</v>
      </c>
      <c r="BL306">
        <v>69.98</v>
      </c>
      <c r="BM306">
        <v>10.5</v>
      </c>
      <c r="BN306">
        <v>80.48</v>
      </c>
      <c r="BO306">
        <v>80.48</v>
      </c>
      <c r="BQ306" t="s">
        <v>1101</v>
      </c>
      <c r="BR306" t="s">
        <v>84</v>
      </c>
      <c r="BS306" s="3">
        <v>45978</v>
      </c>
      <c r="BT306" s="4">
        <v>0.43680555555555556</v>
      </c>
      <c r="BU306" t="s">
        <v>1102</v>
      </c>
      <c r="BV306" t="s">
        <v>86</v>
      </c>
      <c r="BY306">
        <v>10232.64</v>
      </c>
      <c r="BZ306" t="s">
        <v>126</v>
      </c>
      <c r="CC306" t="s">
        <v>208</v>
      </c>
      <c r="CD306">
        <v>8301</v>
      </c>
      <c r="CE306" t="s">
        <v>367</v>
      </c>
      <c r="CF306" s="3">
        <v>45979</v>
      </c>
      <c r="CI306">
        <v>2</v>
      </c>
      <c r="CJ306">
        <v>2</v>
      </c>
      <c r="CK306">
        <v>21</v>
      </c>
      <c r="CL306" t="s">
        <v>89</v>
      </c>
    </row>
    <row r="307" spans="1:90" x14ac:dyDescent="0.3">
      <c r="A307" t="s">
        <v>72</v>
      </c>
      <c r="B307" t="s">
        <v>73</v>
      </c>
      <c r="C307" t="s">
        <v>74</v>
      </c>
      <c r="E307" t="str">
        <f>"GAB2029820"</f>
        <v>GAB2029820</v>
      </c>
      <c r="F307" s="3">
        <v>45974</v>
      </c>
      <c r="G307">
        <v>202608</v>
      </c>
      <c r="H307" t="s">
        <v>75</v>
      </c>
      <c r="I307" t="s">
        <v>76</v>
      </c>
      <c r="J307" t="s">
        <v>77</v>
      </c>
      <c r="K307" t="s">
        <v>78</v>
      </c>
      <c r="L307" t="s">
        <v>75</v>
      </c>
      <c r="M307" t="s">
        <v>76</v>
      </c>
      <c r="N307" t="s">
        <v>386</v>
      </c>
      <c r="O307" t="s">
        <v>124</v>
      </c>
      <c r="P307" t="str">
        <f>"invoice00122703 00122686 00122"</f>
        <v>invoice00122703 00122686 00122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16.7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1</v>
      </c>
      <c r="BI307">
        <v>0.4</v>
      </c>
      <c r="BJ307">
        <v>2.8</v>
      </c>
      <c r="BK307">
        <v>3</v>
      </c>
      <c r="BL307">
        <v>54.66</v>
      </c>
      <c r="BM307">
        <v>8.1999999999999993</v>
      </c>
      <c r="BN307">
        <v>62.86</v>
      </c>
      <c r="BO307">
        <v>62.86</v>
      </c>
      <c r="BQ307" t="s">
        <v>1103</v>
      </c>
      <c r="BR307" t="s">
        <v>84</v>
      </c>
      <c r="BS307" s="3">
        <v>45975</v>
      </c>
      <c r="BT307" s="4">
        <v>0.42916666666666664</v>
      </c>
      <c r="BU307" t="s">
        <v>1103</v>
      </c>
      <c r="BV307" t="s">
        <v>86</v>
      </c>
      <c r="BY307">
        <v>13759.2</v>
      </c>
      <c r="BZ307" t="s">
        <v>126</v>
      </c>
      <c r="CA307" t="s">
        <v>1104</v>
      </c>
      <c r="CC307" t="s">
        <v>76</v>
      </c>
      <c r="CD307">
        <v>7800</v>
      </c>
      <c r="CE307" t="s">
        <v>329</v>
      </c>
      <c r="CF307" s="3">
        <v>45978</v>
      </c>
      <c r="CI307">
        <v>1</v>
      </c>
      <c r="CJ307">
        <v>1</v>
      </c>
      <c r="CK307">
        <v>22</v>
      </c>
      <c r="CL307" t="s">
        <v>89</v>
      </c>
    </row>
    <row r="308" spans="1:90" x14ac:dyDescent="0.3">
      <c r="A308" t="s">
        <v>72</v>
      </c>
      <c r="B308" t="s">
        <v>73</v>
      </c>
      <c r="C308" t="s">
        <v>74</v>
      </c>
      <c r="E308" t="str">
        <f>"GAB2029824"</f>
        <v>GAB2029824</v>
      </c>
      <c r="F308" s="3">
        <v>45974</v>
      </c>
      <c r="G308">
        <v>202608</v>
      </c>
      <c r="H308" t="s">
        <v>75</v>
      </c>
      <c r="I308" t="s">
        <v>76</v>
      </c>
      <c r="J308" t="s">
        <v>77</v>
      </c>
      <c r="K308" t="s">
        <v>78</v>
      </c>
      <c r="L308" t="s">
        <v>230</v>
      </c>
      <c r="M308" t="s">
        <v>231</v>
      </c>
      <c r="N308" t="s">
        <v>379</v>
      </c>
      <c r="O308" t="s">
        <v>124</v>
      </c>
      <c r="P308" t="str">
        <f>"INVOICE 00041459 ORDGS038128  "</f>
        <v xml:space="preserve">INVOICE 00041459 ORDGS038128  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21.38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1</v>
      </c>
      <c r="BI308">
        <v>0.3</v>
      </c>
      <c r="BJ308">
        <v>1.9</v>
      </c>
      <c r="BK308">
        <v>2</v>
      </c>
      <c r="BL308">
        <v>69.98</v>
      </c>
      <c r="BM308">
        <v>10.5</v>
      </c>
      <c r="BN308">
        <v>80.48</v>
      </c>
      <c r="BO308">
        <v>80.48</v>
      </c>
      <c r="BQ308" t="s">
        <v>380</v>
      </c>
      <c r="BR308" t="s">
        <v>84</v>
      </c>
      <c r="BS308" s="3">
        <v>45975</v>
      </c>
      <c r="BT308" s="4">
        <v>0.34722222222222221</v>
      </c>
      <c r="BU308" t="s">
        <v>381</v>
      </c>
      <c r="BV308" t="s">
        <v>86</v>
      </c>
      <c r="BY308">
        <v>9345.6</v>
      </c>
      <c r="BZ308" t="s">
        <v>126</v>
      </c>
      <c r="CA308">
        <v>9801105950085</v>
      </c>
      <c r="CC308" t="s">
        <v>231</v>
      </c>
      <c r="CD308" s="5" t="s">
        <v>382</v>
      </c>
      <c r="CE308" t="s">
        <v>128</v>
      </c>
      <c r="CF308" s="3">
        <v>45975</v>
      </c>
      <c r="CI308">
        <v>1</v>
      </c>
      <c r="CJ308">
        <v>1</v>
      </c>
      <c r="CK308">
        <v>21</v>
      </c>
      <c r="CL308" t="s">
        <v>89</v>
      </c>
    </row>
    <row r="309" spans="1:90" x14ac:dyDescent="0.3">
      <c r="A309" t="s">
        <v>72</v>
      </c>
      <c r="B309" t="s">
        <v>73</v>
      </c>
      <c r="C309" t="s">
        <v>74</v>
      </c>
      <c r="E309" t="str">
        <f>"GAB2029825"</f>
        <v>GAB2029825</v>
      </c>
      <c r="F309" s="3">
        <v>45974</v>
      </c>
      <c r="G309">
        <v>202608</v>
      </c>
      <c r="H309" t="s">
        <v>75</v>
      </c>
      <c r="I309" t="s">
        <v>76</v>
      </c>
      <c r="J309" t="s">
        <v>77</v>
      </c>
      <c r="K309" t="s">
        <v>78</v>
      </c>
      <c r="L309" t="s">
        <v>75</v>
      </c>
      <c r="M309" t="s">
        <v>76</v>
      </c>
      <c r="N309" t="s">
        <v>1105</v>
      </c>
      <c r="O309" t="s">
        <v>124</v>
      </c>
      <c r="P309" t="str">
        <f>"INVOICXWE 00122702 CT098253   "</f>
        <v xml:space="preserve">INVOICXWE 00122702 CT098253   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16.7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1</v>
      </c>
      <c r="BI309">
        <v>0.4</v>
      </c>
      <c r="BJ309">
        <v>2.1</v>
      </c>
      <c r="BK309">
        <v>3</v>
      </c>
      <c r="BL309">
        <v>54.66</v>
      </c>
      <c r="BM309">
        <v>8.1999999999999993</v>
      </c>
      <c r="BN309">
        <v>62.86</v>
      </c>
      <c r="BO309">
        <v>62.86</v>
      </c>
      <c r="BQ309" t="s">
        <v>1106</v>
      </c>
      <c r="BR309" t="s">
        <v>84</v>
      </c>
      <c r="BS309" s="3">
        <v>45975</v>
      </c>
      <c r="BT309" s="4">
        <v>0.42083333333333334</v>
      </c>
      <c r="BU309" t="s">
        <v>1107</v>
      </c>
      <c r="BV309" t="s">
        <v>86</v>
      </c>
      <c r="BY309">
        <v>10428.6</v>
      </c>
      <c r="BZ309" t="s">
        <v>126</v>
      </c>
      <c r="CA309" t="s">
        <v>1108</v>
      </c>
      <c r="CC309" t="s">
        <v>76</v>
      </c>
      <c r="CD309">
        <v>7404</v>
      </c>
      <c r="CE309" t="s">
        <v>181</v>
      </c>
      <c r="CF309" s="3">
        <v>45978</v>
      </c>
      <c r="CI309">
        <v>1</v>
      </c>
      <c r="CJ309">
        <v>1</v>
      </c>
      <c r="CK309">
        <v>22</v>
      </c>
      <c r="CL309" t="s">
        <v>89</v>
      </c>
    </row>
    <row r="310" spans="1:90" x14ac:dyDescent="0.3">
      <c r="A310" t="s">
        <v>72</v>
      </c>
      <c r="B310" t="s">
        <v>73</v>
      </c>
      <c r="C310" t="s">
        <v>74</v>
      </c>
      <c r="E310" t="str">
        <f>"GAB2029826"</f>
        <v>GAB2029826</v>
      </c>
      <c r="F310" s="3">
        <v>45974</v>
      </c>
      <c r="G310">
        <v>202608</v>
      </c>
      <c r="H310" t="s">
        <v>75</v>
      </c>
      <c r="I310" t="s">
        <v>76</v>
      </c>
      <c r="J310" t="s">
        <v>77</v>
      </c>
      <c r="K310" t="s">
        <v>78</v>
      </c>
      <c r="L310" t="s">
        <v>75</v>
      </c>
      <c r="M310" t="s">
        <v>76</v>
      </c>
      <c r="N310" t="s">
        <v>481</v>
      </c>
      <c r="O310" t="s">
        <v>124</v>
      </c>
      <c r="P310" t="str">
        <f>"INVOICE 00122700 CT098242     "</f>
        <v xml:space="preserve">INVOICE 00122700 CT098242     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16.7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1</v>
      </c>
      <c r="BI310">
        <v>1.1000000000000001</v>
      </c>
      <c r="BJ310">
        <v>2.5</v>
      </c>
      <c r="BK310">
        <v>3</v>
      </c>
      <c r="BL310">
        <v>54.66</v>
      </c>
      <c r="BM310">
        <v>8.1999999999999993</v>
      </c>
      <c r="BN310">
        <v>62.86</v>
      </c>
      <c r="BO310">
        <v>62.86</v>
      </c>
      <c r="BQ310" t="s">
        <v>482</v>
      </c>
      <c r="BR310" t="s">
        <v>84</v>
      </c>
      <c r="BS310" s="3">
        <v>45975</v>
      </c>
      <c r="BT310" s="4">
        <v>0.37569444444444444</v>
      </c>
      <c r="BU310" t="s">
        <v>483</v>
      </c>
      <c r="BV310" t="s">
        <v>86</v>
      </c>
      <c r="BY310">
        <v>12620.1</v>
      </c>
      <c r="BZ310" t="s">
        <v>126</v>
      </c>
      <c r="CA310" t="s">
        <v>484</v>
      </c>
      <c r="CC310" t="s">
        <v>76</v>
      </c>
      <c r="CD310">
        <v>7441</v>
      </c>
      <c r="CE310" t="s">
        <v>1109</v>
      </c>
      <c r="CF310" s="3">
        <v>45978</v>
      </c>
      <c r="CI310">
        <v>1</v>
      </c>
      <c r="CJ310">
        <v>1</v>
      </c>
      <c r="CK310">
        <v>22</v>
      </c>
      <c r="CL310" t="s">
        <v>89</v>
      </c>
    </row>
    <row r="311" spans="1:90" x14ac:dyDescent="0.3">
      <c r="A311" t="s">
        <v>72</v>
      </c>
      <c r="B311" t="s">
        <v>73</v>
      </c>
      <c r="C311" t="s">
        <v>74</v>
      </c>
      <c r="E311" t="str">
        <f>"GAB2029827"</f>
        <v>GAB2029827</v>
      </c>
      <c r="F311" s="3">
        <v>45974</v>
      </c>
      <c r="G311">
        <v>202608</v>
      </c>
      <c r="H311" t="s">
        <v>75</v>
      </c>
      <c r="I311" t="s">
        <v>76</v>
      </c>
      <c r="J311" t="s">
        <v>77</v>
      </c>
      <c r="K311" t="s">
        <v>78</v>
      </c>
      <c r="L311" t="s">
        <v>155</v>
      </c>
      <c r="M311" t="s">
        <v>156</v>
      </c>
      <c r="N311" t="s">
        <v>1110</v>
      </c>
      <c r="O311" t="s">
        <v>124</v>
      </c>
      <c r="P311" t="str">
        <f>"INVOICE 00122704 CT098244     "</f>
        <v xml:space="preserve">INVOICE 00122704 CT098244     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26.73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1</v>
      </c>
      <c r="BI311">
        <v>0.4</v>
      </c>
      <c r="BJ311">
        <v>2.2000000000000002</v>
      </c>
      <c r="BK311">
        <v>2.5</v>
      </c>
      <c r="BL311">
        <v>87.47</v>
      </c>
      <c r="BM311">
        <v>13.12</v>
      </c>
      <c r="BN311">
        <v>100.59</v>
      </c>
      <c r="BO311">
        <v>100.59</v>
      </c>
      <c r="BQ311" t="s">
        <v>1111</v>
      </c>
      <c r="BR311" t="s">
        <v>84</v>
      </c>
      <c r="BS311" s="3">
        <v>45975</v>
      </c>
      <c r="BT311" s="4">
        <v>0.3923611111111111</v>
      </c>
      <c r="BU311" t="s">
        <v>1112</v>
      </c>
      <c r="BV311" t="s">
        <v>86</v>
      </c>
      <c r="BY311">
        <v>10899.36</v>
      </c>
      <c r="BZ311" t="s">
        <v>126</v>
      </c>
      <c r="CA311" t="s">
        <v>1113</v>
      </c>
      <c r="CC311" t="s">
        <v>156</v>
      </c>
      <c r="CD311">
        <v>1400</v>
      </c>
      <c r="CE311" t="s">
        <v>383</v>
      </c>
      <c r="CF311" s="3">
        <v>45975</v>
      </c>
      <c r="CI311">
        <v>1</v>
      </c>
      <c r="CJ311">
        <v>1</v>
      </c>
      <c r="CK311">
        <v>21</v>
      </c>
      <c r="CL311" t="s">
        <v>89</v>
      </c>
    </row>
    <row r="312" spans="1:90" x14ac:dyDescent="0.3">
      <c r="A312" t="s">
        <v>72</v>
      </c>
      <c r="B312" t="s">
        <v>73</v>
      </c>
      <c r="C312" t="s">
        <v>74</v>
      </c>
      <c r="E312" t="str">
        <f>"GAB2029828"</f>
        <v>GAB2029828</v>
      </c>
      <c r="F312" s="3">
        <v>45974</v>
      </c>
      <c r="G312">
        <v>202608</v>
      </c>
      <c r="H312" t="s">
        <v>75</v>
      </c>
      <c r="I312" t="s">
        <v>76</v>
      </c>
      <c r="J312" t="s">
        <v>77</v>
      </c>
      <c r="K312" t="s">
        <v>78</v>
      </c>
      <c r="L312" t="s">
        <v>230</v>
      </c>
      <c r="M312" t="s">
        <v>231</v>
      </c>
      <c r="N312" t="s">
        <v>473</v>
      </c>
      <c r="O312" t="s">
        <v>124</v>
      </c>
      <c r="P312" t="str">
        <f>"INVOICE 00122708 CT098254     "</f>
        <v xml:space="preserve">INVOICE 00122708 CT098254     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21.38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1</v>
      </c>
      <c r="BI312">
        <v>0.4</v>
      </c>
      <c r="BJ312">
        <v>2</v>
      </c>
      <c r="BK312">
        <v>2</v>
      </c>
      <c r="BL312">
        <v>69.98</v>
      </c>
      <c r="BM312">
        <v>10.5</v>
      </c>
      <c r="BN312">
        <v>80.48</v>
      </c>
      <c r="BO312">
        <v>80.48</v>
      </c>
      <c r="BQ312" t="s">
        <v>474</v>
      </c>
      <c r="BR312" t="s">
        <v>84</v>
      </c>
      <c r="BS312" s="3">
        <v>45975</v>
      </c>
      <c r="BT312" s="4">
        <v>0.4375</v>
      </c>
      <c r="BU312" t="s">
        <v>1114</v>
      </c>
      <c r="BV312" t="s">
        <v>86</v>
      </c>
      <c r="BY312">
        <v>9763.85</v>
      </c>
      <c r="BZ312" t="s">
        <v>126</v>
      </c>
      <c r="CA312">
        <v>9208135296085</v>
      </c>
      <c r="CC312" t="s">
        <v>231</v>
      </c>
      <c r="CD312" s="5" t="s">
        <v>382</v>
      </c>
      <c r="CE312" t="s">
        <v>149</v>
      </c>
      <c r="CF312" s="3">
        <v>45975</v>
      </c>
      <c r="CI312">
        <v>1</v>
      </c>
      <c r="CJ312">
        <v>1</v>
      </c>
      <c r="CK312">
        <v>21</v>
      </c>
      <c r="CL312" t="s">
        <v>89</v>
      </c>
    </row>
    <row r="313" spans="1:90" x14ac:dyDescent="0.3">
      <c r="A313" t="s">
        <v>72</v>
      </c>
      <c r="B313" t="s">
        <v>73</v>
      </c>
      <c r="C313" t="s">
        <v>74</v>
      </c>
      <c r="E313" t="str">
        <f>"GAB2029829"</f>
        <v>GAB2029829</v>
      </c>
      <c r="F313" s="3">
        <v>45974</v>
      </c>
      <c r="G313">
        <v>202608</v>
      </c>
      <c r="H313" t="s">
        <v>75</v>
      </c>
      <c r="I313" t="s">
        <v>76</v>
      </c>
      <c r="J313" t="s">
        <v>77</v>
      </c>
      <c r="K313" t="s">
        <v>78</v>
      </c>
      <c r="L313" t="s">
        <v>230</v>
      </c>
      <c r="M313" t="s">
        <v>231</v>
      </c>
      <c r="N313" t="s">
        <v>335</v>
      </c>
      <c r="O313" t="s">
        <v>124</v>
      </c>
      <c r="P313" t="str">
        <f>"INVOICE 00041461 ORDGS038120  "</f>
        <v xml:space="preserve">INVOICE 00041461 ORDGS038120  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21.38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1</v>
      </c>
      <c r="BI313">
        <v>0.3</v>
      </c>
      <c r="BJ313">
        <v>1.7</v>
      </c>
      <c r="BK313">
        <v>2</v>
      </c>
      <c r="BL313">
        <v>69.98</v>
      </c>
      <c r="BM313">
        <v>10.5</v>
      </c>
      <c r="BN313">
        <v>80.48</v>
      </c>
      <c r="BO313">
        <v>80.48</v>
      </c>
      <c r="BQ313" t="s">
        <v>1115</v>
      </c>
      <c r="BR313" t="s">
        <v>84</v>
      </c>
      <c r="BS313" s="3">
        <v>45975</v>
      </c>
      <c r="BT313" s="4">
        <v>0.31597222222222221</v>
      </c>
      <c r="BU313" t="s">
        <v>1116</v>
      </c>
      <c r="BV313" t="s">
        <v>86</v>
      </c>
      <c r="BY313">
        <v>8549.48</v>
      </c>
      <c r="BZ313" t="s">
        <v>126</v>
      </c>
      <c r="CA313">
        <v>9107126013089</v>
      </c>
      <c r="CC313" t="s">
        <v>231</v>
      </c>
      <c r="CD313" s="5" t="s">
        <v>235</v>
      </c>
      <c r="CE313" t="s">
        <v>1117</v>
      </c>
      <c r="CF313" s="3">
        <v>45975</v>
      </c>
      <c r="CI313">
        <v>1</v>
      </c>
      <c r="CJ313">
        <v>1</v>
      </c>
      <c r="CK313">
        <v>21</v>
      </c>
      <c r="CL313" t="s">
        <v>89</v>
      </c>
    </row>
    <row r="314" spans="1:90" x14ac:dyDescent="0.3">
      <c r="A314" t="s">
        <v>72</v>
      </c>
      <c r="B314" t="s">
        <v>73</v>
      </c>
      <c r="C314" t="s">
        <v>74</v>
      </c>
      <c r="E314" t="str">
        <f>"GAB2029830"</f>
        <v>GAB2029830</v>
      </c>
      <c r="F314" s="3">
        <v>45974</v>
      </c>
      <c r="G314">
        <v>202608</v>
      </c>
      <c r="H314" t="s">
        <v>75</v>
      </c>
      <c r="I314" t="s">
        <v>76</v>
      </c>
      <c r="J314" t="s">
        <v>77</v>
      </c>
      <c r="K314" t="s">
        <v>78</v>
      </c>
      <c r="L314" t="s">
        <v>465</v>
      </c>
      <c r="M314" t="s">
        <v>466</v>
      </c>
      <c r="N314" t="s">
        <v>467</v>
      </c>
      <c r="O314" t="s">
        <v>124</v>
      </c>
      <c r="P314" t="str">
        <f>"INVOICE 00122712 CT098258     "</f>
        <v xml:space="preserve">INVOICE 00122712 CT098258     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41.43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1</v>
      </c>
      <c r="BI314">
        <v>0.2</v>
      </c>
      <c r="BJ314">
        <v>1.4</v>
      </c>
      <c r="BK314">
        <v>1.5</v>
      </c>
      <c r="BL314">
        <v>135.59</v>
      </c>
      <c r="BM314">
        <v>20.34</v>
      </c>
      <c r="BN314">
        <v>155.93</v>
      </c>
      <c r="BO314">
        <v>155.93</v>
      </c>
      <c r="BQ314" t="s">
        <v>468</v>
      </c>
      <c r="BR314" t="s">
        <v>84</v>
      </c>
      <c r="BS314" s="3">
        <v>45975</v>
      </c>
      <c r="BT314" s="4">
        <v>0.38680555555555557</v>
      </c>
      <c r="BU314" t="s">
        <v>1118</v>
      </c>
      <c r="BV314" t="s">
        <v>86</v>
      </c>
      <c r="BY314">
        <v>7013.16</v>
      </c>
      <c r="BZ314" t="s">
        <v>126</v>
      </c>
      <c r="CA314" t="s">
        <v>470</v>
      </c>
      <c r="CC314" t="s">
        <v>466</v>
      </c>
      <c r="CD314">
        <v>2515</v>
      </c>
      <c r="CE314" t="s">
        <v>154</v>
      </c>
      <c r="CF314" s="3">
        <v>45975</v>
      </c>
      <c r="CI314">
        <v>1</v>
      </c>
      <c r="CJ314">
        <v>1</v>
      </c>
      <c r="CK314">
        <v>23</v>
      </c>
      <c r="CL314" t="s">
        <v>89</v>
      </c>
    </row>
    <row r="315" spans="1:90" x14ac:dyDescent="0.3">
      <c r="A315" t="s">
        <v>72</v>
      </c>
      <c r="B315" t="s">
        <v>73</v>
      </c>
      <c r="C315" t="s">
        <v>74</v>
      </c>
      <c r="E315" t="str">
        <f>"009945158419"</f>
        <v>009945158419</v>
      </c>
      <c r="F315" s="3">
        <v>45974</v>
      </c>
      <c r="G315">
        <v>202608</v>
      </c>
      <c r="H315" t="s">
        <v>230</v>
      </c>
      <c r="I315" t="s">
        <v>231</v>
      </c>
      <c r="J315" t="s">
        <v>236</v>
      </c>
      <c r="K315" t="s">
        <v>78</v>
      </c>
      <c r="L315" t="s">
        <v>1119</v>
      </c>
      <c r="M315" t="s">
        <v>1120</v>
      </c>
      <c r="N315" t="s">
        <v>1121</v>
      </c>
      <c r="O315" t="s">
        <v>82</v>
      </c>
      <c r="P315" t="str">
        <f>"NO REF                        "</f>
        <v xml:space="preserve">NO REF                        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5.87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58.32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1</v>
      </c>
      <c r="BI315">
        <v>1</v>
      </c>
      <c r="BJ315">
        <v>0.2</v>
      </c>
      <c r="BK315">
        <v>1</v>
      </c>
      <c r="BL315">
        <v>196.74</v>
      </c>
      <c r="BM315">
        <v>29.51</v>
      </c>
      <c r="BN315">
        <v>226.25</v>
      </c>
      <c r="BO315">
        <v>226.25</v>
      </c>
      <c r="BQ315" t="s">
        <v>1122</v>
      </c>
      <c r="BR315" t="s">
        <v>241</v>
      </c>
      <c r="BS315" s="3">
        <v>45975</v>
      </c>
      <c r="BT315" s="4">
        <v>0.37152777777777779</v>
      </c>
      <c r="BU315" t="s">
        <v>1123</v>
      </c>
      <c r="BV315" t="s">
        <v>86</v>
      </c>
      <c r="BY315">
        <v>1200</v>
      </c>
      <c r="BZ315" t="s">
        <v>505</v>
      </c>
      <c r="CA315" t="s">
        <v>1124</v>
      </c>
      <c r="CC315" t="s">
        <v>1120</v>
      </c>
      <c r="CD315">
        <v>2940</v>
      </c>
      <c r="CE315" t="s">
        <v>245</v>
      </c>
      <c r="CF315" s="3">
        <v>45978</v>
      </c>
      <c r="CI315">
        <v>1</v>
      </c>
      <c r="CJ315">
        <v>1</v>
      </c>
      <c r="CK315">
        <v>43</v>
      </c>
      <c r="CL315" t="s">
        <v>89</v>
      </c>
    </row>
    <row r="316" spans="1:90" x14ac:dyDescent="0.3">
      <c r="A316" t="s">
        <v>72</v>
      </c>
      <c r="B316" t="s">
        <v>73</v>
      </c>
      <c r="C316" t="s">
        <v>74</v>
      </c>
      <c r="E316" t="str">
        <f>"009944868260"</f>
        <v>009944868260</v>
      </c>
      <c r="F316" s="3">
        <v>45974</v>
      </c>
      <c r="G316">
        <v>202608</v>
      </c>
      <c r="H316" t="s">
        <v>246</v>
      </c>
      <c r="I316" t="s">
        <v>247</v>
      </c>
      <c r="J316" t="s">
        <v>236</v>
      </c>
      <c r="K316" t="s">
        <v>78</v>
      </c>
      <c r="L316" t="s">
        <v>79</v>
      </c>
      <c r="M316" t="s">
        <v>80</v>
      </c>
      <c r="N316" t="s">
        <v>236</v>
      </c>
      <c r="O316" t="s">
        <v>124</v>
      </c>
      <c r="P316" t="str">
        <f>"                              "</f>
        <v xml:space="preserve">                              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32.07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1</v>
      </c>
      <c r="BI316">
        <v>3</v>
      </c>
      <c r="BJ316">
        <v>2.4</v>
      </c>
      <c r="BK316">
        <v>3</v>
      </c>
      <c r="BL316">
        <v>104.95</v>
      </c>
      <c r="BM316">
        <v>15.74</v>
      </c>
      <c r="BN316">
        <v>120.69</v>
      </c>
      <c r="BO316">
        <v>120.69</v>
      </c>
      <c r="BQ316" t="s">
        <v>241</v>
      </c>
      <c r="BR316" t="s">
        <v>248</v>
      </c>
      <c r="BS316" s="3">
        <v>45975</v>
      </c>
      <c r="BT316" s="4">
        <v>0.33263888888888887</v>
      </c>
      <c r="BU316" t="s">
        <v>322</v>
      </c>
      <c r="BV316" t="s">
        <v>86</v>
      </c>
      <c r="BY316">
        <v>12000</v>
      </c>
      <c r="BZ316" t="s">
        <v>126</v>
      </c>
      <c r="CA316">
        <v>9512275238082</v>
      </c>
      <c r="CC316" t="s">
        <v>80</v>
      </c>
      <c r="CD316" s="5" t="s">
        <v>1125</v>
      </c>
      <c r="CE316" t="s">
        <v>245</v>
      </c>
      <c r="CF316" s="3">
        <v>45975</v>
      </c>
      <c r="CI316">
        <v>1</v>
      </c>
      <c r="CJ316">
        <v>1</v>
      </c>
      <c r="CK316">
        <v>21</v>
      </c>
      <c r="CL316" t="s">
        <v>89</v>
      </c>
    </row>
    <row r="317" spans="1:90" x14ac:dyDescent="0.3">
      <c r="A317" t="s">
        <v>72</v>
      </c>
      <c r="B317" t="s">
        <v>73</v>
      </c>
      <c r="C317" t="s">
        <v>74</v>
      </c>
      <c r="E317" t="str">
        <f>"GAB2029837"</f>
        <v>GAB2029837</v>
      </c>
      <c r="F317" s="3">
        <v>45975</v>
      </c>
      <c r="G317">
        <v>202608</v>
      </c>
      <c r="H317" t="s">
        <v>75</v>
      </c>
      <c r="I317" t="s">
        <v>76</v>
      </c>
      <c r="J317" t="s">
        <v>77</v>
      </c>
      <c r="K317" t="s">
        <v>78</v>
      </c>
      <c r="L317" t="s">
        <v>182</v>
      </c>
      <c r="M317" t="s">
        <v>183</v>
      </c>
      <c r="N317" t="s">
        <v>1042</v>
      </c>
      <c r="O317" t="s">
        <v>82</v>
      </c>
      <c r="P317" t="str">
        <f>"INVOICE00122729 00122728 00122"</f>
        <v>INVOICE00122729 00122728 00122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5.87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58.32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1</v>
      </c>
      <c r="BI317">
        <v>4.5</v>
      </c>
      <c r="BJ317">
        <v>12.1</v>
      </c>
      <c r="BK317">
        <v>13</v>
      </c>
      <c r="BL317">
        <v>196.74</v>
      </c>
      <c r="BM317">
        <v>29.51</v>
      </c>
      <c r="BN317">
        <v>226.25</v>
      </c>
      <c r="BO317">
        <v>226.25</v>
      </c>
      <c r="BQ317" t="s">
        <v>1126</v>
      </c>
      <c r="BR317" t="s">
        <v>84</v>
      </c>
      <c r="BS317" s="3">
        <v>45978</v>
      </c>
      <c r="BT317" s="4">
        <v>0.59375</v>
      </c>
      <c r="BU317" t="s">
        <v>1127</v>
      </c>
      <c r="BV317" t="s">
        <v>86</v>
      </c>
      <c r="BY317">
        <v>60366.32</v>
      </c>
      <c r="CC317" t="s">
        <v>183</v>
      </c>
      <c r="CD317">
        <v>9866</v>
      </c>
      <c r="CE317" t="s">
        <v>103</v>
      </c>
      <c r="CF317" s="3">
        <v>45979</v>
      </c>
      <c r="CI317">
        <v>4</v>
      </c>
      <c r="CJ317">
        <v>1</v>
      </c>
      <c r="CK317">
        <v>43</v>
      </c>
      <c r="CL317" t="s">
        <v>89</v>
      </c>
    </row>
    <row r="318" spans="1:90" x14ac:dyDescent="0.3">
      <c r="A318" t="s">
        <v>72</v>
      </c>
      <c r="B318" t="s">
        <v>73</v>
      </c>
      <c r="C318" t="s">
        <v>74</v>
      </c>
      <c r="E318" t="str">
        <f>"GAB2029838"</f>
        <v>GAB2029838</v>
      </c>
      <c r="F318" s="3">
        <v>45975</v>
      </c>
      <c r="G318">
        <v>202608</v>
      </c>
      <c r="H318" t="s">
        <v>75</v>
      </c>
      <c r="I318" t="s">
        <v>76</v>
      </c>
      <c r="J318" t="s">
        <v>77</v>
      </c>
      <c r="K318" t="s">
        <v>78</v>
      </c>
      <c r="L318" t="s">
        <v>246</v>
      </c>
      <c r="M318" t="s">
        <v>247</v>
      </c>
      <c r="N318" t="s">
        <v>1072</v>
      </c>
      <c r="O318" t="s">
        <v>82</v>
      </c>
      <c r="P318" t="str">
        <f>"INVOICE00122718 00122722 00122"</f>
        <v>INVOICE00122718 00122722 00122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5.87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41.35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1</v>
      </c>
      <c r="BI318">
        <v>5.6</v>
      </c>
      <c r="BJ318">
        <v>14.8</v>
      </c>
      <c r="BK318">
        <v>15</v>
      </c>
      <c r="BL318">
        <v>141.19999999999999</v>
      </c>
      <c r="BM318">
        <v>21.18</v>
      </c>
      <c r="BN318">
        <v>162.38</v>
      </c>
      <c r="BO318">
        <v>162.38</v>
      </c>
      <c r="BQ318" t="s">
        <v>1128</v>
      </c>
      <c r="BR318" t="s">
        <v>84</v>
      </c>
      <c r="BS318" s="3">
        <v>45979</v>
      </c>
      <c r="BT318" s="4">
        <v>0.375</v>
      </c>
      <c r="BU318" t="s">
        <v>1074</v>
      </c>
      <c r="BV318" t="s">
        <v>86</v>
      </c>
      <c r="BY318">
        <v>74189.7</v>
      </c>
      <c r="CA318" t="s">
        <v>1075</v>
      </c>
      <c r="CC318" t="s">
        <v>247</v>
      </c>
      <c r="CD318">
        <v>9301</v>
      </c>
      <c r="CE318" t="s">
        <v>103</v>
      </c>
      <c r="CF318" s="3">
        <v>45980</v>
      </c>
      <c r="CI318">
        <v>4</v>
      </c>
      <c r="CJ318">
        <v>2</v>
      </c>
      <c r="CK318">
        <v>41</v>
      </c>
      <c r="CL318" t="s">
        <v>89</v>
      </c>
    </row>
    <row r="319" spans="1:90" x14ac:dyDescent="0.3">
      <c r="A319" t="s">
        <v>72</v>
      </c>
      <c r="B319" t="s">
        <v>73</v>
      </c>
      <c r="C319" t="s">
        <v>74</v>
      </c>
      <c r="E319" t="str">
        <f>"GAB2029839"</f>
        <v>GAB2029839</v>
      </c>
      <c r="F319" s="3">
        <v>45975</v>
      </c>
      <c r="G319">
        <v>202608</v>
      </c>
      <c r="H319" t="s">
        <v>75</v>
      </c>
      <c r="I319" t="s">
        <v>76</v>
      </c>
      <c r="J319" t="s">
        <v>77</v>
      </c>
      <c r="K319" t="s">
        <v>78</v>
      </c>
      <c r="L319" t="s">
        <v>246</v>
      </c>
      <c r="M319" t="s">
        <v>247</v>
      </c>
      <c r="N319" t="s">
        <v>1129</v>
      </c>
      <c r="O319" t="s">
        <v>82</v>
      </c>
      <c r="P319" t="str">
        <f>"INVOICE00122721 00122720 00122"</f>
        <v>INVOICE00122721 00122720 00122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5.87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41.35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1</v>
      </c>
      <c r="BI319">
        <v>1.9</v>
      </c>
      <c r="BJ319">
        <v>6.2</v>
      </c>
      <c r="BK319">
        <v>7</v>
      </c>
      <c r="BL319">
        <v>141.19999999999999</v>
      </c>
      <c r="BM319">
        <v>21.18</v>
      </c>
      <c r="BN319">
        <v>162.38</v>
      </c>
      <c r="BO319">
        <v>162.38</v>
      </c>
      <c r="BQ319" t="s">
        <v>185</v>
      </c>
      <c r="BR319" t="s">
        <v>84</v>
      </c>
      <c r="BS319" s="3">
        <v>45979</v>
      </c>
      <c r="BT319" s="4">
        <v>0.45833333333333331</v>
      </c>
      <c r="BU319" t="s">
        <v>301</v>
      </c>
      <c r="BV319" t="s">
        <v>86</v>
      </c>
      <c r="BY319">
        <v>30947.3</v>
      </c>
      <c r="CA319" t="s">
        <v>1130</v>
      </c>
      <c r="CC319" t="s">
        <v>247</v>
      </c>
      <c r="CD319">
        <v>9323</v>
      </c>
      <c r="CE319" t="s">
        <v>103</v>
      </c>
      <c r="CF319" s="3">
        <v>45980</v>
      </c>
      <c r="CI319">
        <v>4</v>
      </c>
      <c r="CJ319">
        <v>2</v>
      </c>
      <c r="CK319">
        <v>41</v>
      </c>
      <c r="CL319" t="s">
        <v>89</v>
      </c>
    </row>
    <row r="320" spans="1:90" x14ac:dyDescent="0.3">
      <c r="A320" t="s">
        <v>72</v>
      </c>
      <c r="B320" t="s">
        <v>73</v>
      </c>
      <c r="C320" t="s">
        <v>74</v>
      </c>
      <c r="E320" t="str">
        <f>"GAB2029844"</f>
        <v>GAB2029844</v>
      </c>
      <c r="F320" s="3">
        <v>45975</v>
      </c>
      <c r="G320">
        <v>202608</v>
      </c>
      <c r="H320" t="s">
        <v>75</v>
      </c>
      <c r="I320" t="s">
        <v>76</v>
      </c>
      <c r="J320" t="s">
        <v>77</v>
      </c>
      <c r="K320" t="s">
        <v>78</v>
      </c>
      <c r="L320" t="s">
        <v>353</v>
      </c>
      <c r="M320" t="s">
        <v>354</v>
      </c>
      <c r="N320" t="s">
        <v>589</v>
      </c>
      <c r="O320" t="s">
        <v>82</v>
      </c>
      <c r="P320" t="str">
        <f>"INVOICE00041470 00041474 ORDGS"</f>
        <v>INVOICE00041470 00041474 ORDGS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5.87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418.76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6</v>
      </c>
      <c r="BI320">
        <v>51.6</v>
      </c>
      <c r="BJ320">
        <v>135.4</v>
      </c>
      <c r="BK320">
        <v>136</v>
      </c>
      <c r="BL320">
        <v>1376.35</v>
      </c>
      <c r="BM320">
        <v>206.45</v>
      </c>
      <c r="BN320">
        <v>1582.8</v>
      </c>
      <c r="BO320">
        <v>1582.8</v>
      </c>
      <c r="BQ320" t="s">
        <v>185</v>
      </c>
      <c r="BR320" t="s">
        <v>84</v>
      </c>
      <c r="BS320" s="3">
        <v>45982</v>
      </c>
      <c r="BT320" s="4">
        <v>0.60416666666666663</v>
      </c>
      <c r="BU320" t="s">
        <v>1131</v>
      </c>
      <c r="BV320" t="s">
        <v>89</v>
      </c>
      <c r="BY320">
        <v>676806.8</v>
      </c>
      <c r="CC320" t="s">
        <v>354</v>
      </c>
      <c r="CD320">
        <v>1050</v>
      </c>
      <c r="CE320" t="s">
        <v>103</v>
      </c>
      <c r="CF320" s="3">
        <v>45982</v>
      </c>
      <c r="CI320">
        <v>2</v>
      </c>
      <c r="CJ320">
        <v>5</v>
      </c>
      <c r="CK320">
        <v>43</v>
      </c>
      <c r="CL320" t="s">
        <v>89</v>
      </c>
    </row>
    <row r="321" spans="1:90" x14ac:dyDescent="0.3">
      <c r="A321" t="s">
        <v>72</v>
      </c>
      <c r="B321" t="s">
        <v>73</v>
      </c>
      <c r="C321" t="s">
        <v>74</v>
      </c>
      <c r="E321" t="str">
        <f>"GAB2029831"</f>
        <v>GAB2029831</v>
      </c>
      <c r="F321" s="3">
        <v>45975</v>
      </c>
      <c r="G321">
        <v>202608</v>
      </c>
      <c r="H321" t="s">
        <v>75</v>
      </c>
      <c r="I321" t="s">
        <v>76</v>
      </c>
      <c r="J321" t="s">
        <v>77</v>
      </c>
      <c r="K321" t="s">
        <v>78</v>
      </c>
      <c r="L321" t="s">
        <v>75</v>
      </c>
      <c r="M321" t="s">
        <v>76</v>
      </c>
      <c r="N321" t="s">
        <v>499</v>
      </c>
      <c r="O321" t="s">
        <v>124</v>
      </c>
      <c r="P321" t="str">
        <f>"INVOICE00041469 ORDGS038138   "</f>
        <v xml:space="preserve">INVOICE00041469 ORDGS038138   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16.7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1</v>
      </c>
      <c r="BI321">
        <v>0.3</v>
      </c>
      <c r="BJ321">
        <v>2</v>
      </c>
      <c r="BK321">
        <v>2</v>
      </c>
      <c r="BL321">
        <v>54.66</v>
      </c>
      <c r="BM321">
        <v>8.1999999999999993</v>
      </c>
      <c r="BN321">
        <v>62.86</v>
      </c>
      <c r="BO321">
        <v>62.86</v>
      </c>
      <c r="BQ321" t="s">
        <v>1073</v>
      </c>
      <c r="BR321" t="s">
        <v>84</v>
      </c>
      <c r="BS321" s="3">
        <v>45978</v>
      </c>
      <c r="BT321" s="4">
        <v>0.38124999999999998</v>
      </c>
      <c r="BU321" t="s">
        <v>500</v>
      </c>
      <c r="BV321" t="s">
        <v>86</v>
      </c>
      <c r="BY321">
        <v>9996</v>
      </c>
      <c r="CA321" t="s">
        <v>501</v>
      </c>
      <c r="CC321" t="s">
        <v>76</v>
      </c>
      <c r="CD321">
        <v>7441</v>
      </c>
      <c r="CE321" t="s">
        <v>1092</v>
      </c>
      <c r="CF321" s="3">
        <v>45979</v>
      </c>
      <c r="CI321">
        <v>1</v>
      </c>
      <c r="CJ321">
        <v>1</v>
      </c>
      <c r="CK321">
        <v>22</v>
      </c>
      <c r="CL321" t="s">
        <v>89</v>
      </c>
    </row>
    <row r="322" spans="1:90" x14ac:dyDescent="0.3">
      <c r="A322" t="s">
        <v>72</v>
      </c>
      <c r="B322" t="s">
        <v>73</v>
      </c>
      <c r="C322" t="s">
        <v>74</v>
      </c>
      <c r="E322" t="str">
        <f>"GAB2029832"</f>
        <v>GAB2029832</v>
      </c>
      <c r="F322" s="3">
        <v>45975</v>
      </c>
      <c r="G322">
        <v>202608</v>
      </c>
      <c r="H322" t="s">
        <v>75</v>
      </c>
      <c r="I322" t="s">
        <v>76</v>
      </c>
      <c r="J322" t="s">
        <v>77</v>
      </c>
      <c r="K322" t="s">
        <v>78</v>
      </c>
      <c r="L322" t="s">
        <v>212</v>
      </c>
      <c r="M322" t="s">
        <v>213</v>
      </c>
      <c r="N322" t="s">
        <v>214</v>
      </c>
      <c r="O322" t="s">
        <v>124</v>
      </c>
      <c r="P322" t="str">
        <f>"INVOICE00122713 CT098257      "</f>
        <v xml:space="preserve">INVOICE00122713 CT098257      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21.38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1</v>
      </c>
      <c r="BI322">
        <v>0.7</v>
      </c>
      <c r="BJ322">
        <v>1.7</v>
      </c>
      <c r="BK322">
        <v>2</v>
      </c>
      <c r="BL322">
        <v>69.98</v>
      </c>
      <c r="BM322">
        <v>10.5</v>
      </c>
      <c r="BN322">
        <v>80.48</v>
      </c>
      <c r="BO322">
        <v>80.48</v>
      </c>
      <c r="BR322" t="s">
        <v>84</v>
      </c>
      <c r="BS322" s="3">
        <v>45978</v>
      </c>
      <c r="BT322" s="4">
        <v>0.48541666666666666</v>
      </c>
      <c r="BU322" t="s">
        <v>1132</v>
      </c>
      <c r="BV322" t="s">
        <v>89</v>
      </c>
      <c r="BW322" t="s">
        <v>216</v>
      </c>
      <c r="BX322" t="s">
        <v>1133</v>
      </c>
      <c r="BY322">
        <v>8411.0400000000009</v>
      </c>
      <c r="CA322" t="s">
        <v>218</v>
      </c>
      <c r="CC322" t="s">
        <v>213</v>
      </c>
      <c r="CD322">
        <v>5200</v>
      </c>
      <c r="CE322" t="s">
        <v>1134</v>
      </c>
      <c r="CF322" s="3">
        <v>45979</v>
      </c>
      <c r="CI322">
        <v>1</v>
      </c>
      <c r="CJ322">
        <v>1</v>
      </c>
      <c r="CK322">
        <v>21</v>
      </c>
      <c r="CL322" t="s">
        <v>89</v>
      </c>
    </row>
    <row r="323" spans="1:90" x14ac:dyDescent="0.3">
      <c r="A323" t="s">
        <v>72</v>
      </c>
      <c r="B323" t="s">
        <v>73</v>
      </c>
      <c r="C323" t="s">
        <v>74</v>
      </c>
      <c r="E323" t="str">
        <f>"GAB2029835"</f>
        <v>GAB2029835</v>
      </c>
      <c r="F323" s="3">
        <v>45975</v>
      </c>
      <c r="G323">
        <v>202608</v>
      </c>
      <c r="H323" t="s">
        <v>75</v>
      </c>
      <c r="I323" t="s">
        <v>76</v>
      </c>
      <c r="J323" t="s">
        <v>77</v>
      </c>
      <c r="K323" t="s">
        <v>78</v>
      </c>
      <c r="L323" t="s">
        <v>893</v>
      </c>
      <c r="M323" t="s">
        <v>894</v>
      </c>
      <c r="N323" t="s">
        <v>1135</v>
      </c>
      <c r="O323" t="s">
        <v>124</v>
      </c>
      <c r="P323" t="str">
        <f>"INVOICE00122731 CT098276      "</f>
        <v xml:space="preserve">INVOICE00122731 CT098276      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41.43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1</v>
      </c>
      <c r="BI323">
        <v>0.8</v>
      </c>
      <c r="BJ323">
        <v>1.6</v>
      </c>
      <c r="BK323">
        <v>2</v>
      </c>
      <c r="BL323">
        <v>135.59</v>
      </c>
      <c r="BM323">
        <v>20.34</v>
      </c>
      <c r="BN323">
        <v>155.93</v>
      </c>
      <c r="BO323">
        <v>155.93</v>
      </c>
      <c r="BQ323" t="s">
        <v>1136</v>
      </c>
      <c r="BR323" t="s">
        <v>84</v>
      </c>
      <c r="BS323" s="3">
        <v>45978</v>
      </c>
      <c r="BT323" s="4">
        <v>0.4597222222222222</v>
      </c>
      <c r="BU323" t="s">
        <v>1137</v>
      </c>
      <c r="BV323" t="s">
        <v>86</v>
      </c>
      <c r="BY323">
        <v>8214.23</v>
      </c>
      <c r="CA323" t="s">
        <v>1138</v>
      </c>
      <c r="CC323" t="s">
        <v>894</v>
      </c>
      <c r="CD323">
        <v>1739</v>
      </c>
      <c r="CE323" t="s">
        <v>1139</v>
      </c>
      <c r="CF323" s="3">
        <v>45978</v>
      </c>
      <c r="CI323">
        <v>1</v>
      </c>
      <c r="CJ323">
        <v>1</v>
      </c>
      <c r="CK323">
        <v>23</v>
      </c>
      <c r="CL323" t="s">
        <v>89</v>
      </c>
    </row>
    <row r="324" spans="1:90" x14ac:dyDescent="0.3">
      <c r="A324" t="s">
        <v>72</v>
      </c>
      <c r="B324" t="s">
        <v>73</v>
      </c>
      <c r="C324" t="s">
        <v>74</v>
      </c>
      <c r="E324" t="str">
        <f>"GAB2029840"</f>
        <v>GAB2029840</v>
      </c>
      <c r="F324" s="3">
        <v>45975</v>
      </c>
      <c r="G324">
        <v>202608</v>
      </c>
      <c r="H324" t="s">
        <v>75</v>
      </c>
      <c r="I324" t="s">
        <v>76</v>
      </c>
      <c r="J324" t="s">
        <v>77</v>
      </c>
      <c r="K324" t="s">
        <v>78</v>
      </c>
      <c r="L324" t="s">
        <v>169</v>
      </c>
      <c r="M324" t="s">
        <v>170</v>
      </c>
      <c r="N324" t="s">
        <v>930</v>
      </c>
      <c r="O324" t="s">
        <v>124</v>
      </c>
      <c r="P324" t="str">
        <f>"INVOICE00122732 CT098281      "</f>
        <v xml:space="preserve">INVOICE00122732 CT098281      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21.38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1</v>
      </c>
      <c r="BI324">
        <v>0.2</v>
      </c>
      <c r="BJ324">
        <v>1.8</v>
      </c>
      <c r="BK324">
        <v>2</v>
      </c>
      <c r="BL324">
        <v>69.98</v>
      </c>
      <c r="BM324">
        <v>10.5</v>
      </c>
      <c r="BN324">
        <v>80.48</v>
      </c>
      <c r="BO324">
        <v>80.48</v>
      </c>
      <c r="BQ324" t="s">
        <v>931</v>
      </c>
      <c r="BR324" t="s">
        <v>84</v>
      </c>
      <c r="BS324" s="3">
        <v>45978</v>
      </c>
      <c r="BT324" s="4">
        <v>0.43472222222222223</v>
      </c>
      <c r="BU324" t="s">
        <v>1140</v>
      </c>
      <c r="BV324" t="s">
        <v>86</v>
      </c>
      <c r="BY324">
        <v>9023.2800000000007</v>
      </c>
      <c r="CA324" t="s">
        <v>933</v>
      </c>
      <c r="CC324" t="s">
        <v>170</v>
      </c>
      <c r="CD324">
        <v>2196</v>
      </c>
      <c r="CE324" t="s">
        <v>367</v>
      </c>
      <c r="CF324" s="3">
        <v>45978</v>
      </c>
      <c r="CI324">
        <v>1</v>
      </c>
      <c r="CJ324">
        <v>1</v>
      </c>
      <c r="CK324">
        <v>21</v>
      </c>
      <c r="CL324" t="s">
        <v>89</v>
      </c>
    </row>
    <row r="325" spans="1:90" x14ac:dyDescent="0.3">
      <c r="A325" t="s">
        <v>72</v>
      </c>
      <c r="B325" t="s">
        <v>73</v>
      </c>
      <c r="C325" t="s">
        <v>74</v>
      </c>
      <c r="E325" t="str">
        <f>"GAB2029841"</f>
        <v>GAB2029841</v>
      </c>
      <c r="F325" s="3">
        <v>45975</v>
      </c>
      <c r="G325">
        <v>202608</v>
      </c>
      <c r="H325" t="s">
        <v>75</v>
      </c>
      <c r="I325" t="s">
        <v>76</v>
      </c>
      <c r="J325" t="s">
        <v>77</v>
      </c>
      <c r="K325" t="s">
        <v>78</v>
      </c>
      <c r="L325" t="s">
        <v>169</v>
      </c>
      <c r="M325" t="s">
        <v>170</v>
      </c>
      <c r="N325" t="s">
        <v>823</v>
      </c>
      <c r="O325" t="s">
        <v>124</v>
      </c>
      <c r="P325" t="str">
        <f>"INVOICE00122736 CT098283      "</f>
        <v xml:space="preserve">INVOICE00122736 CT098283      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32.07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16.739999999999998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1</v>
      </c>
      <c r="BI325">
        <v>0.3</v>
      </c>
      <c r="BJ325">
        <v>2.6</v>
      </c>
      <c r="BK325">
        <v>3</v>
      </c>
      <c r="BL325">
        <v>121.69</v>
      </c>
      <c r="BM325">
        <v>18.25</v>
      </c>
      <c r="BN325">
        <v>139.94</v>
      </c>
      <c r="BO325">
        <v>139.94</v>
      </c>
      <c r="BQ325" t="s">
        <v>1141</v>
      </c>
      <c r="BR325" t="s">
        <v>84</v>
      </c>
      <c r="BS325" s="3">
        <v>45978</v>
      </c>
      <c r="BT325" s="4">
        <v>0.79583333333333328</v>
      </c>
      <c r="BU325" t="s">
        <v>1142</v>
      </c>
      <c r="BV325" t="s">
        <v>89</v>
      </c>
      <c r="BY325">
        <v>12846.42</v>
      </c>
      <c r="BZ325" t="s">
        <v>30</v>
      </c>
      <c r="CA325">
        <v>8010090632085</v>
      </c>
      <c r="CC325" t="s">
        <v>170</v>
      </c>
      <c r="CD325">
        <v>1803</v>
      </c>
      <c r="CE325" t="s">
        <v>814</v>
      </c>
      <c r="CF325" s="3">
        <v>45979</v>
      </c>
      <c r="CI325">
        <v>0</v>
      </c>
      <c r="CJ325">
        <v>0</v>
      </c>
      <c r="CK325">
        <v>21</v>
      </c>
      <c r="CL325" t="s">
        <v>89</v>
      </c>
    </row>
    <row r="326" spans="1:90" x14ac:dyDescent="0.3">
      <c r="A326" t="s">
        <v>72</v>
      </c>
      <c r="B326" t="s">
        <v>73</v>
      </c>
      <c r="C326" t="s">
        <v>74</v>
      </c>
      <c r="E326" t="str">
        <f>"GAB2029842"</f>
        <v>GAB2029842</v>
      </c>
      <c r="F326" s="3">
        <v>45975</v>
      </c>
      <c r="G326">
        <v>202608</v>
      </c>
      <c r="H326" t="s">
        <v>75</v>
      </c>
      <c r="I326" t="s">
        <v>76</v>
      </c>
      <c r="J326" t="s">
        <v>77</v>
      </c>
      <c r="K326" t="s">
        <v>78</v>
      </c>
      <c r="L326" t="s">
        <v>75</v>
      </c>
      <c r="M326" t="s">
        <v>76</v>
      </c>
      <c r="N326" t="s">
        <v>481</v>
      </c>
      <c r="O326" t="s">
        <v>124</v>
      </c>
      <c r="P326" t="str">
        <f>"INVOICE00122737 CT098280      "</f>
        <v xml:space="preserve">INVOICE00122737 CT098280      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16.7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1</v>
      </c>
      <c r="BI326">
        <v>0.3</v>
      </c>
      <c r="BJ326">
        <v>4.2</v>
      </c>
      <c r="BK326">
        <v>5</v>
      </c>
      <c r="BL326">
        <v>54.66</v>
      </c>
      <c r="BM326">
        <v>8.1999999999999993</v>
      </c>
      <c r="BN326">
        <v>62.86</v>
      </c>
      <c r="BO326">
        <v>62.86</v>
      </c>
      <c r="BQ326" t="s">
        <v>482</v>
      </c>
      <c r="BR326" t="s">
        <v>84</v>
      </c>
      <c r="BS326" s="3">
        <v>45978</v>
      </c>
      <c r="BT326" s="4">
        <v>0.37569444444444444</v>
      </c>
      <c r="BU326" t="s">
        <v>483</v>
      </c>
      <c r="BV326" t="s">
        <v>86</v>
      </c>
      <c r="BY326">
        <v>20908.73</v>
      </c>
      <c r="CA326" t="s">
        <v>484</v>
      </c>
      <c r="CC326" t="s">
        <v>76</v>
      </c>
      <c r="CD326">
        <v>7441</v>
      </c>
      <c r="CE326" t="s">
        <v>814</v>
      </c>
      <c r="CF326" s="3">
        <v>45979</v>
      </c>
      <c r="CI326">
        <v>1</v>
      </c>
      <c r="CJ326">
        <v>1</v>
      </c>
      <c r="CK326">
        <v>22</v>
      </c>
      <c r="CL326" t="s">
        <v>89</v>
      </c>
    </row>
    <row r="327" spans="1:90" x14ac:dyDescent="0.3">
      <c r="A327" t="s">
        <v>72</v>
      </c>
      <c r="B327" t="s">
        <v>73</v>
      </c>
      <c r="C327" t="s">
        <v>74</v>
      </c>
      <c r="E327" t="str">
        <f>"GAB2029845"</f>
        <v>GAB2029845</v>
      </c>
      <c r="F327" s="3">
        <v>45975</v>
      </c>
      <c r="G327">
        <v>202608</v>
      </c>
      <c r="H327" t="s">
        <v>75</v>
      </c>
      <c r="I327" t="s">
        <v>76</v>
      </c>
      <c r="J327" t="s">
        <v>77</v>
      </c>
      <c r="K327" t="s">
        <v>78</v>
      </c>
      <c r="L327" t="s">
        <v>79</v>
      </c>
      <c r="M327" t="s">
        <v>80</v>
      </c>
      <c r="N327" t="s">
        <v>1037</v>
      </c>
      <c r="O327" t="s">
        <v>124</v>
      </c>
      <c r="P327" t="str">
        <f>"KIM                           "</f>
        <v xml:space="preserve">KIM                           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37.409999999999997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1</v>
      </c>
      <c r="BI327">
        <v>3</v>
      </c>
      <c r="BJ327">
        <v>3.3</v>
      </c>
      <c r="BK327">
        <v>3.5</v>
      </c>
      <c r="BL327">
        <v>122.43</v>
      </c>
      <c r="BM327">
        <v>18.36</v>
      </c>
      <c r="BN327">
        <v>140.79</v>
      </c>
      <c r="BO327">
        <v>140.79</v>
      </c>
      <c r="BQ327" t="s">
        <v>241</v>
      </c>
      <c r="BR327" t="s">
        <v>84</v>
      </c>
      <c r="BS327" s="3">
        <v>45979</v>
      </c>
      <c r="BT327" s="4">
        <v>0.41319444444444442</v>
      </c>
      <c r="BU327" t="s">
        <v>322</v>
      </c>
      <c r="BV327" t="s">
        <v>89</v>
      </c>
      <c r="BW327" t="s">
        <v>562</v>
      </c>
      <c r="BX327" t="s">
        <v>1143</v>
      </c>
      <c r="BY327">
        <v>16666.650000000001</v>
      </c>
      <c r="CA327">
        <v>9512275238082</v>
      </c>
      <c r="CC327" t="s">
        <v>80</v>
      </c>
      <c r="CD327" s="5" t="s">
        <v>87</v>
      </c>
      <c r="CE327" t="s">
        <v>1144</v>
      </c>
      <c r="CF327" s="3">
        <v>45979</v>
      </c>
      <c r="CI327">
        <v>1</v>
      </c>
      <c r="CJ327">
        <v>2</v>
      </c>
      <c r="CK327">
        <v>21</v>
      </c>
      <c r="CL327" t="s">
        <v>89</v>
      </c>
    </row>
    <row r="328" spans="1:90" x14ac:dyDescent="0.3">
      <c r="A328" t="s">
        <v>72</v>
      </c>
      <c r="B328" t="s">
        <v>73</v>
      </c>
      <c r="C328" t="s">
        <v>74</v>
      </c>
      <c r="E328" t="str">
        <f>"GAB2029846"</f>
        <v>GAB2029846</v>
      </c>
      <c r="F328" s="3">
        <v>45975</v>
      </c>
      <c r="G328">
        <v>202608</v>
      </c>
      <c r="H328" t="s">
        <v>75</v>
      </c>
      <c r="I328" t="s">
        <v>76</v>
      </c>
      <c r="J328" t="s">
        <v>77</v>
      </c>
      <c r="K328" t="s">
        <v>78</v>
      </c>
      <c r="L328" t="s">
        <v>441</v>
      </c>
      <c r="M328" t="s">
        <v>442</v>
      </c>
      <c r="N328" t="s">
        <v>443</v>
      </c>
      <c r="O328" t="s">
        <v>124</v>
      </c>
      <c r="P328" t="str">
        <f>"INVOICE 00041472 ORDGS038155  "</f>
        <v xml:space="preserve">INVOICE 00041472 ORDGS038155  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21.38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1</v>
      </c>
      <c r="BI328">
        <v>0.2</v>
      </c>
      <c r="BJ328">
        <v>2</v>
      </c>
      <c r="BK328">
        <v>2</v>
      </c>
      <c r="BL328">
        <v>69.98</v>
      </c>
      <c r="BM328">
        <v>10.5</v>
      </c>
      <c r="BN328">
        <v>80.48</v>
      </c>
      <c r="BO328">
        <v>80.48</v>
      </c>
      <c r="BQ328" t="s">
        <v>444</v>
      </c>
      <c r="BR328" t="s">
        <v>84</v>
      </c>
      <c r="BS328" s="3">
        <v>45978</v>
      </c>
      <c r="BT328" s="4">
        <v>0.53472222222222221</v>
      </c>
      <c r="BU328" t="s">
        <v>444</v>
      </c>
      <c r="BV328" t="s">
        <v>86</v>
      </c>
      <c r="BY328">
        <v>10052</v>
      </c>
      <c r="CC328" t="s">
        <v>442</v>
      </c>
      <c r="CD328">
        <v>6529</v>
      </c>
      <c r="CE328" t="s">
        <v>128</v>
      </c>
      <c r="CF328" s="3">
        <v>45979</v>
      </c>
      <c r="CI328">
        <v>1</v>
      </c>
      <c r="CJ328">
        <v>1</v>
      </c>
      <c r="CK328">
        <v>21</v>
      </c>
      <c r="CL328" t="s">
        <v>89</v>
      </c>
    </row>
    <row r="329" spans="1:90" x14ac:dyDescent="0.3">
      <c r="A329" t="s">
        <v>72</v>
      </c>
      <c r="B329" t="s">
        <v>73</v>
      </c>
      <c r="C329" t="s">
        <v>74</v>
      </c>
      <c r="E329" t="str">
        <f>"RGAB2029764"</f>
        <v>RGAB2029764</v>
      </c>
      <c r="F329" s="3">
        <v>45975</v>
      </c>
      <c r="G329">
        <v>202608</v>
      </c>
      <c r="H329" t="s">
        <v>230</v>
      </c>
      <c r="I329" t="s">
        <v>231</v>
      </c>
      <c r="J329" t="s">
        <v>992</v>
      </c>
      <c r="K329" t="s">
        <v>78</v>
      </c>
      <c r="L329" t="s">
        <v>75</v>
      </c>
      <c r="M329" t="s">
        <v>76</v>
      </c>
      <c r="N329" t="s">
        <v>77</v>
      </c>
      <c r="O329" t="s">
        <v>82</v>
      </c>
      <c r="P329" t="str">
        <f>"invoice 00041375 ordgs038059  "</f>
        <v xml:space="preserve">invoice 00041375 ordgs038059  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16.739999999999998</v>
      </c>
      <c r="AD329">
        <v>0</v>
      </c>
      <c r="AE329">
        <v>0</v>
      </c>
      <c r="AF329">
        <v>0</v>
      </c>
      <c r="AG329">
        <v>5.87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58.42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1</v>
      </c>
      <c r="BI329">
        <v>10.8</v>
      </c>
      <c r="BJ329">
        <v>24.7</v>
      </c>
      <c r="BK329">
        <v>25</v>
      </c>
      <c r="BL329">
        <v>213.81</v>
      </c>
      <c r="BM329">
        <v>32.07</v>
      </c>
      <c r="BN329">
        <v>245.88</v>
      </c>
      <c r="BO329">
        <v>245.88</v>
      </c>
      <c r="BQ329" t="s">
        <v>84</v>
      </c>
      <c r="BS329" s="3">
        <v>45980</v>
      </c>
      <c r="BT329" s="4">
        <v>0.52500000000000002</v>
      </c>
      <c r="BU329" t="s">
        <v>507</v>
      </c>
      <c r="BV329" t="s">
        <v>86</v>
      </c>
      <c r="BY329">
        <v>123659.6</v>
      </c>
      <c r="BZ329" t="s">
        <v>21</v>
      </c>
      <c r="CA329" t="s">
        <v>508</v>
      </c>
      <c r="CC329" t="s">
        <v>76</v>
      </c>
      <c r="CD329">
        <v>8001</v>
      </c>
      <c r="CE329" t="s">
        <v>1145</v>
      </c>
      <c r="CF329" s="3">
        <v>45981</v>
      </c>
      <c r="CI329">
        <v>3</v>
      </c>
      <c r="CJ329">
        <v>3</v>
      </c>
      <c r="CK329">
        <v>41</v>
      </c>
      <c r="CL329" t="s">
        <v>89</v>
      </c>
    </row>
    <row r="330" spans="1:90" x14ac:dyDescent="0.3">
      <c r="A330" t="s">
        <v>72</v>
      </c>
      <c r="B330" t="s">
        <v>73</v>
      </c>
      <c r="C330" t="s">
        <v>74</v>
      </c>
      <c r="E330" t="str">
        <f>"GAB2029847"</f>
        <v>GAB2029847</v>
      </c>
      <c r="F330" s="3">
        <v>45978</v>
      </c>
      <c r="G330">
        <v>202608</v>
      </c>
      <c r="H330" t="s">
        <v>75</v>
      </c>
      <c r="I330" t="s">
        <v>76</v>
      </c>
      <c r="J330" t="s">
        <v>77</v>
      </c>
      <c r="K330" t="s">
        <v>78</v>
      </c>
      <c r="L330" t="s">
        <v>79</v>
      </c>
      <c r="M330" t="s">
        <v>80</v>
      </c>
      <c r="N330" t="s">
        <v>303</v>
      </c>
      <c r="O330" t="s">
        <v>82</v>
      </c>
      <c r="P330" t="str">
        <f>"INVOICE00122741 CT098286      "</f>
        <v xml:space="preserve">INVOICE00122741 CT098286      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5.87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61.84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1</v>
      </c>
      <c r="BI330">
        <v>10.199999999999999</v>
      </c>
      <c r="BJ330">
        <v>26.6</v>
      </c>
      <c r="BK330">
        <v>27</v>
      </c>
      <c r="BL330">
        <v>208.25</v>
      </c>
      <c r="BM330">
        <v>31.24</v>
      </c>
      <c r="BN330">
        <v>239.49</v>
      </c>
      <c r="BO330">
        <v>239.49</v>
      </c>
      <c r="BQ330" t="s">
        <v>1146</v>
      </c>
      <c r="BR330" t="s">
        <v>84</v>
      </c>
      <c r="BS330" s="3">
        <v>45980</v>
      </c>
      <c r="BT330" s="4">
        <v>0.41944444444444445</v>
      </c>
      <c r="BU330" t="s">
        <v>85</v>
      </c>
      <c r="BV330" t="s">
        <v>86</v>
      </c>
      <c r="BY330">
        <v>132822</v>
      </c>
      <c r="CA330">
        <v>9508065808084</v>
      </c>
      <c r="CC330" t="s">
        <v>80</v>
      </c>
      <c r="CD330" s="5" t="s">
        <v>87</v>
      </c>
      <c r="CE330" t="s">
        <v>88</v>
      </c>
      <c r="CF330" s="3">
        <v>45980</v>
      </c>
      <c r="CI330">
        <v>3</v>
      </c>
      <c r="CJ330">
        <v>2</v>
      </c>
      <c r="CK330">
        <v>41</v>
      </c>
      <c r="CL330" t="s">
        <v>89</v>
      </c>
    </row>
    <row r="331" spans="1:90" x14ac:dyDescent="0.3">
      <c r="A331" t="s">
        <v>72</v>
      </c>
      <c r="B331" t="s">
        <v>73</v>
      </c>
      <c r="C331" t="s">
        <v>74</v>
      </c>
      <c r="E331" t="str">
        <f>"GAB2029848"</f>
        <v>GAB2029848</v>
      </c>
      <c r="F331" s="3">
        <v>45978</v>
      </c>
      <c r="G331">
        <v>202608</v>
      </c>
      <c r="H331" t="s">
        <v>75</v>
      </c>
      <c r="I331" t="s">
        <v>76</v>
      </c>
      <c r="J331" t="s">
        <v>77</v>
      </c>
      <c r="K331" t="s">
        <v>78</v>
      </c>
      <c r="L331" t="s">
        <v>494</v>
      </c>
      <c r="M331" t="s">
        <v>495</v>
      </c>
      <c r="N331" t="s">
        <v>496</v>
      </c>
      <c r="O331" t="s">
        <v>82</v>
      </c>
      <c r="P331" t="str">
        <f>"INVOICE00122743 00122524 CT098"</f>
        <v>INVOICE00122743 00122524 CT098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5.87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58.32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2</v>
      </c>
      <c r="BI331">
        <v>4.3</v>
      </c>
      <c r="BJ331">
        <v>8.1999999999999993</v>
      </c>
      <c r="BK331">
        <v>9</v>
      </c>
      <c r="BL331">
        <v>196.74</v>
      </c>
      <c r="BM331">
        <v>29.51</v>
      </c>
      <c r="BN331">
        <v>226.25</v>
      </c>
      <c r="BO331">
        <v>226.25</v>
      </c>
      <c r="BQ331" t="s">
        <v>185</v>
      </c>
      <c r="BR331" t="s">
        <v>84</v>
      </c>
      <c r="BS331" s="3">
        <v>45980</v>
      </c>
      <c r="BT331" s="4">
        <v>0.5</v>
      </c>
      <c r="BU331" t="s">
        <v>1147</v>
      </c>
      <c r="BV331" t="s">
        <v>86</v>
      </c>
      <c r="BY331">
        <v>41214.35</v>
      </c>
      <c r="CC331" t="s">
        <v>495</v>
      </c>
      <c r="CD331">
        <v>9781</v>
      </c>
      <c r="CE331" t="s">
        <v>103</v>
      </c>
      <c r="CF331" s="3">
        <v>45981</v>
      </c>
      <c r="CI331">
        <v>4</v>
      </c>
      <c r="CJ331">
        <v>2</v>
      </c>
      <c r="CK331">
        <v>43</v>
      </c>
      <c r="CL331" t="s">
        <v>89</v>
      </c>
    </row>
    <row r="332" spans="1:90" x14ac:dyDescent="0.3">
      <c r="A332" t="s">
        <v>72</v>
      </c>
      <c r="B332" t="s">
        <v>73</v>
      </c>
      <c r="C332" t="s">
        <v>74</v>
      </c>
      <c r="E332" t="str">
        <f>"GAB2029849"</f>
        <v>GAB2029849</v>
      </c>
      <c r="F332" s="3">
        <v>45978</v>
      </c>
      <c r="G332">
        <v>202608</v>
      </c>
      <c r="H332" t="s">
        <v>75</v>
      </c>
      <c r="I332" t="s">
        <v>76</v>
      </c>
      <c r="J332" t="s">
        <v>77</v>
      </c>
      <c r="K332" t="s">
        <v>78</v>
      </c>
      <c r="L332" t="s">
        <v>435</v>
      </c>
      <c r="M332" t="s">
        <v>435</v>
      </c>
      <c r="N332" t="s">
        <v>577</v>
      </c>
      <c r="O332" t="s">
        <v>82</v>
      </c>
      <c r="P332" t="str">
        <f>"INVOICE00122742 CT098288      "</f>
        <v xml:space="preserve">INVOICE00122742 CT098288      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5.87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45.67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1</v>
      </c>
      <c r="BI332">
        <v>1.9</v>
      </c>
      <c r="BJ332">
        <v>6.2</v>
      </c>
      <c r="BK332">
        <v>7</v>
      </c>
      <c r="BL332">
        <v>155.33000000000001</v>
      </c>
      <c r="BM332">
        <v>23.3</v>
      </c>
      <c r="BN332">
        <v>178.63</v>
      </c>
      <c r="BO332">
        <v>178.63</v>
      </c>
      <c r="BQ332" t="s">
        <v>578</v>
      </c>
      <c r="BR332" t="s">
        <v>84</v>
      </c>
      <c r="BS332" s="3">
        <v>45979</v>
      </c>
      <c r="BT332" s="4">
        <v>0.5625</v>
      </c>
      <c r="BU332" t="s">
        <v>1148</v>
      </c>
      <c r="BV332" t="s">
        <v>86</v>
      </c>
      <c r="BY332">
        <v>30857.4</v>
      </c>
      <c r="CC332" t="s">
        <v>435</v>
      </c>
      <c r="CD332">
        <v>7646</v>
      </c>
      <c r="CE332" t="s">
        <v>103</v>
      </c>
      <c r="CF332" s="3">
        <v>45980</v>
      </c>
      <c r="CI332">
        <v>0</v>
      </c>
      <c r="CJ332">
        <v>0</v>
      </c>
      <c r="CK332">
        <v>44</v>
      </c>
      <c r="CL332" t="s">
        <v>89</v>
      </c>
    </row>
    <row r="333" spans="1:90" x14ac:dyDescent="0.3">
      <c r="A333" t="s">
        <v>72</v>
      </c>
      <c r="B333" t="s">
        <v>73</v>
      </c>
      <c r="C333" t="s">
        <v>74</v>
      </c>
      <c r="E333" t="str">
        <f>"GAB2029853"</f>
        <v>GAB2029853</v>
      </c>
      <c r="F333" s="3">
        <v>45978</v>
      </c>
      <c r="G333">
        <v>202608</v>
      </c>
      <c r="H333" t="s">
        <v>75</v>
      </c>
      <c r="I333" t="s">
        <v>76</v>
      </c>
      <c r="J333" t="s">
        <v>77</v>
      </c>
      <c r="K333" t="s">
        <v>78</v>
      </c>
      <c r="L333" t="s">
        <v>129</v>
      </c>
      <c r="M333" t="s">
        <v>130</v>
      </c>
      <c r="N333" t="s">
        <v>1149</v>
      </c>
      <c r="O333" t="s">
        <v>82</v>
      </c>
      <c r="P333" t="str">
        <f>"INVOICE00041504 ORDGS037682   "</f>
        <v xml:space="preserve">INVOICE00041504 ORDGS037682   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5.87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63.54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2</v>
      </c>
      <c r="BI333">
        <v>13.3</v>
      </c>
      <c r="BJ333">
        <v>27.2</v>
      </c>
      <c r="BK333">
        <v>28</v>
      </c>
      <c r="BL333">
        <v>213.83</v>
      </c>
      <c r="BM333">
        <v>32.07</v>
      </c>
      <c r="BN333">
        <v>245.9</v>
      </c>
      <c r="BO333">
        <v>245.9</v>
      </c>
      <c r="BQ333" t="s">
        <v>185</v>
      </c>
      <c r="BR333" t="s">
        <v>84</v>
      </c>
      <c r="BS333" s="3">
        <v>45981</v>
      </c>
      <c r="BT333" s="4">
        <v>0.39652777777777776</v>
      </c>
      <c r="BU333" t="s">
        <v>1150</v>
      </c>
      <c r="BV333" t="s">
        <v>86</v>
      </c>
      <c r="BY333">
        <v>136103.69</v>
      </c>
      <c r="CA333" t="s">
        <v>1151</v>
      </c>
      <c r="CC333" t="s">
        <v>130</v>
      </c>
      <c r="CD333" s="5" t="s">
        <v>742</v>
      </c>
      <c r="CE333" t="s">
        <v>315</v>
      </c>
      <c r="CF333" s="3">
        <v>45981</v>
      </c>
      <c r="CI333">
        <v>3</v>
      </c>
      <c r="CJ333">
        <v>3</v>
      </c>
      <c r="CK333">
        <v>41</v>
      </c>
      <c r="CL333" t="s">
        <v>89</v>
      </c>
    </row>
    <row r="334" spans="1:90" x14ac:dyDescent="0.3">
      <c r="A334" t="s">
        <v>72</v>
      </c>
      <c r="B334" t="s">
        <v>73</v>
      </c>
      <c r="C334" t="s">
        <v>74</v>
      </c>
      <c r="E334" t="str">
        <f>"GAB2029854"</f>
        <v>GAB2029854</v>
      </c>
      <c r="F334" s="3">
        <v>45978</v>
      </c>
      <c r="G334">
        <v>202608</v>
      </c>
      <c r="H334" t="s">
        <v>75</v>
      </c>
      <c r="I334" t="s">
        <v>76</v>
      </c>
      <c r="J334" t="s">
        <v>77</v>
      </c>
      <c r="K334" t="s">
        <v>78</v>
      </c>
      <c r="L334" t="s">
        <v>230</v>
      </c>
      <c r="M334" t="s">
        <v>231</v>
      </c>
      <c r="N334" t="s">
        <v>1006</v>
      </c>
      <c r="O334" t="s">
        <v>82</v>
      </c>
      <c r="P334" t="str">
        <f>"INVOICE00041503 ORDGS037639   "</f>
        <v xml:space="preserve">INVOICE00041503 ORDGS037639   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5.87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43.06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2</v>
      </c>
      <c r="BI334">
        <v>6.3</v>
      </c>
      <c r="BJ334">
        <v>15.1</v>
      </c>
      <c r="BK334">
        <v>16</v>
      </c>
      <c r="BL334">
        <v>146.79</v>
      </c>
      <c r="BM334">
        <v>22.02</v>
      </c>
      <c r="BN334">
        <v>168.81</v>
      </c>
      <c r="BO334">
        <v>168.81</v>
      </c>
      <c r="BR334" t="s">
        <v>84</v>
      </c>
      <c r="BS334" s="3">
        <v>45980</v>
      </c>
      <c r="BT334" s="4">
        <v>0.50486111111111109</v>
      </c>
      <c r="BU334" t="s">
        <v>1152</v>
      </c>
      <c r="BV334" t="s">
        <v>86</v>
      </c>
      <c r="BY334">
        <v>75520.37</v>
      </c>
      <c r="CA334">
        <v>8810046287086</v>
      </c>
      <c r="CC334" t="s">
        <v>231</v>
      </c>
      <c r="CD334" s="5" t="s">
        <v>382</v>
      </c>
      <c r="CE334" t="s">
        <v>103</v>
      </c>
      <c r="CF334" s="3">
        <v>45980</v>
      </c>
      <c r="CI334">
        <v>3</v>
      </c>
      <c r="CJ334">
        <v>2</v>
      </c>
      <c r="CK334">
        <v>41</v>
      </c>
      <c r="CL334" t="s">
        <v>89</v>
      </c>
    </row>
    <row r="335" spans="1:90" x14ac:dyDescent="0.3">
      <c r="A335" t="s">
        <v>72</v>
      </c>
      <c r="B335" t="s">
        <v>73</v>
      </c>
      <c r="C335" t="s">
        <v>74</v>
      </c>
      <c r="E335" t="str">
        <f>"GAB2029861"</f>
        <v>GAB2029861</v>
      </c>
      <c r="F335" s="3">
        <v>45978</v>
      </c>
      <c r="G335">
        <v>202608</v>
      </c>
      <c r="H335" t="s">
        <v>75</v>
      </c>
      <c r="I335" t="s">
        <v>76</v>
      </c>
      <c r="J335" t="s">
        <v>77</v>
      </c>
      <c r="K335" t="s">
        <v>78</v>
      </c>
      <c r="L335" t="s">
        <v>182</v>
      </c>
      <c r="M335" t="s">
        <v>183</v>
      </c>
      <c r="N335" t="s">
        <v>184</v>
      </c>
      <c r="O335" t="s">
        <v>82</v>
      </c>
      <c r="P335" t="str">
        <f>"INVOICES 00122763 00122762 001"</f>
        <v>INVOICES 00122763 00122762 001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5.87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97.05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1</v>
      </c>
      <c r="BI335">
        <v>9.3000000000000007</v>
      </c>
      <c r="BJ335">
        <v>27.6</v>
      </c>
      <c r="BK335">
        <v>28</v>
      </c>
      <c r="BL335">
        <v>323.48</v>
      </c>
      <c r="BM335">
        <v>48.52</v>
      </c>
      <c r="BN335">
        <v>372</v>
      </c>
      <c r="BO335">
        <v>372</v>
      </c>
      <c r="BQ335" t="s">
        <v>185</v>
      </c>
      <c r="BR335" t="s">
        <v>84</v>
      </c>
      <c r="BS335" s="3">
        <v>45981</v>
      </c>
      <c r="BT335" s="4">
        <v>0.62152777777777779</v>
      </c>
      <c r="BU335" t="s">
        <v>1153</v>
      </c>
      <c r="BV335" t="s">
        <v>86</v>
      </c>
      <c r="BY335">
        <v>138137.54999999999</v>
      </c>
      <c r="CC335" t="s">
        <v>183</v>
      </c>
      <c r="CD335">
        <v>9866</v>
      </c>
      <c r="CE335" t="s">
        <v>103</v>
      </c>
      <c r="CF335" s="3">
        <v>45982</v>
      </c>
      <c r="CI335">
        <v>4</v>
      </c>
      <c r="CJ335">
        <v>3</v>
      </c>
      <c r="CK335">
        <v>43</v>
      </c>
      <c r="CL335" t="s">
        <v>89</v>
      </c>
    </row>
    <row r="336" spans="1:90" x14ac:dyDescent="0.3">
      <c r="A336" t="s">
        <v>72</v>
      </c>
      <c r="B336" t="s">
        <v>73</v>
      </c>
      <c r="C336" t="s">
        <v>74</v>
      </c>
      <c r="E336" t="str">
        <f>"GAB2029862"</f>
        <v>GAB2029862</v>
      </c>
      <c r="F336" s="3">
        <v>45978</v>
      </c>
      <c r="G336">
        <v>202608</v>
      </c>
      <c r="H336" t="s">
        <v>75</v>
      </c>
      <c r="I336" t="s">
        <v>76</v>
      </c>
      <c r="J336" t="s">
        <v>77</v>
      </c>
      <c r="K336" t="s">
        <v>78</v>
      </c>
      <c r="L336" t="s">
        <v>1154</v>
      </c>
      <c r="M336" t="s">
        <v>1155</v>
      </c>
      <c r="N336" t="s">
        <v>1156</v>
      </c>
      <c r="O336" t="s">
        <v>82</v>
      </c>
      <c r="P336" t="str">
        <f>"INVOICES 00122757 122756 00122"</f>
        <v>INVOICES 00122757 122756 00122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5.87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58.32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2</v>
      </c>
      <c r="BI336">
        <v>3.9</v>
      </c>
      <c r="BJ336">
        <v>8.1</v>
      </c>
      <c r="BK336">
        <v>9</v>
      </c>
      <c r="BL336">
        <v>196.74</v>
      </c>
      <c r="BM336">
        <v>29.51</v>
      </c>
      <c r="BN336">
        <v>226.25</v>
      </c>
      <c r="BO336">
        <v>226.25</v>
      </c>
      <c r="BQ336" t="s">
        <v>185</v>
      </c>
      <c r="BR336" t="s">
        <v>84</v>
      </c>
      <c r="BS336" s="3">
        <v>45982</v>
      </c>
      <c r="BT336" s="4">
        <v>0.48333333333333334</v>
      </c>
      <c r="BU336" t="s">
        <v>1157</v>
      </c>
      <c r="BV336" t="s">
        <v>86</v>
      </c>
      <c r="BY336">
        <v>40428.800000000003</v>
      </c>
      <c r="CA336" t="s">
        <v>1158</v>
      </c>
      <c r="CC336" t="s">
        <v>1155</v>
      </c>
      <c r="CD336">
        <v>9650</v>
      </c>
      <c r="CE336" t="s">
        <v>103</v>
      </c>
      <c r="CF336" s="3">
        <v>45985</v>
      </c>
      <c r="CI336">
        <v>4</v>
      </c>
      <c r="CJ336">
        <v>4</v>
      </c>
      <c r="CK336">
        <v>43</v>
      </c>
      <c r="CL336" t="s">
        <v>89</v>
      </c>
    </row>
    <row r="337" spans="1:90" x14ac:dyDescent="0.3">
      <c r="A337" t="s">
        <v>72</v>
      </c>
      <c r="B337" t="s">
        <v>73</v>
      </c>
      <c r="C337" t="s">
        <v>74</v>
      </c>
      <c r="E337" t="str">
        <f>"GAB2029866"</f>
        <v>GAB2029866</v>
      </c>
      <c r="F337" s="3">
        <v>45978</v>
      </c>
      <c r="G337">
        <v>202608</v>
      </c>
      <c r="H337" t="s">
        <v>75</v>
      </c>
      <c r="I337" t="s">
        <v>76</v>
      </c>
      <c r="J337" t="s">
        <v>77</v>
      </c>
      <c r="K337" t="s">
        <v>78</v>
      </c>
      <c r="L337" t="s">
        <v>656</v>
      </c>
      <c r="M337" t="s">
        <v>657</v>
      </c>
      <c r="N337" t="s">
        <v>1159</v>
      </c>
      <c r="O337" t="s">
        <v>82</v>
      </c>
      <c r="P337" t="str">
        <f>"INVOICE 00041527 ORDGS038199  "</f>
        <v xml:space="preserve">INVOICE 00041527 ORDGS038199  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5.87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45.67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1</v>
      </c>
      <c r="BI337">
        <v>6.2</v>
      </c>
      <c r="BJ337">
        <v>12.5</v>
      </c>
      <c r="BK337">
        <v>13</v>
      </c>
      <c r="BL337">
        <v>155.33000000000001</v>
      </c>
      <c r="BM337">
        <v>23.3</v>
      </c>
      <c r="BN337">
        <v>178.63</v>
      </c>
      <c r="BO337">
        <v>178.63</v>
      </c>
      <c r="BQ337" t="s">
        <v>185</v>
      </c>
      <c r="BR337" t="s">
        <v>84</v>
      </c>
      <c r="BS337" s="3">
        <v>45979</v>
      </c>
      <c r="BT337" s="4">
        <v>0.53749999999999998</v>
      </c>
      <c r="BU337" t="s">
        <v>1160</v>
      </c>
      <c r="BV337" t="s">
        <v>86</v>
      </c>
      <c r="BY337">
        <v>62683.74</v>
      </c>
      <c r="CA337" t="s">
        <v>661</v>
      </c>
      <c r="CC337" t="s">
        <v>657</v>
      </c>
      <c r="CD337">
        <v>6850</v>
      </c>
      <c r="CE337" t="s">
        <v>103</v>
      </c>
      <c r="CF337" s="3">
        <v>45980</v>
      </c>
      <c r="CI337">
        <v>0</v>
      </c>
      <c r="CJ337">
        <v>0</v>
      </c>
      <c r="CK337">
        <v>44</v>
      </c>
      <c r="CL337" t="s">
        <v>89</v>
      </c>
    </row>
    <row r="338" spans="1:90" x14ac:dyDescent="0.3">
      <c r="A338" t="s">
        <v>72</v>
      </c>
      <c r="B338" t="s">
        <v>73</v>
      </c>
      <c r="C338" t="s">
        <v>74</v>
      </c>
      <c r="E338" t="str">
        <f>"GAB2029883"</f>
        <v>GAB2029883</v>
      </c>
      <c r="F338" s="3">
        <v>45978</v>
      </c>
      <c r="G338">
        <v>202608</v>
      </c>
      <c r="H338" t="s">
        <v>75</v>
      </c>
      <c r="I338" t="s">
        <v>76</v>
      </c>
      <c r="J338" t="s">
        <v>77</v>
      </c>
      <c r="K338" t="s">
        <v>78</v>
      </c>
      <c r="L338" t="s">
        <v>1161</v>
      </c>
      <c r="M338" t="s">
        <v>1162</v>
      </c>
      <c r="N338" t="s">
        <v>1163</v>
      </c>
      <c r="O338" t="s">
        <v>82</v>
      </c>
      <c r="P338" t="str">
        <f>"invoices 00041530 41529 41531 "</f>
        <v xml:space="preserve">invoices 00041530 41529 41531 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5.87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58.32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1</v>
      </c>
      <c r="BI338">
        <v>5.3</v>
      </c>
      <c r="BJ338">
        <v>13.1</v>
      </c>
      <c r="BK338">
        <v>14</v>
      </c>
      <c r="BL338">
        <v>196.74</v>
      </c>
      <c r="BM338">
        <v>29.51</v>
      </c>
      <c r="BN338">
        <v>226.25</v>
      </c>
      <c r="BO338">
        <v>226.25</v>
      </c>
      <c r="BQ338" t="s">
        <v>93</v>
      </c>
      <c r="BR338" t="s">
        <v>84</v>
      </c>
      <c r="BS338" s="3">
        <v>45981</v>
      </c>
      <c r="BT338" s="4">
        <v>0.67500000000000004</v>
      </c>
      <c r="BU338" t="s">
        <v>1164</v>
      </c>
      <c r="BV338" t="s">
        <v>86</v>
      </c>
      <c r="BY338">
        <v>65392</v>
      </c>
      <c r="CA338" t="s">
        <v>1165</v>
      </c>
      <c r="CC338" t="s">
        <v>1162</v>
      </c>
      <c r="CD338">
        <v>1030</v>
      </c>
      <c r="CE338" t="s">
        <v>88</v>
      </c>
      <c r="CF338" s="3">
        <v>45982</v>
      </c>
      <c r="CI338">
        <v>2</v>
      </c>
      <c r="CJ338">
        <v>3</v>
      </c>
      <c r="CK338">
        <v>43</v>
      </c>
      <c r="CL338" t="s">
        <v>89</v>
      </c>
    </row>
    <row r="339" spans="1:90" x14ac:dyDescent="0.3">
      <c r="A339" t="s">
        <v>72</v>
      </c>
      <c r="B339" t="s">
        <v>73</v>
      </c>
      <c r="C339" t="s">
        <v>74</v>
      </c>
      <c r="E339" t="str">
        <f>"GAB2029885"</f>
        <v>GAB2029885</v>
      </c>
      <c r="F339" s="3">
        <v>45978</v>
      </c>
      <c r="G339">
        <v>202608</v>
      </c>
      <c r="H339" t="s">
        <v>75</v>
      </c>
      <c r="I339" t="s">
        <v>76</v>
      </c>
      <c r="J339" t="s">
        <v>77</v>
      </c>
      <c r="K339" t="s">
        <v>78</v>
      </c>
      <c r="L339" t="s">
        <v>90</v>
      </c>
      <c r="M339" t="s">
        <v>91</v>
      </c>
      <c r="N339" t="s">
        <v>1166</v>
      </c>
      <c r="O339" t="s">
        <v>82</v>
      </c>
      <c r="P339" t="str">
        <f>"INVOICE 00041553 ORDGS038219  "</f>
        <v xml:space="preserve">INVOICE 00041553 ORDGS038219  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5.87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41.35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1</v>
      </c>
      <c r="BI339">
        <v>2.4</v>
      </c>
      <c r="BJ339">
        <v>6.1</v>
      </c>
      <c r="BK339">
        <v>7</v>
      </c>
      <c r="BL339">
        <v>141.19999999999999</v>
      </c>
      <c r="BM339">
        <v>21.18</v>
      </c>
      <c r="BN339">
        <v>162.38</v>
      </c>
      <c r="BO339">
        <v>162.38</v>
      </c>
      <c r="BR339" t="s">
        <v>84</v>
      </c>
      <c r="BS339" s="3">
        <v>45981</v>
      </c>
      <c r="BT339" s="4">
        <v>0.42152777777777778</v>
      </c>
      <c r="BU339" t="s">
        <v>1167</v>
      </c>
      <c r="BV339" t="s">
        <v>86</v>
      </c>
      <c r="BY339">
        <v>30551.85</v>
      </c>
      <c r="CA339" t="s">
        <v>1168</v>
      </c>
      <c r="CC339" t="s">
        <v>91</v>
      </c>
      <c r="CD339">
        <v>4080</v>
      </c>
      <c r="CE339" t="s">
        <v>103</v>
      </c>
      <c r="CF339" s="3">
        <v>45982</v>
      </c>
      <c r="CI339">
        <v>3</v>
      </c>
      <c r="CJ339">
        <v>3</v>
      </c>
      <c r="CK339">
        <v>41</v>
      </c>
      <c r="CL339" t="s">
        <v>89</v>
      </c>
    </row>
    <row r="340" spans="1:90" x14ac:dyDescent="0.3">
      <c r="A340" t="s">
        <v>72</v>
      </c>
      <c r="B340" t="s">
        <v>73</v>
      </c>
      <c r="C340" t="s">
        <v>74</v>
      </c>
      <c r="E340" t="str">
        <f>"GAB2029892"</f>
        <v>GAB2029892</v>
      </c>
      <c r="F340" s="3">
        <v>45978</v>
      </c>
      <c r="G340">
        <v>202608</v>
      </c>
      <c r="H340" t="s">
        <v>75</v>
      </c>
      <c r="I340" t="s">
        <v>76</v>
      </c>
      <c r="J340" t="s">
        <v>77</v>
      </c>
      <c r="K340" t="s">
        <v>78</v>
      </c>
      <c r="L340" t="s">
        <v>90</v>
      </c>
      <c r="M340" t="s">
        <v>91</v>
      </c>
      <c r="N340" t="s">
        <v>1169</v>
      </c>
      <c r="O340" t="s">
        <v>82</v>
      </c>
      <c r="P340" t="str">
        <f>"INVOICE 00041555 ORDGS038228  "</f>
        <v xml:space="preserve">INVOICE 00041555 ORDGS038228  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5.87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41.35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2</v>
      </c>
      <c r="BI340">
        <v>3.3</v>
      </c>
      <c r="BJ340">
        <v>7.8</v>
      </c>
      <c r="BK340">
        <v>8</v>
      </c>
      <c r="BL340">
        <v>141.19999999999999</v>
      </c>
      <c r="BM340">
        <v>21.18</v>
      </c>
      <c r="BN340">
        <v>162.38</v>
      </c>
      <c r="BO340">
        <v>162.38</v>
      </c>
      <c r="BQ340" t="s">
        <v>1170</v>
      </c>
      <c r="BR340" t="s">
        <v>84</v>
      </c>
      <c r="BS340" s="3">
        <v>45980</v>
      </c>
      <c r="BT340" s="4">
        <v>0.61944444444444446</v>
      </c>
      <c r="BU340" t="s">
        <v>1171</v>
      </c>
      <c r="BV340" t="s">
        <v>86</v>
      </c>
      <c r="BY340">
        <v>39189.99</v>
      </c>
      <c r="CA340" t="s">
        <v>1172</v>
      </c>
      <c r="CC340" t="s">
        <v>91</v>
      </c>
      <c r="CD340">
        <v>4001</v>
      </c>
      <c r="CE340" t="s">
        <v>103</v>
      </c>
      <c r="CF340" s="3">
        <v>45980</v>
      </c>
      <c r="CI340">
        <v>3</v>
      </c>
      <c r="CJ340">
        <v>2</v>
      </c>
      <c r="CK340">
        <v>41</v>
      </c>
      <c r="CL340" t="s">
        <v>89</v>
      </c>
    </row>
    <row r="341" spans="1:90" x14ac:dyDescent="0.3">
      <c r="A341" t="s">
        <v>72</v>
      </c>
      <c r="B341" t="s">
        <v>73</v>
      </c>
      <c r="C341" t="s">
        <v>74</v>
      </c>
      <c r="E341" t="str">
        <f>"GAB2029896"</f>
        <v>GAB2029896</v>
      </c>
      <c r="F341" s="3">
        <v>45978</v>
      </c>
      <c r="G341">
        <v>202608</v>
      </c>
      <c r="H341" t="s">
        <v>75</v>
      </c>
      <c r="I341" t="s">
        <v>76</v>
      </c>
      <c r="J341" t="s">
        <v>77</v>
      </c>
      <c r="K341" t="s">
        <v>78</v>
      </c>
      <c r="L341" t="s">
        <v>1173</v>
      </c>
      <c r="M341" t="s">
        <v>1174</v>
      </c>
      <c r="N341" t="s">
        <v>1175</v>
      </c>
      <c r="O341" t="s">
        <v>82</v>
      </c>
      <c r="P341" t="str">
        <f>"INVOICE 00041562 ORDGS038220  "</f>
        <v xml:space="preserve">INVOICE 00041562 ORDGS038220  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5.87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41.35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2</v>
      </c>
      <c r="BI341">
        <v>8.6999999999999993</v>
      </c>
      <c r="BJ341">
        <v>15</v>
      </c>
      <c r="BK341">
        <v>15</v>
      </c>
      <c r="BL341">
        <v>141.19999999999999</v>
      </c>
      <c r="BM341">
        <v>21.18</v>
      </c>
      <c r="BN341">
        <v>162.38</v>
      </c>
      <c r="BO341">
        <v>162.38</v>
      </c>
      <c r="BR341" t="s">
        <v>84</v>
      </c>
      <c r="BS341" s="3">
        <v>45980</v>
      </c>
      <c r="BT341" s="4">
        <v>0.34375</v>
      </c>
      <c r="BU341" t="s">
        <v>1176</v>
      </c>
      <c r="BV341" t="s">
        <v>86</v>
      </c>
      <c r="BY341">
        <v>74809.600000000006</v>
      </c>
      <c r="CC341" t="s">
        <v>1174</v>
      </c>
      <c r="CD341">
        <v>1559</v>
      </c>
      <c r="CE341" t="s">
        <v>103</v>
      </c>
      <c r="CF341" s="3">
        <v>45980</v>
      </c>
      <c r="CI341">
        <v>2</v>
      </c>
      <c r="CJ341">
        <v>2</v>
      </c>
      <c r="CK341">
        <v>41</v>
      </c>
      <c r="CL341" t="s">
        <v>89</v>
      </c>
    </row>
    <row r="342" spans="1:90" x14ac:dyDescent="0.3">
      <c r="A342" t="s">
        <v>72</v>
      </c>
      <c r="B342" t="s">
        <v>73</v>
      </c>
      <c r="C342" t="s">
        <v>74</v>
      </c>
      <c r="E342" t="str">
        <f>"GAB2029850"</f>
        <v>GAB2029850</v>
      </c>
      <c r="F342" s="3">
        <v>45978</v>
      </c>
      <c r="G342">
        <v>202608</v>
      </c>
      <c r="H342" t="s">
        <v>75</v>
      </c>
      <c r="I342" t="s">
        <v>76</v>
      </c>
      <c r="J342" t="s">
        <v>77</v>
      </c>
      <c r="K342" t="s">
        <v>78</v>
      </c>
      <c r="L342" t="s">
        <v>246</v>
      </c>
      <c r="M342" t="s">
        <v>247</v>
      </c>
      <c r="N342" t="s">
        <v>581</v>
      </c>
      <c r="O342" t="s">
        <v>124</v>
      </c>
      <c r="P342" t="str">
        <f>"INVOICE00122745 CT097571      "</f>
        <v xml:space="preserve">INVOICE00122745 CT097571      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21.38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1</v>
      </c>
      <c r="BI342">
        <v>0.8</v>
      </c>
      <c r="BJ342">
        <v>1.8</v>
      </c>
      <c r="BK342">
        <v>2</v>
      </c>
      <c r="BL342">
        <v>69.98</v>
      </c>
      <c r="BM342">
        <v>10.5</v>
      </c>
      <c r="BN342">
        <v>80.48</v>
      </c>
      <c r="BO342">
        <v>80.48</v>
      </c>
      <c r="BQ342" t="s">
        <v>1177</v>
      </c>
      <c r="BR342" t="s">
        <v>84</v>
      </c>
      <c r="BS342" s="3">
        <v>45979</v>
      </c>
      <c r="BT342" s="4">
        <v>0.40902777777777777</v>
      </c>
      <c r="BU342" t="s">
        <v>1178</v>
      </c>
      <c r="BV342" t="s">
        <v>86</v>
      </c>
      <c r="BY342">
        <v>8876.0400000000009</v>
      </c>
      <c r="BZ342" t="s">
        <v>126</v>
      </c>
      <c r="CC342" t="s">
        <v>247</v>
      </c>
      <c r="CD342">
        <v>9301</v>
      </c>
      <c r="CE342" t="s">
        <v>1033</v>
      </c>
      <c r="CF342" s="3">
        <v>45980</v>
      </c>
      <c r="CI342">
        <v>2</v>
      </c>
      <c r="CJ342">
        <v>1</v>
      </c>
      <c r="CK342">
        <v>21</v>
      </c>
      <c r="CL342" t="s">
        <v>89</v>
      </c>
    </row>
    <row r="343" spans="1:90" x14ac:dyDescent="0.3">
      <c r="A343" t="s">
        <v>72</v>
      </c>
      <c r="B343" t="s">
        <v>73</v>
      </c>
      <c r="C343" t="s">
        <v>74</v>
      </c>
      <c r="E343" t="str">
        <f>"GAB2029851"</f>
        <v>GAB2029851</v>
      </c>
      <c r="F343" s="3">
        <v>45978</v>
      </c>
      <c r="G343">
        <v>202608</v>
      </c>
      <c r="H343" t="s">
        <v>75</v>
      </c>
      <c r="I343" t="s">
        <v>76</v>
      </c>
      <c r="J343" t="s">
        <v>77</v>
      </c>
      <c r="K343" t="s">
        <v>78</v>
      </c>
      <c r="L343" t="s">
        <v>330</v>
      </c>
      <c r="M343" t="s">
        <v>331</v>
      </c>
      <c r="N343" t="s">
        <v>332</v>
      </c>
      <c r="O343" t="s">
        <v>124</v>
      </c>
      <c r="P343" t="str">
        <f>"INVOICE00122746 CT098284      "</f>
        <v xml:space="preserve">INVOICE00122746 CT098284      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21.38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16.739999999999998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1</v>
      </c>
      <c r="BI343">
        <v>0.2</v>
      </c>
      <c r="BJ343">
        <v>1.7</v>
      </c>
      <c r="BK343">
        <v>2</v>
      </c>
      <c r="BL343">
        <v>86.72</v>
      </c>
      <c r="BM343">
        <v>13.01</v>
      </c>
      <c r="BN343">
        <v>99.73</v>
      </c>
      <c r="BO343">
        <v>99.73</v>
      </c>
      <c r="BQ343" t="s">
        <v>400</v>
      </c>
      <c r="BR343" t="s">
        <v>84</v>
      </c>
      <c r="BS343" s="3">
        <v>45979</v>
      </c>
      <c r="BT343" s="4">
        <v>0.36666666666666664</v>
      </c>
      <c r="BU343" t="s">
        <v>1179</v>
      </c>
      <c r="BV343" t="s">
        <v>86</v>
      </c>
      <c r="BY343">
        <v>8580.5</v>
      </c>
      <c r="BZ343" t="s">
        <v>180</v>
      </c>
      <c r="CA343" t="s">
        <v>1180</v>
      </c>
      <c r="CC343" t="s">
        <v>331</v>
      </c>
      <c r="CD343">
        <v>1475</v>
      </c>
      <c r="CE343" t="s">
        <v>367</v>
      </c>
      <c r="CF343" s="3">
        <v>45979</v>
      </c>
      <c r="CI343">
        <v>1</v>
      </c>
      <c r="CJ343">
        <v>1</v>
      </c>
      <c r="CK343">
        <v>21</v>
      </c>
      <c r="CL343" t="s">
        <v>89</v>
      </c>
    </row>
    <row r="344" spans="1:90" x14ac:dyDescent="0.3">
      <c r="A344" t="s">
        <v>72</v>
      </c>
      <c r="B344" t="s">
        <v>73</v>
      </c>
      <c r="C344" t="s">
        <v>74</v>
      </c>
      <c r="E344" t="str">
        <f>"GAB2029852"</f>
        <v>GAB2029852</v>
      </c>
      <c r="F344" s="3">
        <v>45978</v>
      </c>
      <c r="G344">
        <v>202608</v>
      </c>
      <c r="H344" t="s">
        <v>75</v>
      </c>
      <c r="I344" t="s">
        <v>76</v>
      </c>
      <c r="J344" t="s">
        <v>77</v>
      </c>
      <c r="K344" t="s">
        <v>78</v>
      </c>
      <c r="L344" t="s">
        <v>169</v>
      </c>
      <c r="M344" t="s">
        <v>170</v>
      </c>
      <c r="N344" t="s">
        <v>533</v>
      </c>
      <c r="O344" t="s">
        <v>124</v>
      </c>
      <c r="P344" t="str">
        <f>"INVOICE00041507 00041506 ORDGS"</f>
        <v>INVOICE00041507 00041506 ORDGS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32.07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1</v>
      </c>
      <c r="BI344">
        <v>0.5</v>
      </c>
      <c r="BJ344">
        <v>2.6</v>
      </c>
      <c r="BK344">
        <v>3</v>
      </c>
      <c r="BL344">
        <v>104.95</v>
      </c>
      <c r="BM344">
        <v>15.74</v>
      </c>
      <c r="BN344">
        <v>120.69</v>
      </c>
      <c r="BO344">
        <v>120.69</v>
      </c>
      <c r="BQ344" t="s">
        <v>118</v>
      </c>
      <c r="BR344" t="s">
        <v>84</v>
      </c>
      <c r="BS344" s="3">
        <v>45979</v>
      </c>
      <c r="BT344" s="4">
        <v>0.4375</v>
      </c>
      <c r="BU344" t="s">
        <v>1181</v>
      </c>
      <c r="BV344" t="s">
        <v>86</v>
      </c>
      <c r="BY344">
        <v>13209.6</v>
      </c>
      <c r="BZ344" t="s">
        <v>126</v>
      </c>
      <c r="CC344" t="s">
        <v>170</v>
      </c>
      <c r="CD344">
        <v>2191</v>
      </c>
      <c r="CE344" t="s">
        <v>953</v>
      </c>
      <c r="CF344" s="3">
        <v>45980</v>
      </c>
      <c r="CI344">
        <v>1</v>
      </c>
      <c r="CJ344">
        <v>1</v>
      </c>
      <c r="CK344">
        <v>21</v>
      </c>
      <c r="CL344" t="s">
        <v>89</v>
      </c>
    </row>
    <row r="345" spans="1:90" x14ac:dyDescent="0.3">
      <c r="A345" t="s">
        <v>72</v>
      </c>
      <c r="B345" t="s">
        <v>73</v>
      </c>
      <c r="C345" t="s">
        <v>74</v>
      </c>
      <c r="E345" t="str">
        <f>"GAB2029855"</f>
        <v>GAB2029855</v>
      </c>
      <c r="F345" s="3">
        <v>45978</v>
      </c>
      <c r="G345">
        <v>202608</v>
      </c>
      <c r="H345" t="s">
        <v>75</v>
      </c>
      <c r="I345" t="s">
        <v>76</v>
      </c>
      <c r="J345" t="s">
        <v>77</v>
      </c>
      <c r="K345" t="s">
        <v>78</v>
      </c>
      <c r="L345" t="s">
        <v>441</v>
      </c>
      <c r="M345" t="s">
        <v>442</v>
      </c>
      <c r="N345" t="s">
        <v>443</v>
      </c>
      <c r="O345" t="s">
        <v>124</v>
      </c>
      <c r="P345" t="str">
        <f>"INVPOCE00041502 ORDGS038154   "</f>
        <v xml:space="preserve">INVPOCE00041502 ORDGS038154   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69.459999999999994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1</v>
      </c>
      <c r="BI345">
        <v>1.3</v>
      </c>
      <c r="BJ345">
        <v>6.2</v>
      </c>
      <c r="BK345">
        <v>6.5</v>
      </c>
      <c r="BL345">
        <v>227.32</v>
      </c>
      <c r="BM345">
        <v>34.1</v>
      </c>
      <c r="BN345">
        <v>261.42</v>
      </c>
      <c r="BO345">
        <v>261.42</v>
      </c>
      <c r="BQ345" t="s">
        <v>444</v>
      </c>
      <c r="BR345" t="s">
        <v>84</v>
      </c>
      <c r="BS345" s="3">
        <v>45979</v>
      </c>
      <c r="BT345" s="4">
        <v>0.41666666666666669</v>
      </c>
      <c r="BU345" t="s">
        <v>1182</v>
      </c>
      <c r="BV345" t="s">
        <v>86</v>
      </c>
      <c r="BY345">
        <v>30977.1</v>
      </c>
      <c r="BZ345" t="s">
        <v>126</v>
      </c>
      <c r="CA345">
        <v>7004265685086</v>
      </c>
      <c r="CC345" t="s">
        <v>442</v>
      </c>
      <c r="CD345">
        <v>6529</v>
      </c>
      <c r="CE345" t="s">
        <v>907</v>
      </c>
      <c r="CF345" s="3">
        <v>45979</v>
      </c>
      <c r="CI345">
        <v>1</v>
      </c>
      <c r="CJ345">
        <v>1</v>
      </c>
      <c r="CK345">
        <v>21</v>
      </c>
      <c r="CL345" t="s">
        <v>89</v>
      </c>
    </row>
    <row r="346" spans="1:90" x14ac:dyDescent="0.3">
      <c r="A346" t="s">
        <v>72</v>
      </c>
      <c r="B346" t="s">
        <v>73</v>
      </c>
      <c r="C346" t="s">
        <v>74</v>
      </c>
      <c r="E346" t="str">
        <f>"GAB2029857"</f>
        <v>GAB2029857</v>
      </c>
      <c r="F346" s="3">
        <v>45978</v>
      </c>
      <c r="G346">
        <v>202608</v>
      </c>
      <c r="H346" t="s">
        <v>75</v>
      </c>
      <c r="I346" t="s">
        <v>76</v>
      </c>
      <c r="J346" t="s">
        <v>77</v>
      </c>
      <c r="K346" t="s">
        <v>78</v>
      </c>
      <c r="L346" t="s">
        <v>1173</v>
      </c>
      <c r="M346" t="s">
        <v>1174</v>
      </c>
      <c r="N346" t="s">
        <v>1183</v>
      </c>
      <c r="O346" t="s">
        <v>124</v>
      </c>
      <c r="P346" t="str">
        <f>"INVOICE00041508 ORDGS038144   "</f>
        <v xml:space="preserve">INVOICE00041508 ORDGS038144   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21.38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1</v>
      </c>
      <c r="BI346">
        <v>0.2</v>
      </c>
      <c r="BJ346">
        <v>1.8</v>
      </c>
      <c r="BK346">
        <v>2</v>
      </c>
      <c r="BL346">
        <v>69.98</v>
      </c>
      <c r="BM346">
        <v>10.5</v>
      </c>
      <c r="BN346">
        <v>80.48</v>
      </c>
      <c r="BO346">
        <v>80.48</v>
      </c>
      <c r="BQ346" t="s">
        <v>118</v>
      </c>
      <c r="BR346" t="s">
        <v>84</v>
      </c>
      <c r="BS346" s="3">
        <v>45980</v>
      </c>
      <c r="BT346" s="4">
        <v>0.70486111111111116</v>
      </c>
      <c r="BU346" t="s">
        <v>1184</v>
      </c>
      <c r="BV346" t="s">
        <v>89</v>
      </c>
      <c r="BY346">
        <v>9190.86</v>
      </c>
      <c r="BZ346" t="s">
        <v>126</v>
      </c>
      <c r="CC346" t="s">
        <v>1174</v>
      </c>
      <c r="CD346">
        <v>1559</v>
      </c>
      <c r="CE346" t="s">
        <v>367</v>
      </c>
      <c r="CF346" s="3">
        <v>45980</v>
      </c>
      <c r="CI346">
        <v>1</v>
      </c>
      <c r="CJ346">
        <v>2</v>
      </c>
      <c r="CK346">
        <v>21</v>
      </c>
      <c r="CL346" t="s">
        <v>89</v>
      </c>
    </row>
    <row r="347" spans="1:90" x14ac:dyDescent="0.3">
      <c r="A347" t="s">
        <v>72</v>
      </c>
      <c r="B347" t="s">
        <v>73</v>
      </c>
      <c r="C347" t="s">
        <v>74</v>
      </c>
      <c r="E347" t="str">
        <f>"GAB2029860"</f>
        <v>GAB2029860</v>
      </c>
      <c r="F347" s="3">
        <v>45978</v>
      </c>
      <c r="G347">
        <v>202608</v>
      </c>
      <c r="H347" t="s">
        <v>75</v>
      </c>
      <c r="I347" t="s">
        <v>76</v>
      </c>
      <c r="J347" t="s">
        <v>77</v>
      </c>
      <c r="K347" t="s">
        <v>78</v>
      </c>
      <c r="L347" t="s">
        <v>1185</v>
      </c>
      <c r="M347" t="s">
        <v>1186</v>
      </c>
      <c r="N347" t="s">
        <v>1187</v>
      </c>
      <c r="O347" t="s">
        <v>124</v>
      </c>
      <c r="P347" t="str">
        <f>"INVOICE00122758    00122759 CT"</f>
        <v>INVOICE00122758    00122759 CT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50.78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1</v>
      </c>
      <c r="BI347">
        <v>1.1000000000000001</v>
      </c>
      <c r="BJ347">
        <v>2.2999999999999998</v>
      </c>
      <c r="BK347">
        <v>2.5</v>
      </c>
      <c r="BL347">
        <v>166.2</v>
      </c>
      <c r="BM347">
        <v>24.93</v>
      </c>
      <c r="BN347">
        <v>191.13</v>
      </c>
      <c r="BO347">
        <v>191.13</v>
      </c>
      <c r="BQ347" t="s">
        <v>185</v>
      </c>
      <c r="BR347" t="s">
        <v>84</v>
      </c>
      <c r="BS347" s="3">
        <v>45985</v>
      </c>
      <c r="BT347" s="4">
        <v>0.60833333333333328</v>
      </c>
      <c r="BU347" t="s">
        <v>1188</v>
      </c>
      <c r="BV347" t="s">
        <v>89</v>
      </c>
      <c r="BW347" t="s">
        <v>562</v>
      </c>
      <c r="BX347" t="s">
        <v>1189</v>
      </c>
      <c r="BY347">
        <v>11585.63</v>
      </c>
      <c r="BZ347" t="s">
        <v>126</v>
      </c>
      <c r="CC347" t="s">
        <v>1186</v>
      </c>
      <c r="CD347">
        <v>9830</v>
      </c>
      <c r="CE347" t="s">
        <v>1190</v>
      </c>
      <c r="CF347" s="3">
        <v>45986</v>
      </c>
      <c r="CI347">
        <v>2</v>
      </c>
      <c r="CJ347">
        <v>5</v>
      </c>
      <c r="CK347">
        <v>23</v>
      </c>
      <c r="CL347" t="s">
        <v>89</v>
      </c>
    </row>
    <row r="348" spans="1:90" x14ac:dyDescent="0.3">
      <c r="A348" t="s">
        <v>72</v>
      </c>
      <c r="B348" t="s">
        <v>73</v>
      </c>
      <c r="C348" t="s">
        <v>74</v>
      </c>
      <c r="E348" t="str">
        <f>"GAB2029863"</f>
        <v>GAB2029863</v>
      </c>
      <c r="F348" s="3">
        <v>45978</v>
      </c>
      <c r="G348">
        <v>202608</v>
      </c>
      <c r="H348" t="s">
        <v>75</v>
      </c>
      <c r="I348" t="s">
        <v>76</v>
      </c>
      <c r="J348" t="s">
        <v>77</v>
      </c>
      <c r="K348" t="s">
        <v>78</v>
      </c>
      <c r="L348" t="s">
        <v>75</v>
      </c>
      <c r="M348" t="s">
        <v>76</v>
      </c>
      <c r="N348" t="s">
        <v>481</v>
      </c>
      <c r="O348" t="s">
        <v>124</v>
      </c>
      <c r="P348" t="str">
        <f>"INVOICE 00122776 CT098310     "</f>
        <v xml:space="preserve">INVOICE 00122776 CT098310     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16.7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1</v>
      </c>
      <c r="BI348">
        <v>0.3</v>
      </c>
      <c r="BJ348">
        <v>2.4</v>
      </c>
      <c r="BK348">
        <v>3</v>
      </c>
      <c r="BL348">
        <v>54.66</v>
      </c>
      <c r="BM348">
        <v>8.1999999999999993</v>
      </c>
      <c r="BN348">
        <v>62.86</v>
      </c>
      <c r="BO348">
        <v>62.86</v>
      </c>
      <c r="BQ348" t="s">
        <v>482</v>
      </c>
      <c r="BR348" t="s">
        <v>84</v>
      </c>
      <c r="BS348" s="3">
        <v>45979</v>
      </c>
      <c r="BT348" s="4">
        <v>0.37638888888888888</v>
      </c>
      <c r="BU348" t="s">
        <v>482</v>
      </c>
      <c r="BV348" t="s">
        <v>86</v>
      </c>
      <c r="BY348">
        <v>11842</v>
      </c>
      <c r="BZ348" t="s">
        <v>126</v>
      </c>
      <c r="CC348" t="s">
        <v>76</v>
      </c>
      <c r="CD348">
        <v>7441</v>
      </c>
      <c r="CE348" t="s">
        <v>149</v>
      </c>
      <c r="CF348" s="3">
        <v>45980</v>
      </c>
      <c r="CI348">
        <v>1</v>
      </c>
      <c r="CJ348">
        <v>1</v>
      </c>
      <c r="CK348">
        <v>22</v>
      </c>
      <c r="CL348" t="s">
        <v>89</v>
      </c>
    </row>
    <row r="349" spans="1:90" x14ac:dyDescent="0.3">
      <c r="A349" t="s">
        <v>72</v>
      </c>
      <c r="B349" t="s">
        <v>73</v>
      </c>
      <c r="C349" t="s">
        <v>74</v>
      </c>
      <c r="E349" t="str">
        <f>"GAB2029864"</f>
        <v>GAB2029864</v>
      </c>
      <c r="F349" s="3">
        <v>45978</v>
      </c>
      <c r="G349">
        <v>202608</v>
      </c>
      <c r="H349" t="s">
        <v>75</v>
      </c>
      <c r="I349" t="s">
        <v>76</v>
      </c>
      <c r="J349" t="s">
        <v>77</v>
      </c>
      <c r="K349" t="s">
        <v>78</v>
      </c>
      <c r="L349" t="s">
        <v>230</v>
      </c>
      <c r="M349" t="s">
        <v>231</v>
      </c>
      <c r="N349" t="s">
        <v>335</v>
      </c>
      <c r="O349" t="s">
        <v>124</v>
      </c>
      <c r="P349" t="str">
        <f>"INVOICE 00041525 ORDGS038166  "</f>
        <v xml:space="preserve">INVOICE 00041525 ORDGS038166  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21.38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1</v>
      </c>
      <c r="BI349">
        <v>0.3</v>
      </c>
      <c r="BJ349">
        <v>1.8</v>
      </c>
      <c r="BK349">
        <v>2</v>
      </c>
      <c r="BL349">
        <v>69.98</v>
      </c>
      <c r="BM349">
        <v>10.5</v>
      </c>
      <c r="BN349">
        <v>80.48</v>
      </c>
      <c r="BO349">
        <v>80.48</v>
      </c>
      <c r="BQ349" t="s">
        <v>1115</v>
      </c>
      <c r="BR349" t="s">
        <v>84</v>
      </c>
      <c r="BS349" s="3">
        <v>45979</v>
      </c>
      <c r="BT349" s="4">
        <v>0.35416666666666669</v>
      </c>
      <c r="BU349" t="s">
        <v>1191</v>
      </c>
      <c r="BV349" t="s">
        <v>86</v>
      </c>
      <c r="BY349">
        <v>9097.2000000000007</v>
      </c>
      <c r="BZ349" t="s">
        <v>126</v>
      </c>
      <c r="CA349" t="s">
        <v>328</v>
      </c>
      <c r="CC349" t="s">
        <v>231</v>
      </c>
      <c r="CD349" s="5" t="s">
        <v>235</v>
      </c>
      <c r="CE349" t="s">
        <v>1192</v>
      </c>
      <c r="CF349" s="3">
        <v>45979</v>
      </c>
      <c r="CI349">
        <v>1</v>
      </c>
      <c r="CJ349">
        <v>1</v>
      </c>
      <c r="CK349">
        <v>21</v>
      </c>
      <c r="CL349" t="s">
        <v>89</v>
      </c>
    </row>
    <row r="350" spans="1:90" x14ac:dyDescent="0.3">
      <c r="A350" t="s">
        <v>72</v>
      </c>
      <c r="B350" t="s">
        <v>73</v>
      </c>
      <c r="C350" t="s">
        <v>74</v>
      </c>
      <c r="E350" t="str">
        <f>"GAB2029868"</f>
        <v>GAB2029868</v>
      </c>
      <c r="F350" s="3">
        <v>45978</v>
      </c>
      <c r="G350">
        <v>202608</v>
      </c>
      <c r="H350" t="s">
        <v>75</v>
      </c>
      <c r="I350" t="s">
        <v>76</v>
      </c>
      <c r="J350" t="s">
        <v>77</v>
      </c>
      <c r="K350" t="s">
        <v>78</v>
      </c>
      <c r="L350" t="s">
        <v>759</v>
      </c>
      <c r="M350" t="s">
        <v>760</v>
      </c>
      <c r="N350" t="s">
        <v>1193</v>
      </c>
      <c r="O350" t="s">
        <v>124</v>
      </c>
      <c r="P350" t="str">
        <f>"INVOICE 00122787 CT098309     "</f>
        <v xml:space="preserve">INVOICE 00122787 CT098309     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50.78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1</v>
      </c>
      <c r="BI350">
        <v>0.5</v>
      </c>
      <c r="BJ350">
        <v>2.5</v>
      </c>
      <c r="BK350">
        <v>2.5</v>
      </c>
      <c r="BL350">
        <v>166.2</v>
      </c>
      <c r="BM350">
        <v>24.93</v>
      </c>
      <c r="BN350">
        <v>191.13</v>
      </c>
      <c r="BO350">
        <v>191.13</v>
      </c>
      <c r="BQ350" t="s">
        <v>762</v>
      </c>
      <c r="BR350" t="s">
        <v>84</v>
      </c>
      <c r="BS350" s="3">
        <v>45980</v>
      </c>
      <c r="BT350" s="4">
        <v>0.41180555555555554</v>
      </c>
      <c r="BU350" t="s">
        <v>763</v>
      </c>
      <c r="BV350" t="s">
        <v>86</v>
      </c>
      <c r="BY350">
        <v>12252.24</v>
      </c>
      <c r="BZ350" t="s">
        <v>126</v>
      </c>
      <c r="CA350" t="s">
        <v>764</v>
      </c>
      <c r="CC350" t="s">
        <v>760</v>
      </c>
      <c r="CD350" s="5" t="s">
        <v>765</v>
      </c>
      <c r="CE350" t="s">
        <v>383</v>
      </c>
      <c r="CF350" s="3">
        <v>45981</v>
      </c>
      <c r="CI350">
        <v>2</v>
      </c>
      <c r="CJ350">
        <v>2</v>
      </c>
      <c r="CK350">
        <v>23</v>
      </c>
      <c r="CL350" t="s">
        <v>89</v>
      </c>
    </row>
    <row r="351" spans="1:90" x14ac:dyDescent="0.3">
      <c r="A351" t="s">
        <v>72</v>
      </c>
      <c r="B351" t="s">
        <v>73</v>
      </c>
      <c r="C351" t="s">
        <v>74</v>
      </c>
      <c r="E351" t="str">
        <f>"GAB2029869"</f>
        <v>GAB2029869</v>
      </c>
      <c r="F351" s="3">
        <v>45978</v>
      </c>
      <c r="G351">
        <v>202608</v>
      </c>
      <c r="H351" t="s">
        <v>75</v>
      </c>
      <c r="I351" t="s">
        <v>76</v>
      </c>
      <c r="J351" t="s">
        <v>77</v>
      </c>
      <c r="K351" t="s">
        <v>78</v>
      </c>
      <c r="L351" t="s">
        <v>75</v>
      </c>
      <c r="M351" t="s">
        <v>76</v>
      </c>
      <c r="N351" t="s">
        <v>219</v>
      </c>
      <c r="O351" t="s">
        <v>124</v>
      </c>
      <c r="P351" t="str">
        <f>"INVOICE 00122769 CT098308     "</f>
        <v xml:space="preserve">INVOICE 00122769 CT098308     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16.7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1</v>
      </c>
      <c r="BI351">
        <v>0.3</v>
      </c>
      <c r="BJ351">
        <v>2</v>
      </c>
      <c r="BK351">
        <v>2</v>
      </c>
      <c r="BL351">
        <v>54.66</v>
      </c>
      <c r="BM351">
        <v>8.1999999999999993</v>
      </c>
      <c r="BN351">
        <v>62.86</v>
      </c>
      <c r="BO351">
        <v>62.86</v>
      </c>
      <c r="BQ351" t="s">
        <v>220</v>
      </c>
      <c r="BR351" t="s">
        <v>84</v>
      </c>
      <c r="BS351" s="3">
        <v>45979</v>
      </c>
      <c r="BT351" s="4">
        <v>0.36944444444444446</v>
      </c>
      <c r="BU351" t="s">
        <v>1194</v>
      </c>
      <c r="BV351" t="s">
        <v>86</v>
      </c>
      <c r="BY351">
        <v>10076.4</v>
      </c>
      <c r="BZ351" t="s">
        <v>126</v>
      </c>
      <c r="CA351" t="s">
        <v>1195</v>
      </c>
      <c r="CC351" t="s">
        <v>76</v>
      </c>
      <c r="CD351">
        <v>7530</v>
      </c>
      <c r="CE351" t="s">
        <v>128</v>
      </c>
      <c r="CF351" s="3">
        <v>45980</v>
      </c>
      <c r="CI351">
        <v>1</v>
      </c>
      <c r="CJ351">
        <v>1</v>
      </c>
      <c r="CK351">
        <v>22</v>
      </c>
      <c r="CL351" t="s">
        <v>89</v>
      </c>
    </row>
    <row r="352" spans="1:90" x14ac:dyDescent="0.3">
      <c r="A352" t="s">
        <v>72</v>
      </c>
      <c r="B352" t="s">
        <v>73</v>
      </c>
      <c r="C352" t="s">
        <v>74</v>
      </c>
      <c r="E352" t="str">
        <f>"GAB2029870"</f>
        <v>GAB2029870</v>
      </c>
      <c r="F352" s="3">
        <v>45978</v>
      </c>
      <c r="G352">
        <v>202608</v>
      </c>
      <c r="H352" t="s">
        <v>75</v>
      </c>
      <c r="I352" t="s">
        <v>76</v>
      </c>
      <c r="J352" t="s">
        <v>77</v>
      </c>
      <c r="K352" t="s">
        <v>78</v>
      </c>
      <c r="L352" t="s">
        <v>75</v>
      </c>
      <c r="M352" t="s">
        <v>76</v>
      </c>
      <c r="N352" t="s">
        <v>407</v>
      </c>
      <c r="O352" t="s">
        <v>124</v>
      </c>
      <c r="P352" t="str">
        <f>"INVOICES 00041528 00041513 ORD"</f>
        <v>INVOICES 00041528 00041513 ORD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16.7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1</v>
      </c>
      <c r="BI352">
        <v>0.3</v>
      </c>
      <c r="BJ352">
        <v>2</v>
      </c>
      <c r="BK352">
        <v>2</v>
      </c>
      <c r="BL352">
        <v>54.66</v>
      </c>
      <c r="BM352">
        <v>8.1999999999999993</v>
      </c>
      <c r="BN352">
        <v>62.86</v>
      </c>
      <c r="BO352">
        <v>62.86</v>
      </c>
      <c r="BQ352" t="s">
        <v>408</v>
      </c>
      <c r="BR352" t="s">
        <v>84</v>
      </c>
      <c r="BS352" s="3">
        <v>45979</v>
      </c>
      <c r="BT352" s="4">
        <v>0.3888888888888889</v>
      </c>
      <c r="BU352" t="s">
        <v>1196</v>
      </c>
      <c r="BV352" t="s">
        <v>86</v>
      </c>
      <c r="BY352">
        <v>9889.2000000000007</v>
      </c>
      <c r="BZ352" t="s">
        <v>126</v>
      </c>
      <c r="CA352" t="s">
        <v>1197</v>
      </c>
      <c r="CC352" t="s">
        <v>76</v>
      </c>
      <c r="CD352">
        <v>7580</v>
      </c>
      <c r="CE352" t="s">
        <v>128</v>
      </c>
      <c r="CF352" s="3">
        <v>45980</v>
      </c>
      <c r="CI352">
        <v>1</v>
      </c>
      <c r="CJ352">
        <v>1</v>
      </c>
      <c r="CK352">
        <v>22</v>
      </c>
      <c r="CL352" t="s">
        <v>89</v>
      </c>
    </row>
    <row r="353" spans="1:90" x14ac:dyDescent="0.3">
      <c r="A353" t="s">
        <v>72</v>
      </c>
      <c r="B353" t="s">
        <v>73</v>
      </c>
      <c r="C353" t="s">
        <v>74</v>
      </c>
      <c r="E353" t="str">
        <f>"GAB2029872"</f>
        <v>GAB2029872</v>
      </c>
      <c r="F353" s="3">
        <v>45978</v>
      </c>
      <c r="G353">
        <v>202608</v>
      </c>
      <c r="H353" t="s">
        <v>75</v>
      </c>
      <c r="I353" t="s">
        <v>76</v>
      </c>
      <c r="J353" t="s">
        <v>77</v>
      </c>
      <c r="K353" t="s">
        <v>78</v>
      </c>
      <c r="L353" t="s">
        <v>246</v>
      </c>
      <c r="M353" t="s">
        <v>247</v>
      </c>
      <c r="N353" t="s">
        <v>849</v>
      </c>
      <c r="O353" t="s">
        <v>124</v>
      </c>
      <c r="P353" t="str">
        <f>"INVOICE 00041515 ORDGS038190  "</f>
        <v xml:space="preserve">INVOICE 00041515 ORDGS038190  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26.73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1</v>
      </c>
      <c r="BI353">
        <v>0.3</v>
      </c>
      <c r="BJ353">
        <v>2.2000000000000002</v>
      </c>
      <c r="BK353">
        <v>2.5</v>
      </c>
      <c r="BL353">
        <v>87.47</v>
      </c>
      <c r="BM353">
        <v>13.12</v>
      </c>
      <c r="BN353">
        <v>100.59</v>
      </c>
      <c r="BO353">
        <v>100.59</v>
      </c>
      <c r="BQ353" t="s">
        <v>1198</v>
      </c>
      <c r="BR353" t="s">
        <v>84</v>
      </c>
      <c r="BS353" s="3">
        <v>45979</v>
      </c>
      <c r="BT353" s="4">
        <v>0.41666666666666669</v>
      </c>
      <c r="BU353" t="s">
        <v>1199</v>
      </c>
      <c r="BV353" t="s">
        <v>86</v>
      </c>
      <c r="BY353">
        <v>10911.78</v>
      </c>
      <c r="BZ353" t="s">
        <v>126</v>
      </c>
      <c r="CC353" t="s">
        <v>247</v>
      </c>
      <c r="CD353">
        <v>9301</v>
      </c>
      <c r="CE353" t="s">
        <v>128</v>
      </c>
      <c r="CF353" s="3">
        <v>45980</v>
      </c>
      <c r="CI353">
        <v>2</v>
      </c>
      <c r="CJ353">
        <v>1</v>
      </c>
      <c r="CK353">
        <v>21</v>
      </c>
      <c r="CL353" t="s">
        <v>89</v>
      </c>
    </row>
    <row r="354" spans="1:90" x14ac:dyDescent="0.3">
      <c r="A354" t="s">
        <v>72</v>
      </c>
      <c r="B354" t="s">
        <v>73</v>
      </c>
      <c r="C354" t="s">
        <v>74</v>
      </c>
      <c r="E354" t="str">
        <f>"GAB2029873"</f>
        <v>GAB2029873</v>
      </c>
      <c r="F354" s="3">
        <v>45978</v>
      </c>
      <c r="G354">
        <v>202608</v>
      </c>
      <c r="H354" t="s">
        <v>75</v>
      </c>
      <c r="I354" t="s">
        <v>76</v>
      </c>
      <c r="J354" t="s">
        <v>77</v>
      </c>
      <c r="K354" t="s">
        <v>78</v>
      </c>
      <c r="L354" t="s">
        <v>230</v>
      </c>
      <c r="M354" t="s">
        <v>231</v>
      </c>
      <c r="N354" t="s">
        <v>1200</v>
      </c>
      <c r="O354" t="s">
        <v>124</v>
      </c>
      <c r="P354" t="str">
        <f>"INVOICE 00122774 CT098314     "</f>
        <v xml:space="preserve">INVOICE 00122774 CT098314     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21.38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1</v>
      </c>
      <c r="BI354">
        <v>0.8</v>
      </c>
      <c r="BJ354">
        <v>1.8</v>
      </c>
      <c r="BK354">
        <v>2</v>
      </c>
      <c r="BL354">
        <v>69.98</v>
      </c>
      <c r="BM354">
        <v>10.5</v>
      </c>
      <c r="BN354">
        <v>80.48</v>
      </c>
      <c r="BO354">
        <v>80.48</v>
      </c>
      <c r="BR354" t="s">
        <v>84</v>
      </c>
      <c r="BS354" s="3">
        <v>45979</v>
      </c>
      <c r="BT354" s="4">
        <v>0.40972222222222221</v>
      </c>
      <c r="BU354" t="s">
        <v>1201</v>
      </c>
      <c r="BV354" t="s">
        <v>86</v>
      </c>
      <c r="BY354">
        <v>8766.4500000000007</v>
      </c>
      <c r="BZ354" t="s">
        <v>126</v>
      </c>
      <c r="CA354" s="5" t="s">
        <v>1202</v>
      </c>
      <c r="CC354" t="s">
        <v>231</v>
      </c>
      <c r="CD354" s="5" t="s">
        <v>382</v>
      </c>
      <c r="CE354" t="s">
        <v>136</v>
      </c>
      <c r="CF354" s="3">
        <v>45979</v>
      </c>
      <c r="CI354">
        <v>1</v>
      </c>
      <c r="CJ354">
        <v>1</v>
      </c>
      <c r="CK354">
        <v>21</v>
      </c>
      <c r="CL354" t="s">
        <v>89</v>
      </c>
    </row>
    <row r="355" spans="1:90" x14ac:dyDescent="0.3">
      <c r="A355" t="s">
        <v>72</v>
      </c>
      <c r="B355" t="s">
        <v>73</v>
      </c>
      <c r="C355" t="s">
        <v>74</v>
      </c>
      <c r="E355" t="str">
        <f>"GAB2029874"</f>
        <v>GAB2029874</v>
      </c>
      <c r="F355" s="3">
        <v>45978</v>
      </c>
      <c r="G355">
        <v>202608</v>
      </c>
      <c r="H355" t="s">
        <v>75</v>
      </c>
      <c r="I355" t="s">
        <v>76</v>
      </c>
      <c r="J355" t="s">
        <v>77</v>
      </c>
      <c r="K355" t="s">
        <v>78</v>
      </c>
      <c r="L355" t="s">
        <v>75</v>
      </c>
      <c r="M355" t="s">
        <v>76</v>
      </c>
      <c r="N355" t="s">
        <v>1203</v>
      </c>
      <c r="O355" t="s">
        <v>124</v>
      </c>
      <c r="P355" t="str">
        <f>"INVOICE 00122775 CXT098316    "</f>
        <v xml:space="preserve">INVOICE 00122775 CXT098316    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16.7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1</v>
      </c>
      <c r="BI355">
        <v>0.2</v>
      </c>
      <c r="BJ355">
        <v>2.8</v>
      </c>
      <c r="BK355">
        <v>3</v>
      </c>
      <c r="BL355">
        <v>54.66</v>
      </c>
      <c r="BM355">
        <v>8.1999999999999993</v>
      </c>
      <c r="BN355">
        <v>62.86</v>
      </c>
      <c r="BO355">
        <v>62.86</v>
      </c>
      <c r="BQ355" t="s">
        <v>1204</v>
      </c>
      <c r="BR355" t="s">
        <v>84</v>
      </c>
      <c r="BS355" s="3">
        <v>45979</v>
      </c>
      <c r="BT355" s="4">
        <v>0.44097222222222221</v>
      </c>
      <c r="BU355" t="s">
        <v>872</v>
      </c>
      <c r="BV355" t="s">
        <v>89</v>
      </c>
      <c r="BW355" t="s">
        <v>413</v>
      </c>
      <c r="BX355" t="s">
        <v>806</v>
      </c>
      <c r="BY355">
        <v>13896</v>
      </c>
      <c r="BZ355" t="s">
        <v>126</v>
      </c>
      <c r="CA355" t="s">
        <v>876</v>
      </c>
      <c r="CC355" t="s">
        <v>76</v>
      </c>
      <c r="CD355">
        <v>7441</v>
      </c>
      <c r="CE355" t="s">
        <v>154</v>
      </c>
      <c r="CF355" s="3">
        <v>45980</v>
      </c>
      <c r="CI355">
        <v>1</v>
      </c>
      <c r="CJ355">
        <v>1</v>
      </c>
      <c r="CK355">
        <v>22</v>
      </c>
      <c r="CL355" t="s">
        <v>89</v>
      </c>
    </row>
    <row r="356" spans="1:90" x14ac:dyDescent="0.3">
      <c r="A356" t="s">
        <v>72</v>
      </c>
      <c r="B356" t="s">
        <v>73</v>
      </c>
      <c r="C356" t="s">
        <v>74</v>
      </c>
      <c r="E356" t="str">
        <f>"GAB2029875"</f>
        <v>GAB2029875</v>
      </c>
      <c r="F356" s="3">
        <v>45978</v>
      </c>
      <c r="G356">
        <v>202608</v>
      </c>
      <c r="H356" t="s">
        <v>75</v>
      </c>
      <c r="I356" t="s">
        <v>76</v>
      </c>
      <c r="J356" t="s">
        <v>77</v>
      </c>
      <c r="K356" t="s">
        <v>78</v>
      </c>
      <c r="L356" t="s">
        <v>75</v>
      </c>
      <c r="M356" t="s">
        <v>76</v>
      </c>
      <c r="N356" t="s">
        <v>1205</v>
      </c>
      <c r="O356" t="s">
        <v>124</v>
      </c>
      <c r="P356" t="str">
        <f>"INVOICE 00122788 CT098317     "</f>
        <v xml:space="preserve">INVOICE 00122788 CT098317     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16.7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1</v>
      </c>
      <c r="BI356">
        <v>0.2</v>
      </c>
      <c r="BJ356">
        <v>2.1</v>
      </c>
      <c r="BK356">
        <v>3</v>
      </c>
      <c r="BL356">
        <v>54.66</v>
      </c>
      <c r="BM356">
        <v>8.1999999999999993</v>
      </c>
      <c r="BN356">
        <v>62.86</v>
      </c>
      <c r="BO356">
        <v>62.86</v>
      </c>
      <c r="BR356" t="s">
        <v>84</v>
      </c>
      <c r="BS356" s="3">
        <v>45979</v>
      </c>
      <c r="BT356" s="4">
        <v>0.58819444444444446</v>
      </c>
      <c r="BU356" t="s">
        <v>1206</v>
      </c>
      <c r="BV356" t="s">
        <v>89</v>
      </c>
      <c r="BW356" t="s">
        <v>413</v>
      </c>
      <c r="BX356" t="s">
        <v>806</v>
      </c>
      <c r="BY356">
        <v>10644.48</v>
      </c>
      <c r="BZ356" t="s">
        <v>126</v>
      </c>
      <c r="CC356" t="s">
        <v>76</v>
      </c>
      <c r="CD356">
        <v>8001</v>
      </c>
      <c r="CE356" t="s">
        <v>154</v>
      </c>
      <c r="CF356" s="3">
        <v>45980</v>
      </c>
      <c r="CI356">
        <v>1</v>
      </c>
      <c r="CJ356">
        <v>1</v>
      </c>
      <c r="CK356">
        <v>22</v>
      </c>
      <c r="CL356" t="s">
        <v>89</v>
      </c>
    </row>
    <row r="357" spans="1:90" x14ac:dyDescent="0.3">
      <c r="A357" t="s">
        <v>72</v>
      </c>
      <c r="B357" t="s">
        <v>73</v>
      </c>
      <c r="C357" t="s">
        <v>74</v>
      </c>
      <c r="E357" t="str">
        <f>"GAB2029878"</f>
        <v>GAB2029878</v>
      </c>
      <c r="F357" s="3">
        <v>45978</v>
      </c>
      <c r="G357">
        <v>202608</v>
      </c>
      <c r="H357" t="s">
        <v>75</v>
      </c>
      <c r="I357" t="s">
        <v>76</v>
      </c>
      <c r="J357" t="s">
        <v>77</v>
      </c>
      <c r="K357" t="s">
        <v>78</v>
      </c>
      <c r="L357" t="s">
        <v>435</v>
      </c>
      <c r="M357" t="s">
        <v>435</v>
      </c>
      <c r="N357" t="s">
        <v>577</v>
      </c>
      <c r="O357" t="s">
        <v>124</v>
      </c>
      <c r="P357" t="str">
        <f>"INVOICE00122800 CT098320      "</f>
        <v xml:space="preserve">INVOICE00122800 CT098320      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37.4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1</v>
      </c>
      <c r="BI357">
        <v>0.9</v>
      </c>
      <c r="BJ357">
        <v>2.4</v>
      </c>
      <c r="BK357">
        <v>2.5</v>
      </c>
      <c r="BL357">
        <v>122.39</v>
      </c>
      <c r="BM357">
        <v>18.36</v>
      </c>
      <c r="BN357">
        <v>140.75</v>
      </c>
      <c r="BO357">
        <v>140.75</v>
      </c>
      <c r="BQ357" t="s">
        <v>578</v>
      </c>
      <c r="BR357" t="s">
        <v>84</v>
      </c>
      <c r="BS357" s="3">
        <v>45979</v>
      </c>
      <c r="BT357" s="4">
        <v>0.5625</v>
      </c>
      <c r="BU357" t="s">
        <v>1148</v>
      </c>
      <c r="BV357" t="s">
        <v>89</v>
      </c>
      <c r="BW357" t="s">
        <v>413</v>
      </c>
      <c r="BX357" t="s">
        <v>716</v>
      </c>
      <c r="BY357">
        <v>12214.72</v>
      </c>
      <c r="BZ357" t="s">
        <v>126</v>
      </c>
      <c r="CC357" t="s">
        <v>435</v>
      </c>
      <c r="CD357">
        <v>7646</v>
      </c>
      <c r="CE357" t="s">
        <v>1207</v>
      </c>
      <c r="CF357" s="3">
        <v>45980</v>
      </c>
      <c r="CI357">
        <v>1</v>
      </c>
      <c r="CJ357">
        <v>1</v>
      </c>
      <c r="CK357">
        <v>24</v>
      </c>
      <c r="CL357" t="s">
        <v>89</v>
      </c>
    </row>
    <row r="358" spans="1:90" x14ac:dyDescent="0.3">
      <c r="A358" t="s">
        <v>72</v>
      </c>
      <c r="B358" t="s">
        <v>73</v>
      </c>
      <c r="C358" t="s">
        <v>74</v>
      </c>
      <c r="E358" t="str">
        <f>"GAB2029879"</f>
        <v>GAB2029879</v>
      </c>
      <c r="F358" s="3">
        <v>45978</v>
      </c>
      <c r="G358">
        <v>202608</v>
      </c>
      <c r="H358" t="s">
        <v>75</v>
      </c>
      <c r="I358" t="s">
        <v>76</v>
      </c>
      <c r="J358" t="s">
        <v>77</v>
      </c>
      <c r="K358" t="s">
        <v>78</v>
      </c>
      <c r="L358" t="s">
        <v>79</v>
      </c>
      <c r="M358" t="s">
        <v>80</v>
      </c>
      <c r="N358" t="s">
        <v>1208</v>
      </c>
      <c r="O358" t="s">
        <v>124</v>
      </c>
      <c r="P358" t="str">
        <f>"INVOICE00122801 CT098234      "</f>
        <v xml:space="preserve">INVOICE00122801 CT098234      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21.38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1</v>
      </c>
      <c r="BI358">
        <v>0.4</v>
      </c>
      <c r="BJ358">
        <v>1.9</v>
      </c>
      <c r="BK358">
        <v>2</v>
      </c>
      <c r="BL358">
        <v>69.98</v>
      </c>
      <c r="BM358">
        <v>10.5</v>
      </c>
      <c r="BN358">
        <v>80.48</v>
      </c>
      <c r="BO358">
        <v>80.48</v>
      </c>
      <c r="BQ358" t="s">
        <v>1209</v>
      </c>
      <c r="BR358" t="s">
        <v>84</v>
      </c>
      <c r="BS358" s="3">
        <v>45980</v>
      </c>
      <c r="BT358" s="4">
        <v>0.43402777777777779</v>
      </c>
      <c r="BU358" t="s">
        <v>1210</v>
      </c>
      <c r="BV358" t="s">
        <v>89</v>
      </c>
      <c r="BW358" t="s">
        <v>562</v>
      </c>
      <c r="BX358" t="s">
        <v>1143</v>
      </c>
      <c r="BY358">
        <v>9647.6</v>
      </c>
      <c r="BZ358" t="s">
        <v>126</v>
      </c>
      <c r="CA358">
        <v>7401195482081</v>
      </c>
      <c r="CC358" t="s">
        <v>80</v>
      </c>
      <c r="CD358" s="5" t="s">
        <v>87</v>
      </c>
      <c r="CE358" t="s">
        <v>814</v>
      </c>
      <c r="CF358" s="3">
        <v>45980</v>
      </c>
      <c r="CI358">
        <v>1</v>
      </c>
      <c r="CJ358">
        <v>2</v>
      </c>
      <c r="CK358">
        <v>21</v>
      </c>
      <c r="CL358" t="s">
        <v>89</v>
      </c>
    </row>
    <row r="359" spans="1:90" x14ac:dyDescent="0.3">
      <c r="A359" t="s">
        <v>72</v>
      </c>
      <c r="B359" t="s">
        <v>73</v>
      </c>
      <c r="C359" t="s">
        <v>74</v>
      </c>
      <c r="E359" t="str">
        <f>"GAB2029880"</f>
        <v>GAB2029880</v>
      </c>
      <c r="F359" s="3">
        <v>45978</v>
      </c>
      <c r="G359">
        <v>202608</v>
      </c>
      <c r="H359" t="s">
        <v>75</v>
      </c>
      <c r="I359" t="s">
        <v>76</v>
      </c>
      <c r="J359" t="s">
        <v>77</v>
      </c>
      <c r="K359" t="s">
        <v>78</v>
      </c>
      <c r="L359" t="s">
        <v>656</v>
      </c>
      <c r="M359" t="s">
        <v>657</v>
      </c>
      <c r="N359" t="s">
        <v>1211</v>
      </c>
      <c r="O359" t="s">
        <v>124</v>
      </c>
      <c r="P359" t="str">
        <f>"INVOICE00122811 CT098315      "</f>
        <v xml:space="preserve">INVOICE00122811 CT098315      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37.4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1</v>
      </c>
      <c r="BI359">
        <v>1.1000000000000001</v>
      </c>
      <c r="BJ359">
        <v>2.2999999999999998</v>
      </c>
      <c r="BK359">
        <v>2.5</v>
      </c>
      <c r="BL359">
        <v>122.39</v>
      </c>
      <c r="BM359">
        <v>18.36</v>
      </c>
      <c r="BN359">
        <v>140.75</v>
      </c>
      <c r="BO359">
        <v>140.75</v>
      </c>
      <c r="BR359" t="s">
        <v>84</v>
      </c>
      <c r="BS359" s="3">
        <v>45979</v>
      </c>
      <c r="BT359" s="4">
        <v>0.55277777777777781</v>
      </c>
      <c r="BU359" t="s">
        <v>1212</v>
      </c>
      <c r="BV359" t="s">
        <v>86</v>
      </c>
      <c r="BY359">
        <v>11505.03</v>
      </c>
      <c r="BZ359" t="s">
        <v>126</v>
      </c>
      <c r="CA359" t="s">
        <v>661</v>
      </c>
      <c r="CC359" t="s">
        <v>657</v>
      </c>
      <c r="CD359">
        <v>6850</v>
      </c>
      <c r="CE359" t="s">
        <v>1213</v>
      </c>
      <c r="CF359" s="3">
        <v>45980</v>
      </c>
      <c r="CI359">
        <v>2</v>
      </c>
      <c r="CJ359">
        <v>1</v>
      </c>
      <c r="CK359">
        <v>24</v>
      </c>
      <c r="CL359" t="s">
        <v>89</v>
      </c>
    </row>
    <row r="360" spans="1:90" x14ac:dyDescent="0.3">
      <c r="A360" t="s">
        <v>72</v>
      </c>
      <c r="B360" t="s">
        <v>73</v>
      </c>
      <c r="C360" t="s">
        <v>74</v>
      </c>
      <c r="E360" t="str">
        <f>"GAB2029882"</f>
        <v>GAB2029882</v>
      </c>
      <c r="F360" s="3">
        <v>45978</v>
      </c>
      <c r="G360">
        <v>202608</v>
      </c>
      <c r="H360" t="s">
        <v>75</v>
      </c>
      <c r="I360" t="s">
        <v>76</v>
      </c>
      <c r="J360" t="s">
        <v>77</v>
      </c>
      <c r="K360" t="s">
        <v>78</v>
      </c>
      <c r="L360" t="s">
        <v>230</v>
      </c>
      <c r="M360" t="s">
        <v>231</v>
      </c>
      <c r="N360" t="s">
        <v>418</v>
      </c>
      <c r="O360" t="s">
        <v>124</v>
      </c>
      <c r="P360" t="str">
        <f>"invoice 00041552 ordgs038201  "</f>
        <v xml:space="preserve">invoice 00041552 ordgs038201  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26.73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1</v>
      </c>
      <c r="BI360">
        <v>0.4</v>
      </c>
      <c r="BJ360">
        <v>2.2999999999999998</v>
      </c>
      <c r="BK360">
        <v>2.5</v>
      </c>
      <c r="BL360">
        <v>87.47</v>
      </c>
      <c r="BM360">
        <v>13.12</v>
      </c>
      <c r="BN360">
        <v>100.59</v>
      </c>
      <c r="BO360">
        <v>100.59</v>
      </c>
      <c r="BQ360" t="s">
        <v>1214</v>
      </c>
      <c r="BR360" t="s">
        <v>84</v>
      </c>
      <c r="BS360" s="3">
        <v>45979</v>
      </c>
      <c r="BT360" s="4">
        <v>0.3527777777777778</v>
      </c>
      <c r="BU360" t="s">
        <v>1215</v>
      </c>
      <c r="BV360" t="s">
        <v>86</v>
      </c>
      <c r="BY360">
        <v>11737.32</v>
      </c>
      <c r="BZ360" t="s">
        <v>126</v>
      </c>
      <c r="CA360">
        <v>8612186129080</v>
      </c>
      <c r="CC360" t="s">
        <v>231</v>
      </c>
      <c r="CD360" s="5" t="s">
        <v>235</v>
      </c>
      <c r="CE360" t="s">
        <v>540</v>
      </c>
      <c r="CF360" s="3">
        <v>45979</v>
      </c>
      <c r="CI360">
        <v>1</v>
      </c>
      <c r="CJ360">
        <v>1</v>
      </c>
      <c r="CK360">
        <v>21</v>
      </c>
      <c r="CL360" t="s">
        <v>89</v>
      </c>
    </row>
    <row r="361" spans="1:90" x14ac:dyDescent="0.3">
      <c r="A361" t="s">
        <v>72</v>
      </c>
      <c r="B361" t="s">
        <v>73</v>
      </c>
      <c r="C361" t="s">
        <v>74</v>
      </c>
      <c r="E361" t="str">
        <f>"GAB2029884"</f>
        <v>GAB2029884</v>
      </c>
      <c r="F361" s="3">
        <v>45978</v>
      </c>
      <c r="G361">
        <v>202608</v>
      </c>
      <c r="H361" t="s">
        <v>75</v>
      </c>
      <c r="I361" t="s">
        <v>76</v>
      </c>
      <c r="J361" t="s">
        <v>77</v>
      </c>
      <c r="K361" t="s">
        <v>78</v>
      </c>
      <c r="L361" t="s">
        <v>230</v>
      </c>
      <c r="M361" t="s">
        <v>231</v>
      </c>
      <c r="N361" t="s">
        <v>232</v>
      </c>
      <c r="O361" t="s">
        <v>124</v>
      </c>
      <c r="P361" t="str">
        <f>"INVOICES 00041514 41551 ORDGS0"</f>
        <v>INVOICES 00041514 41551 ORDGS0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26.73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1</v>
      </c>
      <c r="BI361">
        <v>0.5</v>
      </c>
      <c r="BJ361">
        <v>2.5</v>
      </c>
      <c r="BK361">
        <v>2.5</v>
      </c>
      <c r="BL361">
        <v>87.47</v>
      </c>
      <c r="BM361">
        <v>13.12</v>
      </c>
      <c r="BN361">
        <v>100.59</v>
      </c>
      <c r="BO361">
        <v>100.59</v>
      </c>
      <c r="BQ361" t="s">
        <v>233</v>
      </c>
      <c r="BR361" t="s">
        <v>84</v>
      </c>
      <c r="BS361" s="3">
        <v>45980</v>
      </c>
      <c r="BT361" s="4">
        <v>0.33611111111111114</v>
      </c>
      <c r="BU361" t="s">
        <v>948</v>
      </c>
      <c r="BV361" t="s">
        <v>89</v>
      </c>
      <c r="BW361" t="s">
        <v>562</v>
      </c>
      <c r="BX361" t="s">
        <v>1216</v>
      </c>
      <c r="BY361">
        <v>12707.94</v>
      </c>
      <c r="BZ361" t="s">
        <v>126</v>
      </c>
      <c r="CA361">
        <v>8102155384080</v>
      </c>
      <c r="CC361" t="s">
        <v>231</v>
      </c>
      <c r="CD361" s="5" t="s">
        <v>235</v>
      </c>
      <c r="CE361" t="s">
        <v>383</v>
      </c>
      <c r="CF361" s="3">
        <v>45980</v>
      </c>
      <c r="CI361">
        <v>1</v>
      </c>
      <c r="CJ361">
        <v>2</v>
      </c>
      <c r="CK361">
        <v>21</v>
      </c>
      <c r="CL361" t="s">
        <v>89</v>
      </c>
    </row>
    <row r="362" spans="1:90" x14ac:dyDescent="0.3">
      <c r="A362" t="s">
        <v>72</v>
      </c>
      <c r="B362" t="s">
        <v>73</v>
      </c>
      <c r="C362" t="s">
        <v>74</v>
      </c>
      <c r="E362" t="str">
        <f>"GAB2029886"</f>
        <v>GAB2029886</v>
      </c>
      <c r="F362" s="3">
        <v>45978</v>
      </c>
      <c r="G362">
        <v>202608</v>
      </c>
      <c r="H362" t="s">
        <v>75</v>
      </c>
      <c r="I362" t="s">
        <v>76</v>
      </c>
      <c r="J362" t="s">
        <v>77</v>
      </c>
      <c r="K362" t="s">
        <v>78</v>
      </c>
      <c r="L362" t="s">
        <v>212</v>
      </c>
      <c r="M362" t="s">
        <v>213</v>
      </c>
      <c r="N362" t="s">
        <v>410</v>
      </c>
      <c r="O362" t="s">
        <v>124</v>
      </c>
      <c r="P362" t="str">
        <f>"INVOICE 00041548 ORDGS038202  "</f>
        <v xml:space="preserve">INVOICE 00041548 ORDGS038202  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26.73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1</v>
      </c>
      <c r="BI362">
        <v>0.3</v>
      </c>
      <c r="BJ362">
        <v>2.1</v>
      </c>
      <c r="BK362">
        <v>2.5</v>
      </c>
      <c r="BL362">
        <v>87.47</v>
      </c>
      <c r="BM362">
        <v>13.12</v>
      </c>
      <c r="BN362">
        <v>100.59</v>
      </c>
      <c r="BO362">
        <v>100.59</v>
      </c>
      <c r="BQ362" t="s">
        <v>411</v>
      </c>
      <c r="BR362" t="s">
        <v>84</v>
      </c>
      <c r="BS362" s="3">
        <v>45979</v>
      </c>
      <c r="BT362" s="4">
        <v>0.4826388888888889</v>
      </c>
      <c r="BU362" t="s">
        <v>1023</v>
      </c>
      <c r="BV362" t="s">
        <v>89</v>
      </c>
      <c r="BW362" t="s">
        <v>216</v>
      </c>
      <c r="BX362" t="s">
        <v>217</v>
      </c>
      <c r="BY362">
        <v>10620.72</v>
      </c>
      <c r="BZ362" t="s">
        <v>126</v>
      </c>
      <c r="CA362" t="s">
        <v>414</v>
      </c>
      <c r="CC362" t="s">
        <v>213</v>
      </c>
      <c r="CD362">
        <v>5201</v>
      </c>
      <c r="CE362" t="s">
        <v>128</v>
      </c>
      <c r="CF362" s="3">
        <v>45979</v>
      </c>
      <c r="CI362">
        <v>1</v>
      </c>
      <c r="CJ362">
        <v>1</v>
      </c>
      <c r="CK362">
        <v>21</v>
      </c>
      <c r="CL362" t="s">
        <v>89</v>
      </c>
    </row>
    <row r="363" spans="1:90" x14ac:dyDescent="0.3">
      <c r="A363" t="s">
        <v>72</v>
      </c>
      <c r="B363" t="s">
        <v>73</v>
      </c>
      <c r="C363" t="s">
        <v>74</v>
      </c>
      <c r="E363" t="str">
        <f>"GAB2029889"</f>
        <v>GAB2029889</v>
      </c>
      <c r="F363" s="3">
        <v>45978</v>
      </c>
      <c r="G363">
        <v>202608</v>
      </c>
      <c r="H363" t="s">
        <v>75</v>
      </c>
      <c r="I363" t="s">
        <v>76</v>
      </c>
      <c r="J363" t="s">
        <v>77</v>
      </c>
      <c r="K363" t="s">
        <v>78</v>
      </c>
      <c r="L363" t="s">
        <v>374</v>
      </c>
      <c r="M363" t="s">
        <v>375</v>
      </c>
      <c r="N363" t="s">
        <v>376</v>
      </c>
      <c r="O363" t="s">
        <v>124</v>
      </c>
      <c r="P363" t="str">
        <f>"INVOICE 00122809 CT098330     "</f>
        <v xml:space="preserve">INVOICE 00122809 CT098330     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26.73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1</v>
      </c>
      <c r="BI363">
        <v>0.4</v>
      </c>
      <c r="BJ363">
        <v>2.4</v>
      </c>
      <c r="BK363">
        <v>2.5</v>
      </c>
      <c r="BL363">
        <v>87.47</v>
      </c>
      <c r="BM363">
        <v>13.12</v>
      </c>
      <c r="BN363">
        <v>100.59</v>
      </c>
      <c r="BO363">
        <v>100.59</v>
      </c>
      <c r="BR363" t="s">
        <v>84</v>
      </c>
      <c r="BS363" s="3">
        <v>45979</v>
      </c>
      <c r="BT363" s="4">
        <v>0.65277777777777779</v>
      </c>
      <c r="BU363" t="s">
        <v>377</v>
      </c>
      <c r="BV363" t="s">
        <v>89</v>
      </c>
      <c r="BY363">
        <v>11812.8</v>
      </c>
      <c r="BZ363" t="s">
        <v>126</v>
      </c>
      <c r="CC363" t="s">
        <v>375</v>
      </c>
      <c r="CD363">
        <v>2146</v>
      </c>
      <c r="CE363" t="s">
        <v>383</v>
      </c>
      <c r="CF363" s="3">
        <v>45980</v>
      </c>
      <c r="CI363">
        <v>1</v>
      </c>
      <c r="CJ363">
        <v>1</v>
      </c>
      <c r="CK363">
        <v>21</v>
      </c>
      <c r="CL363" t="s">
        <v>89</v>
      </c>
    </row>
    <row r="364" spans="1:90" x14ac:dyDescent="0.3">
      <c r="A364" t="s">
        <v>72</v>
      </c>
      <c r="B364" t="s">
        <v>73</v>
      </c>
      <c r="C364" t="s">
        <v>74</v>
      </c>
      <c r="E364" t="str">
        <f>"GAB2029890"</f>
        <v>GAB2029890</v>
      </c>
      <c r="F364" s="3">
        <v>45978</v>
      </c>
      <c r="G364">
        <v>202608</v>
      </c>
      <c r="H364" t="s">
        <v>75</v>
      </c>
      <c r="I364" t="s">
        <v>76</v>
      </c>
      <c r="J364" t="s">
        <v>77</v>
      </c>
      <c r="K364" t="s">
        <v>78</v>
      </c>
      <c r="L364" t="s">
        <v>330</v>
      </c>
      <c r="M364" t="s">
        <v>331</v>
      </c>
      <c r="N364" t="s">
        <v>332</v>
      </c>
      <c r="O364" t="s">
        <v>124</v>
      </c>
      <c r="P364" t="str">
        <f>"INVOICE 00122810 CT098329     "</f>
        <v xml:space="preserve">INVOICE 00122810 CT098329     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21.38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16.739999999999998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1</v>
      </c>
      <c r="BI364">
        <v>0.4</v>
      </c>
      <c r="BJ364">
        <v>2</v>
      </c>
      <c r="BK364">
        <v>2</v>
      </c>
      <c r="BL364">
        <v>86.72</v>
      </c>
      <c r="BM364">
        <v>13.01</v>
      </c>
      <c r="BN364">
        <v>99.73</v>
      </c>
      <c r="BO364">
        <v>99.73</v>
      </c>
      <c r="BQ364" t="s">
        <v>400</v>
      </c>
      <c r="BR364" t="s">
        <v>84</v>
      </c>
      <c r="BS364" s="3">
        <v>45979</v>
      </c>
      <c r="BT364" s="4">
        <v>0.36666666666666664</v>
      </c>
      <c r="BU364" t="s">
        <v>1179</v>
      </c>
      <c r="BV364" t="s">
        <v>86</v>
      </c>
      <c r="BY364">
        <v>9842.19</v>
      </c>
      <c r="BZ364" t="s">
        <v>180</v>
      </c>
      <c r="CA364" t="s">
        <v>1180</v>
      </c>
      <c r="CC364" t="s">
        <v>331</v>
      </c>
      <c r="CD364">
        <v>1475</v>
      </c>
      <c r="CE364" t="s">
        <v>149</v>
      </c>
      <c r="CF364" s="3">
        <v>45979</v>
      </c>
      <c r="CI364">
        <v>1</v>
      </c>
      <c r="CJ364">
        <v>1</v>
      </c>
      <c r="CK364">
        <v>21</v>
      </c>
      <c r="CL364" t="s">
        <v>89</v>
      </c>
    </row>
    <row r="365" spans="1:90" x14ac:dyDescent="0.3">
      <c r="A365" t="s">
        <v>72</v>
      </c>
      <c r="B365" t="s">
        <v>73</v>
      </c>
      <c r="C365" t="s">
        <v>74</v>
      </c>
      <c r="E365" t="str">
        <f>"GAB2029891"</f>
        <v>GAB2029891</v>
      </c>
      <c r="F365" s="3">
        <v>45978</v>
      </c>
      <c r="G365">
        <v>202608</v>
      </c>
      <c r="H365" t="s">
        <v>75</v>
      </c>
      <c r="I365" t="s">
        <v>76</v>
      </c>
      <c r="J365" t="s">
        <v>77</v>
      </c>
      <c r="K365" t="s">
        <v>78</v>
      </c>
      <c r="L365" t="s">
        <v>1217</v>
      </c>
      <c r="M365" t="s">
        <v>1218</v>
      </c>
      <c r="N365" t="s">
        <v>1219</v>
      </c>
      <c r="O365" t="s">
        <v>124</v>
      </c>
      <c r="P365" t="str">
        <f>"INVOICE 00041550 ORDGS038179  "</f>
        <v xml:space="preserve">INVOICE 00041550 ORDGS038179  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41.43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1</v>
      </c>
      <c r="BI365">
        <v>0.2</v>
      </c>
      <c r="BJ365">
        <v>1.9</v>
      </c>
      <c r="BK365">
        <v>2</v>
      </c>
      <c r="BL365">
        <v>135.59</v>
      </c>
      <c r="BM365">
        <v>20.34</v>
      </c>
      <c r="BN365">
        <v>155.93</v>
      </c>
      <c r="BO365">
        <v>155.93</v>
      </c>
      <c r="BQ365" t="s">
        <v>1220</v>
      </c>
      <c r="BR365" t="s">
        <v>84</v>
      </c>
      <c r="BS365" s="3">
        <v>45980</v>
      </c>
      <c r="BT365" s="4">
        <v>0.38958333333333334</v>
      </c>
      <c r="BU365" t="s">
        <v>1221</v>
      </c>
      <c r="BV365" t="s">
        <v>89</v>
      </c>
      <c r="BY365">
        <v>9450.24</v>
      </c>
      <c r="BZ365" t="s">
        <v>126</v>
      </c>
      <c r="CA365" t="s">
        <v>1222</v>
      </c>
      <c r="CC365" t="s">
        <v>1218</v>
      </c>
      <c r="CD365">
        <v>1438</v>
      </c>
      <c r="CE365" t="s">
        <v>676</v>
      </c>
      <c r="CF365" s="3">
        <v>45981</v>
      </c>
      <c r="CI365">
        <v>1</v>
      </c>
      <c r="CJ365">
        <v>2</v>
      </c>
      <c r="CK365">
        <v>23</v>
      </c>
      <c r="CL365" t="s">
        <v>89</v>
      </c>
    </row>
    <row r="366" spans="1:90" x14ac:dyDescent="0.3">
      <c r="A366" t="s">
        <v>72</v>
      </c>
      <c r="B366" t="s">
        <v>73</v>
      </c>
      <c r="C366" t="s">
        <v>74</v>
      </c>
      <c r="E366" t="str">
        <f>"GAB2029893"</f>
        <v>GAB2029893</v>
      </c>
      <c r="F366" s="3">
        <v>45978</v>
      </c>
      <c r="G366">
        <v>202608</v>
      </c>
      <c r="H366" t="s">
        <v>75</v>
      </c>
      <c r="I366" t="s">
        <v>76</v>
      </c>
      <c r="J366" t="s">
        <v>77</v>
      </c>
      <c r="K366" t="s">
        <v>78</v>
      </c>
      <c r="L366" t="s">
        <v>230</v>
      </c>
      <c r="M366" t="s">
        <v>231</v>
      </c>
      <c r="N366" t="s">
        <v>1223</v>
      </c>
      <c r="O366" t="s">
        <v>124</v>
      </c>
      <c r="P366" t="str">
        <f>"INVOICE 00122821 CT098331     "</f>
        <v xml:space="preserve">INVOICE 00122821 CT098331     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26.73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1</v>
      </c>
      <c r="BI366">
        <v>0.2</v>
      </c>
      <c r="BJ366">
        <v>2.4</v>
      </c>
      <c r="BK366">
        <v>2.5</v>
      </c>
      <c r="BL366">
        <v>87.47</v>
      </c>
      <c r="BM366">
        <v>13.12</v>
      </c>
      <c r="BN366">
        <v>100.59</v>
      </c>
      <c r="BO366">
        <v>100.59</v>
      </c>
      <c r="BQ366" t="s">
        <v>1224</v>
      </c>
      <c r="BR366" t="s">
        <v>84</v>
      </c>
      <c r="BS366" s="3">
        <v>45980</v>
      </c>
      <c r="BT366" s="4">
        <v>0.39930555555555558</v>
      </c>
      <c r="BU366" t="s">
        <v>1225</v>
      </c>
      <c r="BV366" t="s">
        <v>89</v>
      </c>
      <c r="BW366" t="s">
        <v>562</v>
      </c>
      <c r="BX366" t="s">
        <v>1143</v>
      </c>
      <c r="BY366">
        <v>11883.48</v>
      </c>
      <c r="BZ366" t="s">
        <v>126</v>
      </c>
      <c r="CA366">
        <v>8102255523082</v>
      </c>
      <c r="CC366" t="s">
        <v>231</v>
      </c>
      <c r="CD366" s="5" t="s">
        <v>235</v>
      </c>
      <c r="CE366" t="s">
        <v>1226</v>
      </c>
      <c r="CF366" s="3">
        <v>45980</v>
      </c>
      <c r="CI366">
        <v>1</v>
      </c>
      <c r="CJ366">
        <v>2</v>
      </c>
      <c r="CK366">
        <v>21</v>
      </c>
      <c r="CL366" t="s">
        <v>89</v>
      </c>
    </row>
    <row r="367" spans="1:90" x14ac:dyDescent="0.3">
      <c r="A367" t="s">
        <v>72</v>
      </c>
      <c r="B367" t="s">
        <v>73</v>
      </c>
      <c r="C367" t="s">
        <v>74</v>
      </c>
      <c r="E367" t="str">
        <f>"GAB2029894"</f>
        <v>GAB2029894</v>
      </c>
      <c r="F367" s="3">
        <v>45978</v>
      </c>
      <c r="G367">
        <v>202608</v>
      </c>
      <c r="H367" t="s">
        <v>75</v>
      </c>
      <c r="I367" t="s">
        <v>76</v>
      </c>
      <c r="J367" t="s">
        <v>77</v>
      </c>
      <c r="K367" t="s">
        <v>78</v>
      </c>
      <c r="L367" t="s">
        <v>75</v>
      </c>
      <c r="M367" t="s">
        <v>76</v>
      </c>
      <c r="N367" t="s">
        <v>743</v>
      </c>
      <c r="O367" t="s">
        <v>124</v>
      </c>
      <c r="P367" t="str">
        <f>"INVOICE 00122819 CT098334     "</f>
        <v xml:space="preserve">INVOICE 00122819 CT098334     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16.7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1</v>
      </c>
      <c r="BI367">
        <v>0.6</v>
      </c>
      <c r="BJ367">
        <v>1.7</v>
      </c>
      <c r="BK367">
        <v>2</v>
      </c>
      <c r="BL367">
        <v>54.66</v>
      </c>
      <c r="BM367">
        <v>8.1999999999999993</v>
      </c>
      <c r="BN367">
        <v>62.86</v>
      </c>
      <c r="BO367">
        <v>62.86</v>
      </c>
      <c r="BQ367" t="s">
        <v>458</v>
      </c>
      <c r="BR367" t="s">
        <v>84</v>
      </c>
      <c r="BS367" s="3">
        <v>45979</v>
      </c>
      <c r="BT367" s="4">
        <v>0.35694444444444445</v>
      </c>
      <c r="BU367" t="s">
        <v>1227</v>
      </c>
      <c r="BV367" t="s">
        <v>86</v>
      </c>
      <c r="BY367">
        <v>8681.39</v>
      </c>
      <c r="BZ367" t="s">
        <v>126</v>
      </c>
      <c r="CA367" t="s">
        <v>373</v>
      </c>
      <c r="CC367" t="s">
        <v>76</v>
      </c>
      <c r="CD367">
        <v>7700</v>
      </c>
      <c r="CE367" t="s">
        <v>136</v>
      </c>
      <c r="CF367" s="3">
        <v>45980</v>
      </c>
      <c r="CI367">
        <v>1</v>
      </c>
      <c r="CJ367">
        <v>1</v>
      </c>
      <c r="CK367">
        <v>22</v>
      </c>
      <c r="CL367" t="s">
        <v>89</v>
      </c>
    </row>
    <row r="368" spans="1:90" x14ac:dyDescent="0.3">
      <c r="A368" t="s">
        <v>72</v>
      </c>
      <c r="B368" t="s">
        <v>73</v>
      </c>
      <c r="C368" t="s">
        <v>74</v>
      </c>
      <c r="E368" t="str">
        <f>"GAB2029895"</f>
        <v>GAB2029895</v>
      </c>
      <c r="F368" s="3">
        <v>45978</v>
      </c>
      <c r="G368">
        <v>202608</v>
      </c>
      <c r="H368" t="s">
        <v>75</v>
      </c>
      <c r="I368" t="s">
        <v>76</v>
      </c>
      <c r="J368" t="s">
        <v>77</v>
      </c>
      <c r="K368" t="s">
        <v>78</v>
      </c>
      <c r="L368" t="s">
        <v>137</v>
      </c>
      <c r="M368" t="s">
        <v>138</v>
      </c>
      <c r="N368" t="s">
        <v>609</v>
      </c>
      <c r="O368" t="s">
        <v>124</v>
      </c>
      <c r="P368" t="str">
        <f>"INVOICE 00122820 CT098319     "</f>
        <v xml:space="preserve">INVOICE 00122820 CT098319     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41.43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1</v>
      </c>
      <c r="BI368">
        <v>0.3</v>
      </c>
      <c r="BJ368">
        <v>2</v>
      </c>
      <c r="BK368">
        <v>2</v>
      </c>
      <c r="BL368">
        <v>135.59</v>
      </c>
      <c r="BM368">
        <v>20.34</v>
      </c>
      <c r="BN368">
        <v>155.93</v>
      </c>
      <c r="BO368">
        <v>155.93</v>
      </c>
      <c r="BR368" t="s">
        <v>84</v>
      </c>
      <c r="BS368" s="3">
        <v>45980</v>
      </c>
      <c r="BT368" s="4">
        <v>0.6791666666666667</v>
      </c>
      <c r="BU368" t="s">
        <v>1228</v>
      </c>
      <c r="BV368" t="s">
        <v>89</v>
      </c>
      <c r="BY368">
        <v>10071.9</v>
      </c>
      <c r="BZ368" t="s">
        <v>126</v>
      </c>
      <c r="CA368" t="s">
        <v>1229</v>
      </c>
      <c r="CC368" t="s">
        <v>138</v>
      </c>
      <c r="CD368" s="5" t="s">
        <v>142</v>
      </c>
      <c r="CE368" t="s">
        <v>128</v>
      </c>
      <c r="CF368" s="3">
        <v>45980</v>
      </c>
      <c r="CI368">
        <v>2</v>
      </c>
      <c r="CJ368">
        <v>2</v>
      </c>
      <c r="CK368">
        <v>23</v>
      </c>
      <c r="CL368" t="s">
        <v>89</v>
      </c>
    </row>
    <row r="369" spans="1:90" x14ac:dyDescent="0.3">
      <c r="A369" t="s">
        <v>72</v>
      </c>
      <c r="B369" t="s">
        <v>73</v>
      </c>
      <c r="C369" t="s">
        <v>74</v>
      </c>
      <c r="E369" t="str">
        <f>"GAB2029897"</f>
        <v>GAB2029897</v>
      </c>
      <c r="F369" s="3">
        <v>45978</v>
      </c>
      <c r="G369">
        <v>202608</v>
      </c>
      <c r="H369" t="s">
        <v>75</v>
      </c>
      <c r="I369" t="s">
        <v>76</v>
      </c>
      <c r="J369" t="s">
        <v>77</v>
      </c>
      <c r="K369" t="s">
        <v>78</v>
      </c>
      <c r="L369" t="s">
        <v>79</v>
      </c>
      <c r="M369" t="s">
        <v>80</v>
      </c>
      <c r="N369" t="s">
        <v>1037</v>
      </c>
      <c r="O369" t="s">
        <v>124</v>
      </c>
      <c r="P369" t="str">
        <f>"INVOICES 00122808 00122822 CT0"</f>
        <v>INVOICES 00122808 00122822 CT0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64.12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1</v>
      </c>
      <c r="BI369">
        <v>1.9</v>
      </c>
      <c r="BJ369">
        <v>5.9</v>
      </c>
      <c r="BK369">
        <v>6</v>
      </c>
      <c r="BL369">
        <v>209.84</v>
      </c>
      <c r="BM369">
        <v>31.48</v>
      </c>
      <c r="BN369">
        <v>241.32</v>
      </c>
      <c r="BO369">
        <v>241.32</v>
      </c>
      <c r="BQ369" t="s">
        <v>1230</v>
      </c>
      <c r="BR369" t="s">
        <v>84</v>
      </c>
      <c r="BS369" s="3">
        <v>45979</v>
      </c>
      <c r="BT369" s="4">
        <v>0.34583333333333333</v>
      </c>
      <c r="BU369" t="s">
        <v>323</v>
      </c>
      <c r="BV369" t="s">
        <v>86</v>
      </c>
      <c r="BY369">
        <v>29519.040000000001</v>
      </c>
      <c r="BZ369" t="s">
        <v>126</v>
      </c>
      <c r="CA369">
        <v>9512275238082</v>
      </c>
      <c r="CC369" t="s">
        <v>80</v>
      </c>
      <c r="CD369" s="5" t="s">
        <v>87</v>
      </c>
      <c r="CE369" t="s">
        <v>1231</v>
      </c>
      <c r="CF369" s="3">
        <v>45979</v>
      </c>
      <c r="CI369">
        <v>1</v>
      </c>
      <c r="CJ369">
        <v>1</v>
      </c>
      <c r="CK369">
        <v>21</v>
      </c>
      <c r="CL369" t="s">
        <v>89</v>
      </c>
    </row>
    <row r="370" spans="1:90" x14ac:dyDescent="0.3">
      <c r="A370" t="s">
        <v>72</v>
      </c>
      <c r="B370" t="s">
        <v>73</v>
      </c>
      <c r="C370" t="s">
        <v>74</v>
      </c>
      <c r="E370" t="str">
        <f>"GAB2029898"</f>
        <v>GAB2029898</v>
      </c>
      <c r="F370" s="3">
        <v>45978</v>
      </c>
      <c r="G370">
        <v>202608</v>
      </c>
      <c r="H370" t="s">
        <v>75</v>
      </c>
      <c r="I370" t="s">
        <v>76</v>
      </c>
      <c r="J370" t="s">
        <v>77</v>
      </c>
      <c r="K370" t="s">
        <v>78</v>
      </c>
      <c r="L370" t="s">
        <v>79</v>
      </c>
      <c r="M370" t="s">
        <v>80</v>
      </c>
      <c r="N370" t="s">
        <v>1037</v>
      </c>
      <c r="O370" t="s">
        <v>124</v>
      </c>
      <c r="P370" t="str">
        <f>"INVOICE00122828 CT098340      "</f>
        <v xml:space="preserve">INVOICE00122828 CT098340      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26.73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1</v>
      </c>
      <c r="BI370">
        <v>0.4</v>
      </c>
      <c r="BJ370">
        <v>2.1</v>
      </c>
      <c r="BK370">
        <v>2.5</v>
      </c>
      <c r="BL370">
        <v>87.47</v>
      </c>
      <c r="BM370">
        <v>13.12</v>
      </c>
      <c r="BN370">
        <v>100.59</v>
      </c>
      <c r="BO370">
        <v>100.59</v>
      </c>
      <c r="BQ370" t="s">
        <v>322</v>
      </c>
      <c r="BR370" t="s">
        <v>84</v>
      </c>
      <c r="BS370" s="3">
        <v>45980</v>
      </c>
      <c r="BT370" s="4">
        <v>0.35555555555555557</v>
      </c>
      <c r="BU370" t="s">
        <v>323</v>
      </c>
      <c r="BV370" t="s">
        <v>89</v>
      </c>
      <c r="BW370" t="s">
        <v>562</v>
      </c>
      <c r="BX370" t="s">
        <v>1143</v>
      </c>
      <c r="BY370">
        <v>10524.51</v>
      </c>
      <c r="BZ370" t="s">
        <v>126</v>
      </c>
      <c r="CA370">
        <v>9512275238082</v>
      </c>
      <c r="CC370" t="s">
        <v>80</v>
      </c>
      <c r="CD370" s="5" t="s">
        <v>87</v>
      </c>
      <c r="CE370" t="s">
        <v>843</v>
      </c>
      <c r="CF370" s="3">
        <v>45980</v>
      </c>
      <c r="CI370">
        <v>1</v>
      </c>
      <c r="CJ370">
        <v>2</v>
      </c>
      <c r="CK370">
        <v>21</v>
      </c>
      <c r="CL370" t="s">
        <v>89</v>
      </c>
    </row>
    <row r="371" spans="1:90" x14ac:dyDescent="0.3">
      <c r="A371" t="s">
        <v>72</v>
      </c>
      <c r="B371" t="s">
        <v>73</v>
      </c>
      <c r="C371" t="s">
        <v>74</v>
      </c>
      <c r="E371" t="str">
        <f>"GAB2029900"</f>
        <v>GAB2029900</v>
      </c>
      <c r="F371" s="3">
        <v>45978</v>
      </c>
      <c r="G371">
        <v>202608</v>
      </c>
      <c r="H371" t="s">
        <v>75</v>
      </c>
      <c r="I371" t="s">
        <v>76</v>
      </c>
      <c r="J371" t="s">
        <v>77</v>
      </c>
      <c r="K371" t="s">
        <v>78</v>
      </c>
      <c r="L371" t="s">
        <v>162</v>
      </c>
      <c r="M371" t="s">
        <v>163</v>
      </c>
      <c r="N371" t="s">
        <v>1232</v>
      </c>
      <c r="O371" t="s">
        <v>124</v>
      </c>
      <c r="P371" t="str">
        <f>"INVOICE00041583 00041546 ORDGS"</f>
        <v>INVOICE00041583 00041546 ORDGS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32.07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1</v>
      </c>
      <c r="BI371">
        <v>0.4</v>
      </c>
      <c r="BJ371">
        <v>2.8</v>
      </c>
      <c r="BK371">
        <v>3</v>
      </c>
      <c r="BL371">
        <v>104.95</v>
      </c>
      <c r="BM371">
        <v>15.74</v>
      </c>
      <c r="BN371">
        <v>120.69</v>
      </c>
      <c r="BO371">
        <v>120.69</v>
      </c>
      <c r="BR371" t="s">
        <v>84</v>
      </c>
      <c r="BS371" s="3">
        <v>45979</v>
      </c>
      <c r="BT371" s="4">
        <v>0.36249999999999999</v>
      </c>
      <c r="BU371" t="s">
        <v>287</v>
      </c>
      <c r="BV371" t="s">
        <v>86</v>
      </c>
      <c r="BY371">
        <v>13754.12</v>
      </c>
      <c r="BZ371" t="s">
        <v>126</v>
      </c>
      <c r="CA371" t="s">
        <v>288</v>
      </c>
      <c r="CC371" t="s">
        <v>163</v>
      </c>
      <c r="CD371">
        <v>6001</v>
      </c>
      <c r="CE371" t="s">
        <v>814</v>
      </c>
      <c r="CF371" s="3">
        <v>45979</v>
      </c>
      <c r="CI371">
        <v>2</v>
      </c>
      <c r="CJ371">
        <v>1</v>
      </c>
      <c r="CK371">
        <v>21</v>
      </c>
      <c r="CL371" t="s">
        <v>89</v>
      </c>
    </row>
    <row r="372" spans="1:90" x14ac:dyDescent="0.3">
      <c r="A372" t="s">
        <v>72</v>
      </c>
      <c r="B372" t="s">
        <v>73</v>
      </c>
      <c r="C372" t="s">
        <v>74</v>
      </c>
      <c r="E372" t="str">
        <f>"080011679741"</f>
        <v>080011679741</v>
      </c>
      <c r="F372" s="3">
        <v>45979</v>
      </c>
      <c r="G372">
        <v>202608</v>
      </c>
      <c r="H372" t="s">
        <v>169</v>
      </c>
      <c r="I372" t="s">
        <v>170</v>
      </c>
      <c r="J372" t="s">
        <v>1233</v>
      </c>
      <c r="K372" t="s">
        <v>78</v>
      </c>
      <c r="L372" t="s">
        <v>75</v>
      </c>
      <c r="M372" t="s">
        <v>76</v>
      </c>
      <c r="N372" t="s">
        <v>236</v>
      </c>
      <c r="O372" t="s">
        <v>124</v>
      </c>
      <c r="P372" t="str">
        <f>"Hester                        "</f>
        <v xml:space="preserve">Hester                        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16.739999999999998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26.73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1</v>
      </c>
      <c r="BI372">
        <v>2</v>
      </c>
      <c r="BJ372">
        <v>2.4</v>
      </c>
      <c r="BK372">
        <v>2.5</v>
      </c>
      <c r="BL372">
        <v>104.21</v>
      </c>
      <c r="BM372">
        <v>15.63</v>
      </c>
      <c r="BN372">
        <v>119.84</v>
      </c>
      <c r="BO372">
        <v>119.84</v>
      </c>
      <c r="BQ372" t="s">
        <v>997</v>
      </c>
      <c r="BR372" t="s">
        <v>1234</v>
      </c>
      <c r="BS372" s="3">
        <v>45980</v>
      </c>
      <c r="BT372" s="4">
        <v>0.52430555555555558</v>
      </c>
      <c r="BU372" t="s">
        <v>507</v>
      </c>
      <c r="BV372" t="s">
        <v>89</v>
      </c>
      <c r="BW372" t="s">
        <v>413</v>
      </c>
      <c r="BX372" t="s">
        <v>969</v>
      </c>
      <c r="BY372">
        <v>12000</v>
      </c>
      <c r="BZ372" t="s">
        <v>1235</v>
      </c>
      <c r="CA372" t="s">
        <v>508</v>
      </c>
      <c r="CC372" t="s">
        <v>76</v>
      </c>
      <c r="CD372">
        <v>7460</v>
      </c>
      <c r="CE372" t="s">
        <v>245</v>
      </c>
      <c r="CF372" s="3">
        <v>45981</v>
      </c>
      <c r="CI372">
        <v>1</v>
      </c>
      <c r="CJ372">
        <v>1</v>
      </c>
      <c r="CK372">
        <v>21</v>
      </c>
      <c r="CL372" t="s">
        <v>89</v>
      </c>
    </row>
    <row r="373" spans="1:90" x14ac:dyDescent="0.3">
      <c r="A373" t="s">
        <v>72</v>
      </c>
      <c r="B373" t="s">
        <v>73</v>
      </c>
      <c r="C373" t="s">
        <v>74</v>
      </c>
      <c r="E373" t="str">
        <f>"GAB2029904"</f>
        <v>GAB2029904</v>
      </c>
      <c r="F373" s="3">
        <v>45979</v>
      </c>
      <c r="G373">
        <v>202608</v>
      </c>
      <c r="H373" t="s">
        <v>75</v>
      </c>
      <c r="I373" t="s">
        <v>76</v>
      </c>
      <c r="J373" t="s">
        <v>77</v>
      </c>
      <c r="K373" t="s">
        <v>78</v>
      </c>
      <c r="L373" t="s">
        <v>1236</v>
      </c>
      <c r="M373" t="s">
        <v>1237</v>
      </c>
      <c r="N373" t="s">
        <v>1238</v>
      </c>
      <c r="O373" t="s">
        <v>82</v>
      </c>
      <c r="P373" t="str">
        <f>"INVOICE00122835 CT098341      "</f>
        <v xml:space="preserve">INVOICE00122835 CT098341      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5.87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58.32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1</v>
      </c>
      <c r="BI373">
        <v>0.2</v>
      </c>
      <c r="BJ373">
        <v>1.9</v>
      </c>
      <c r="BK373">
        <v>2</v>
      </c>
      <c r="BL373">
        <v>196.74</v>
      </c>
      <c r="BM373">
        <v>29.51</v>
      </c>
      <c r="BN373">
        <v>226.25</v>
      </c>
      <c r="BO373">
        <v>226.25</v>
      </c>
      <c r="BQ373" t="s">
        <v>1239</v>
      </c>
      <c r="BR373" t="s">
        <v>84</v>
      </c>
      <c r="BS373" s="3">
        <v>45980</v>
      </c>
      <c r="BT373" s="4">
        <v>0.44861111111111113</v>
      </c>
      <c r="BU373" t="s">
        <v>1240</v>
      </c>
      <c r="BV373" t="s">
        <v>86</v>
      </c>
      <c r="BY373">
        <v>9549.24</v>
      </c>
      <c r="CA373">
        <v>9002185087084</v>
      </c>
      <c r="CC373" t="s">
        <v>1237</v>
      </c>
      <c r="CD373">
        <v>7357</v>
      </c>
      <c r="CE373" t="s">
        <v>315</v>
      </c>
      <c r="CF373" s="3">
        <v>45981</v>
      </c>
      <c r="CI373">
        <v>1</v>
      </c>
      <c r="CJ373">
        <v>1</v>
      </c>
      <c r="CK373">
        <v>43</v>
      </c>
      <c r="CL373" t="s">
        <v>89</v>
      </c>
    </row>
    <row r="374" spans="1:90" x14ac:dyDescent="0.3">
      <c r="A374" t="s">
        <v>72</v>
      </c>
      <c r="B374" t="s">
        <v>73</v>
      </c>
      <c r="C374" t="s">
        <v>74</v>
      </c>
      <c r="E374" t="str">
        <f>"GAB2029905"</f>
        <v>GAB2029905</v>
      </c>
      <c r="F374" s="3">
        <v>45979</v>
      </c>
      <c r="G374">
        <v>202608</v>
      </c>
      <c r="H374" t="s">
        <v>75</v>
      </c>
      <c r="I374" t="s">
        <v>76</v>
      </c>
      <c r="J374" t="s">
        <v>77</v>
      </c>
      <c r="K374" t="s">
        <v>78</v>
      </c>
      <c r="L374" t="s">
        <v>90</v>
      </c>
      <c r="M374" t="s">
        <v>91</v>
      </c>
      <c r="N374" t="s">
        <v>1241</v>
      </c>
      <c r="O374" t="s">
        <v>82</v>
      </c>
      <c r="P374" t="str">
        <f>"INVOICE00122827 CT098339      "</f>
        <v xml:space="preserve">INVOICE00122827 CT098339      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5.87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41.35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1</v>
      </c>
      <c r="BI374">
        <v>4.8</v>
      </c>
      <c r="BJ374">
        <v>12.2</v>
      </c>
      <c r="BK374">
        <v>13</v>
      </c>
      <c r="BL374">
        <v>141.19999999999999</v>
      </c>
      <c r="BM374">
        <v>21.18</v>
      </c>
      <c r="BN374">
        <v>162.38</v>
      </c>
      <c r="BO374">
        <v>162.38</v>
      </c>
      <c r="BR374" t="s">
        <v>84</v>
      </c>
      <c r="BS374" s="3">
        <v>45982</v>
      </c>
      <c r="BT374" s="4">
        <v>0.66666666666666663</v>
      </c>
      <c r="BU374" t="s">
        <v>1242</v>
      </c>
      <c r="BV374" t="s">
        <v>86</v>
      </c>
      <c r="BY374">
        <v>61063.8</v>
      </c>
      <c r="CC374" t="s">
        <v>91</v>
      </c>
      <c r="CD374">
        <v>4001</v>
      </c>
      <c r="CE374" t="s">
        <v>103</v>
      </c>
      <c r="CF374" s="3">
        <v>45982</v>
      </c>
      <c r="CI374">
        <v>3</v>
      </c>
      <c r="CJ374">
        <v>3</v>
      </c>
      <c r="CK374">
        <v>41</v>
      </c>
      <c r="CL374" t="s">
        <v>89</v>
      </c>
    </row>
    <row r="375" spans="1:90" x14ac:dyDescent="0.3">
      <c r="A375" t="s">
        <v>72</v>
      </c>
      <c r="B375" t="s">
        <v>73</v>
      </c>
      <c r="C375" t="s">
        <v>74</v>
      </c>
      <c r="E375" t="str">
        <f>"GAB2029906"</f>
        <v>GAB2029906</v>
      </c>
      <c r="F375" s="3">
        <v>45979</v>
      </c>
      <c r="G375">
        <v>202608</v>
      </c>
      <c r="H375" t="s">
        <v>75</v>
      </c>
      <c r="I375" t="s">
        <v>76</v>
      </c>
      <c r="J375" t="s">
        <v>77</v>
      </c>
      <c r="K375" t="s">
        <v>78</v>
      </c>
      <c r="L375" t="s">
        <v>79</v>
      </c>
      <c r="M375" t="s">
        <v>80</v>
      </c>
      <c r="N375" t="s">
        <v>1037</v>
      </c>
      <c r="O375" t="s">
        <v>82</v>
      </c>
      <c r="P375" t="str">
        <f>"MIKHALL                       "</f>
        <v xml:space="preserve">MIKHALL                       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5.87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82.32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1</v>
      </c>
      <c r="BI375">
        <v>13.4</v>
      </c>
      <c r="BJ375">
        <v>38.700000000000003</v>
      </c>
      <c r="BK375">
        <v>39</v>
      </c>
      <c r="BL375">
        <v>275.29000000000002</v>
      </c>
      <c r="BM375">
        <v>41.29</v>
      </c>
      <c r="BN375">
        <v>316.58</v>
      </c>
      <c r="BO375">
        <v>316.58</v>
      </c>
      <c r="BQ375" t="s">
        <v>322</v>
      </c>
      <c r="BR375" t="s">
        <v>84</v>
      </c>
      <c r="BS375" s="3">
        <v>45981</v>
      </c>
      <c r="BT375" s="4">
        <v>0.36458333333333331</v>
      </c>
      <c r="BU375" t="s">
        <v>323</v>
      </c>
      <c r="BV375" t="s">
        <v>86</v>
      </c>
      <c r="BY375">
        <v>193681.8</v>
      </c>
      <c r="CC375" t="s">
        <v>80</v>
      </c>
      <c r="CD375" s="5" t="s">
        <v>87</v>
      </c>
      <c r="CE375" t="s">
        <v>1243</v>
      </c>
      <c r="CF375" s="3">
        <v>45981</v>
      </c>
      <c r="CI375">
        <v>3</v>
      </c>
      <c r="CJ375">
        <v>2</v>
      </c>
      <c r="CK375">
        <v>41</v>
      </c>
      <c r="CL375" t="s">
        <v>89</v>
      </c>
    </row>
    <row r="376" spans="1:90" x14ac:dyDescent="0.3">
      <c r="A376" t="s">
        <v>72</v>
      </c>
      <c r="B376" t="s">
        <v>73</v>
      </c>
      <c r="C376" t="s">
        <v>74</v>
      </c>
      <c r="E376" t="str">
        <f>"GAB2029910"</f>
        <v>GAB2029910</v>
      </c>
      <c r="F376" s="3">
        <v>45979</v>
      </c>
      <c r="G376">
        <v>202608</v>
      </c>
      <c r="H376" t="s">
        <v>75</v>
      </c>
      <c r="I376" t="s">
        <v>76</v>
      </c>
      <c r="J376" t="s">
        <v>77</v>
      </c>
      <c r="K376" t="s">
        <v>78</v>
      </c>
      <c r="L376" t="s">
        <v>230</v>
      </c>
      <c r="M376" t="s">
        <v>231</v>
      </c>
      <c r="N376" t="s">
        <v>1006</v>
      </c>
      <c r="O376" t="s">
        <v>82</v>
      </c>
      <c r="P376" t="str">
        <f>"INVOICE00041597 ORDGS038177   "</f>
        <v xml:space="preserve">INVOICE00041597 ORDGS038177   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5.87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66.959999999999994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2</v>
      </c>
      <c r="BI376">
        <v>11.4</v>
      </c>
      <c r="BJ376">
        <v>29.7</v>
      </c>
      <c r="BK376">
        <v>30</v>
      </c>
      <c r="BL376">
        <v>225.01</v>
      </c>
      <c r="BM376">
        <v>33.75</v>
      </c>
      <c r="BN376">
        <v>258.76</v>
      </c>
      <c r="BO376">
        <v>258.76</v>
      </c>
      <c r="BR376" t="s">
        <v>84</v>
      </c>
      <c r="BS376" s="3">
        <v>45981</v>
      </c>
      <c r="BT376" s="4">
        <v>0.4861111111111111</v>
      </c>
      <c r="BU376" t="s">
        <v>1244</v>
      </c>
      <c r="BV376" t="s">
        <v>86</v>
      </c>
      <c r="BY376">
        <v>148506.70000000001</v>
      </c>
      <c r="CA376">
        <v>8810046287086</v>
      </c>
      <c r="CC376" t="s">
        <v>231</v>
      </c>
      <c r="CD376" s="5" t="s">
        <v>382</v>
      </c>
      <c r="CE376" t="s">
        <v>315</v>
      </c>
      <c r="CI376">
        <v>3</v>
      </c>
      <c r="CJ376">
        <v>2</v>
      </c>
      <c r="CK376">
        <v>41</v>
      </c>
      <c r="CL376" t="s">
        <v>89</v>
      </c>
    </row>
    <row r="377" spans="1:90" x14ac:dyDescent="0.3">
      <c r="A377" t="s">
        <v>72</v>
      </c>
      <c r="B377" t="s">
        <v>73</v>
      </c>
      <c r="C377" t="s">
        <v>74</v>
      </c>
      <c r="E377" t="str">
        <f>"GAB2029914"</f>
        <v>GAB2029914</v>
      </c>
      <c r="F377" s="3">
        <v>45979</v>
      </c>
      <c r="G377">
        <v>202608</v>
      </c>
      <c r="H377" t="s">
        <v>75</v>
      </c>
      <c r="I377" t="s">
        <v>76</v>
      </c>
      <c r="J377" t="s">
        <v>77</v>
      </c>
      <c r="K377" t="s">
        <v>78</v>
      </c>
      <c r="L377" t="s">
        <v>90</v>
      </c>
      <c r="M377" t="s">
        <v>91</v>
      </c>
      <c r="N377" t="s">
        <v>104</v>
      </c>
      <c r="O377" t="s">
        <v>82</v>
      </c>
      <c r="P377" t="str">
        <f>"INVOICE00122846 CT098328      "</f>
        <v xml:space="preserve">INVOICE00122846 CT098328      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5.87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61.84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2</v>
      </c>
      <c r="BI377">
        <v>8.4</v>
      </c>
      <c r="BJ377">
        <v>26.4</v>
      </c>
      <c r="BK377">
        <v>27</v>
      </c>
      <c r="BL377">
        <v>208.25</v>
      </c>
      <c r="BM377">
        <v>31.24</v>
      </c>
      <c r="BN377">
        <v>239.49</v>
      </c>
      <c r="BO377">
        <v>239.49</v>
      </c>
      <c r="BQ377" t="s">
        <v>1073</v>
      </c>
      <c r="BR377" t="s">
        <v>84</v>
      </c>
      <c r="BS377" s="3">
        <v>45982</v>
      </c>
      <c r="BT377" s="4">
        <v>0.39791666666666664</v>
      </c>
      <c r="BU377" t="s">
        <v>1245</v>
      </c>
      <c r="BV377" t="s">
        <v>86</v>
      </c>
      <c r="BY377">
        <v>131857.79999999999</v>
      </c>
      <c r="CA377" t="s">
        <v>791</v>
      </c>
      <c r="CC377" t="s">
        <v>91</v>
      </c>
      <c r="CD377">
        <v>4001</v>
      </c>
      <c r="CE377" t="s">
        <v>1246</v>
      </c>
      <c r="CF377" s="3">
        <v>45982</v>
      </c>
      <c r="CI377">
        <v>3</v>
      </c>
      <c r="CJ377">
        <v>3</v>
      </c>
      <c r="CK377">
        <v>41</v>
      </c>
      <c r="CL377" t="s">
        <v>89</v>
      </c>
    </row>
    <row r="378" spans="1:90" x14ac:dyDescent="0.3">
      <c r="A378" t="s">
        <v>72</v>
      </c>
      <c r="B378" t="s">
        <v>73</v>
      </c>
      <c r="C378" t="s">
        <v>74</v>
      </c>
      <c r="E378" t="str">
        <f>"GAB2029915"</f>
        <v>GAB2029915</v>
      </c>
      <c r="F378" s="3">
        <v>45979</v>
      </c>
      <c r="G378">
        <v>202608</v>
      </c>
      <c r="H378" t="s">
        <v>75</v>
      </c>
      <c r="I378" t="s">
        <v>76</v>
      </c>
      <c r="J378" t="s">
        <v>77</v>
      </c>
      <c r="K378" t="s">
        <v>78</v>
      </c>
      <c r="L378" t="s">
        <v>79</v>
      </c>
      <c r="M378" t="s">
        <v>80</v>
      </c>
      <c r="N378" t="s">
        <v>81</v>
      </c>
      <c r="O378" t="s">
        <v>82</v>
      </c>
      <c r="P378" t="str">
        <f>"INVOICE00122839 CT098336      "</f>
        <v xml:space="preserve">INVOICE00122839 CT098336      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5.87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130.13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4</v>
      </c>
      <c r="BI378">
        <v>26.2</v>
      </c>
      <c r="BJ378">
        <v>66.8</v>
      </c>
      <c r="BK378">
        <v>67</v>
      </c>
      <c r="BL378">
        <v>431.74</v>
      </c>
      <c r="BM378">
        <v>64.760000000000005</v>
      </c>
      <c r="BN378">
        <v>496.5</v>
      </c>
      <c r="BO378">
        <v>496.5</v>
      </c>
      <c r="BQ378" t="s">
        <v>83</v>
      </c>
      <c r="BR378" t="s">
        <v>84</v>
      </c>
      <c r="BS378" s="3">
        <v>45981</v>
      </c>
      <c r="BT378" s="4">
        <v>0.34236111111111112</v>
      </c>
      <c r="BU378" t="s">
        <v>1247</v>
      </c>
      <c r="BV378" t="s">
        <v>86</v>
      </c>
      <c r="BY378">
        <v>333859.87</v>
      </c>
      <c r="CA378">
        <v>8601266266086</v>
      </c>
      <c r="CC378" t="s">
        <v>80</v>
      </c>
      <c r="CD378" s="5" t="s">
        <v>87</v>
      </c>
      <c r="CE378" t="s">
        <v>1248</v>
      </c>
      <c r="CF378" s="3">
        <v>45981</v>
      </c>
      <c r="CI378">
        <v>3</v>
      </c>
      <c r="CJ378">
        <v>2</v>
      </c>
      <c r="CK378">
        <v>41</v>
      </c>
      <c r="CL378" t="s">
        <v>89</v>
      </c>
    </row>
    <row r="379" spans="1:90" x14ac:dyDescent="0.3">
      <c r="A379" t="s">
        <v>72</v>
      </c>
      <c r="B379" t="s">
        <v>73</v>
      </c>
      <c r="C379" t="s">
        <v>74</v>
      </c>
      <c r="E379" t="str">
        <f>"GAB2029917"</f>
        <v>GAB2029917</v>
      </c>
      <c r="F379" s="3">
        <v>45979</v>
      </c>
      <c r="G379">
        <v>202608</v>
      </c>
      <c r="H379" t="s">
        <v>75</v>
      </c>
      <c r="I379" t="s">
        <v>76</v>
      </c>
      <c r="J379" t="s">
        <v>77</v>
      </c>
      <c r="K379" t="s">
        <v>78</v>
      </c>
      <c r="L379" t="s">
        <v>169</v>
      </c>
      <c r="M379" t="s">
        <v>170</v>
      </c>
      <c r="N379" t="s">
        <v>1249</v>
      </c>
      <c r="O379" t="s">
        <v>82</v>
      </c>
      <c r="P379" t="str">
        <f>"INVOICVE00122845 CT098337     "</f>
        <v xml:space="preserve">INVOICVE00122845 CT098337     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5.87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68.67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2</v>
      </c>
      <c r="BI379">
        <v>7.8</v>
      </c>
      <c r="BJ379">
        <v>30.5</v>
      </c>
      <c r="BK379">
        <v>31</v>
      </c>
      <c r="BL379">
        <v>230.6</v>
      </c>
      <c r="BM379">
        <v>34.590000000000003</v>
      </c>
      <c r="BN379">
        <v>265.19</v>
      </c>
      <c r="BO379">
        <v>265.19</v>
      </c>
      <c r="BQ379" t="s">
        <v>1250</v>
      </c>
      <c r="BR379" t="s">
        <v>84</v>
      </c>
      <c r="BS379" s="3">
        <v>45981</v>
      </c>
      <c r="BT379" s="4">
        <v>0.5</v>
      </c>
      <c r="BU379" t="s">
        <v>1251</v>
      </c>
      <c r="BV379" t="s">
        <v>89</v>
      </c>
      <c r="BY379">
        <v>152663.54999999999</v>
      </c>
      <c r="CC379" t="s">
        <v>170</v>
      </c>
      <c r="CD379">
        <v>1818</v>
      </c>
      <c r="CE379" t="s">
        <v>1246</v>
      </c>
      <c r="CF379" s="3">
        <v>45986</v>
      </c>
      <c r="CI379">
        <v>2</v>
      </c>
      <c r="CJ379">
        <v>2</v>
      </c>
      <c r="CK379">
        <v>41</v>
      </c>
      <c r="CL379" t="s">
        <v>89</v>
      </c>
    </row>
    <row r="380" spans="1:90" x14ac:dyDescent="0.3">
      <c r="A380" t="s">
        <v>72</v>
      </c>
      <c r="B380" t="s">
        <v>73</v>
      </c>
      <c r="C380" t="s">
        <v>74</v>
      </c>
      <c r="E380" t="str">
        <f>"GAB2029927"</f>
        <v>GAB2029927</v>
      </c>
      <c r="F380" s="3">
        <v>45979</v>
      </c>
      <c r="G380">
        <v>202608</v>
      </c>
      <c r="H380" t="s">
        <v>75</v>
      </c>
      <c r="I380" t="s">
        <v>76</v>
      </c>
      <c r="J380" t="s">
        <v>77</v>
      </c>
      <c r="K380" t="s">
        <v>78</v>
      </c>
      <c r="L380" t="s">
        <v>169</v>
      </c>
      <c r="M380" t="s">
        <v>170</v>
      </c>
      <c r="N380" t="s">
        <v>1252</v>
      </c>
      <c r="O380" t="s">
        <v>82</v>
      </c>
      <c r="P380" t="str">
        <f>"INVOICE00041600 ORDGS037949   "</f>
        <v xml:space="preserve">INVOICE00041600 ORDGS037949   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5.87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195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4</v>
      </c>
      <c r="BI380">
        <v>41.4</v>
      </c>
      <c r="BJ380">
        <v>104.1</v>
      </c>
      <c r="BK380">
        <v>105</v>
      </c>
      <c r="BL380">
        <v>644.04999999999995</v>
      </c>
      <c r="BM380">
        <v>96.61</v>
      </c>
      <c r="BN380">
        <v>740.66</v>
      </c>
      <c r="BO380">
        <v>740.66</v>
      </c>
      <c r="BR380" t="s">
        <v>84</v>
      </c>
      <c r="BS380" s="3">
        <v>45981</v>
      </c>
      <c r="BT380" s="4">
        <v>0.54166666666666663</v>
      </c>
      <c r="BU380" t="s">
        <v>1253</v>
      </c>
      <c r="BV380" t="s">
        <v>86</v>
      </c>
      <c r="BY380">
        <v>520693.58</v>
      </c>
      <c r="CC380" t="s">
        <v>170</v>
      </c>
      <c r="CD380">
        <v>2001</v>
      </c>
      <c r="CE380" t="s">
        <v>103</v>
      </c>
      <c r="CF380" s="3">
        <v>45981</v>
      </c>
      <c r="CI380">
        <v>2</v>
      </c>
      <c r="CJ380">
        <v>2</v>
      </c>
      <c r="CK380">
        <v>41</v>
      </c>
      <c r="CL380" t="s">
        <v>89</v>
      </c>
    </row>
    <row r="381" spans="1:90" x14ac:dyDescent="0.3">
      <c r="A381" t="s">
        <v>72</v>
      </c>
      <c r="B381" t="s">
        <v>73</v>
      </c>
      <c r="C381" t="s">
        <v>74</v>
      </c>
      <c r="E381" t="str">
        <f>"GAB2029928"</f>
        <v>GAB2029928</v>
      </c>
      <c r="F381" s="3">
        <v>45979</v>
      </c>
      <c r="G381">
        <v>202608</v>
      </c>
      <c r="H381" t="s">
        <v>75</v>
      </c>
      <c r="I381" t="s">
        <v>76</v>
      </c>
      <c r="J381" t="s">
        <v>77</v>
      </c>
      <c r="K381" t="s">
        <v>78</v>
      </c>
      <c r="L381" t="s">
        <v>169</v>
      </c>
      <c r="M381" t="s">
        <v>170</v>
      </c>
      <c r="N381" t="s">
        <v>1254</v>
      </c>
      <c r="O381" t="s">
        <v>82</v>
      </c>
      <c r="P381" t="str">
        <f>"INVOICE 00041614 ORDGS038262  "</f>
        <v xml:space="preserve">INVOICE 00041614 ORDGS038262  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5.87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107.93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2</v>
      </c>
      <c r="BI381">
        <v>21.4</v>
      </c>
      <c r="BJ381">
        <v>53.4</v>
      </c>
      <c r="BK381">
        <v>54</v>
      </c>
      <c r="BL381">
        <v>359.1</v>
      </c>
      <c r="BM381">
        <v>53.87</v>
      </c>
      <c r="BN381">
        <v>412.97</v>
      </c>
      <c r="BO381">
        <v>412.97</v>
      </c>
      <c r="BQ381" t="s">
        <v>1255</v>
      </c>
      <c r="BR381" t="s">
        <v>84</v>
      </c>
      <c r="BS381" s="3">
        <v>45981</v>
      </c>
      <c r="BT381" s="4">
        <v>0.47916666666666669</v>
      </c>
      <c r="BU381" t="s">
        <v>1256</v>
      </c>
      <c r="BV381" t="s">
        <v>86</v>
      </c>
      <c r="BY381">
        <v>267071.75</v>
      </c>
      <c r="CA381" t="s">
        <v>1257</v>
      </c>
      <c r="CC381" t="s">
        <v>170</v>
      </c>
      <c r="CD381">
        <v>2092</v>
      </c>
      <c r="CE381" t="s">
        <v>103</v>
      </c>
      <c r="CF381" s="3">
        <v>45981</v>
      </c>
      <c r="CI381">
        <v>2</v>
      </c>
      <c r="CJ381">
        <v>2</v>
      </c>
      <c r="CK381">
        <v>41</v>
      </c>
      <c r="CL381" t="s">
        <v>89</v>
      </c>
    </row>
    <row r="382" spans="1:90" x14ac:dyDescent="0.3">
      <c r="A382" t="s">
        <v>72</v>
      </c>
      <c r="B382" t="s">
        <v>73</v>
      </c>
      <c r="C382" t="s">
        <v>74</v>
      </c>
      <c r="E382" t="str">
        <f>"GAB2029930"</f>
        <v>GAB2029930</v>
      </c>
      <c r="F382" s="3">
        <v>45979</v>
      </c>
      <c r="G382">
        <v>202608</v>
      </c>
      <c r="H382" t="s">
        <v>75</v>
      </c>
      <c r="I382" t="s">
        <v>76</v>
      </c>
      <c r="J382" t="s">
        <v>77</v>
      </c>
      <c r="K382" t="s">
        <v>78</v>
      </c>
      <c r="L382" t="s">
        <v>79</v>
      </c>
      <c r="M382" t="s">
        <v>80</v>
      </c>
      <c r="N382" t="s">
        <v>81</v>
      </c>
      <c r="O382" t="s">
        <v>82</v>
      </c>
      <c r="P382" t="str">
        <f>"INVOICE 00122857 CT098351     "</f>
        <v xml:space="preserve">INVOICE 00122857 CT098351     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5.87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80.62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2</v>
      </c>
      <c r="BI382">
        <v>14.2</v>
      </c>
      <c r="BJ382">
        <v>37.799999999999997</v>
      </c>
      <c r="BK382">
        <v>38</v>
      </c>
      <c r="BL382">
        <v>269.70999999999998</v>
      </c>
      <c r="BM382">
        <v>40.46</v>
      </c>
      <c r="BN382">
        <v>310.17</v>
      </c>
      <c r="BO382">
        <v>310.17</v>
      </c>
      <c r="BQ382" t="s">
        <v>974</v>
      </c>
      <c r="BR382" t="s">
        <v>84</v>
      </c>
      <c r="BS382" s="3">
        <v>45981</v>
      </c>
      <c r="BT382" s="4">
        <v>0.34166666666666667</v>
      </c>
      <c r="BU382" t="s">
        <v>1247</v>
      </c>
      <c r="BV382" t="s">
        <v>86</v>
      </c>
      <c r="BY382">
        <v>189031.8</v>
      </c>
      <c r="CA382">
        <v>8601266266086</v>
      </c>
      <c r="CC382" t="s">
        <v>80</v>
      </c>
      <c r="CD382" s="5" t="s">
        <v>87</v>
      </c>
      <c r="CE382" t="s">
        <v>1258</v>
      </c>
      <c r="CF382" s="3">
        <v>45981</v>
      </c>
      <c r="CI382">
        <v>3</v>
      </c>
      <c r="CJ382">
        <v>2</v>
      </c>
      <c r="CK382">
        <v>41</v>
      </c>
      <c r="CL382" t="s">
        <v>89</v>
      </c>
    </row>
    <row r="383" spans="1:90" x14ac:dyDescent="0.3">
      <c r="A383" t="s">
        <v>72</v>
      </c>
      <c r="B383" t="s">
        <v>73</v>
      </c>
      <c r="C383" t="s">
        <v>74</v>
      </c>
      <c r="E383" t="str">
        <f>"GAB2029936"</f>
        <v>GAB2029936</v>
      </c>
      <c r="F383" s="3">
        <v>45979</v>
      </c>
      <c r="G383">
        <v>202608</v>
      </c>
      <c r="H383" t="s">
        <v>75</v>
      </c>
      <c r="I383" t="s">
        <v>76</v>
      </c>
      <c r="J383" t="s">
        <v>77</v>
      </c>
      <c r="K383" t="s">
        <v>78</v>
      </c>
      <c r="L383" t="s">
        <v>1119</v>
      </c>
      <c r="M383" t="s">
        <v>1120</v>
      </c>
      <c r="N383" t="s">
        <v>1259</v>
      </c>
      <c r="O383" t="s">
        <v>82</v>
      </c>
      <c r="P383" t="str">
        <f>"INVOICE 00041633 ORDGS037922  "</f>
        <v xml:space="preserve">INVOICE 00041633 ORDGS037922  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5.87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58.32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1</v>
      </c>
      <c r="BI383">
        <v>2.9</v>
      </c>
      <c r="BJ383">
        <v>6</v>
      </c>
      <c r="BK383">
        <v>6</v>
      </c>
      <c r="BL383">
        <v>196.74</v>
      </c>
      <c r="BM383">
        <v>29.51</v>
      </c>
      <c r="BN383">
        <v>226.25</v>
      </c>
      <c r="BO383">
        <v>226.25</v>
      </c>
      <c r="BQ383" t="s">
        <v>1260</v>
      </c>
      <c r="BR383" t="s">
        <v>84</v>
      </c>
      <c r="BS383" s="3">
        <v>45982</v>
      </c>
      <c r="BT383" s="4">
        <v>0.49652777777777779</v>
      </c>
      <c r="BU383" t="s">
        <v>1261</v>
      </c>
      <c r="BV383" t="s">
        <v>86</v>
      </c>
      <c r="BY383">
        <v>30218.27</v>
      </c>
      <c r="CA383" t="s">
        <v>1124</v>
      </c>
      <c r="CC383" t="s">
        <v>1120</v>
      </c>
      <c r="CD383">
        <v>2940</v>
      </c>
      <c r="CE383" t="s">
        <v>103</v>
      </c>
      <c r="CF383" s="3">
        <v>45985</v>
      </c>
      <c r="CI383">
        <v>3</v>
      </c>
      <c r="CJ383">
        <v>3</v>
      </c>
      <c r="CK383">
        <v>43</v>
      </c>
      <c r="CL383" t="s">
        <v>89</v>
      </c>
    </row>
    <row r="384" spans="1:90" x14ac:dyDescent="0.3">
      <c r="A384" t="s">
        <v>72</v>
      </c>
      <c r="B384" t="s">
        <v>73</v>
      </c>
      <c r="C384" t="s">
        <v>74</v>
      </c>
      <c r="E384" t="str">
        <f>"GAB2029946"</f>
        <v>GAB2029946</v>
      </c>
      <c r="F384" s="3">
        <v>45979</v>
      </c>
      <c r="G384">
        <v>202608</v>
      </c>
      <c r="H384" t="s">
        <v>75</v>
      </c>
      <c r="I384" t="s">
        <v>76</v>
      </c>
      <c r="J384" t="s">
        <v>77</v>
      </c>
      <c r="K384" t="s">
        <v>78</v>
      </c>
      <c r="L384" t="s">
        <v>1262</v>
      </c>
      <c r="M384" t="s">
        <v>1263</v>
      </c>
      <c r="N384" t="s">
        <v>1264</v>
      </c>
      <c r="O384" t="s">
        <v>82</v>
      </c>
      <c r="P384" t="str">
        <f>"INVOICE 00041636 ORDGS038291  "</f>
        <v xml:space="preserve">INVOICE 00041636 ORDGS038291  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5.87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58.32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1</v>
      </c>
      <c r="BI384">
        <v>2.6</v>
      </c>
      <c r="BJ384">
        <v>6</v>
      </c>
      <c r="BK384">
        <v>6</v>
      </c>
      <c r="BL384">
        <v>196.74</v>
      </c>
      <c r="BM384">
        <v>29.51</v>
      </c>
      <c r="BN384">
        <v>226.25</v>
      </c>
      <c r="BO384">
        <v>226.25</v>
      </c>
      <c r="BR384" t="s">
        <v>84</v>
      </c>
      <c r="BS384" s="3">
        <v>45982</v>
      </c>
      <c r="BT384" s="4">
        <v>0.64652777777777781</v>
      </c>
      <c r="BU384" t="s">
        <v>1265</v>
      </c>
      <c r="BV384" t="s">
        <v>86</v>
      </c>
      <c r="BY384">
        <v>29968.32</v>
      </c>
      <c r="CC384" t="s">
        <v>1263</v>
      </c>
      <c r="CD384">
        <v>3282</v>
      </c>
      <c r="CE384" t="s">
        <v>103</v>
      </c>
      <c r="CF384" s="3">
        <v>45983</v>
      </c>
      <c r="CI384">
        <v>7</v>
      </c>
      <c r="CJ384">
        <v>3</v>
      </c>
      <c r="CK384">
        <v>43</v>
      </c>
      <c r="CL384" t="s">
        <v>89</v>
      </c>
    </row>
    <row r="385" spans="1:90" x14ac:dyDescent="0.3">
      <c r="A385" t="s">
        <v>72</v>
      </c>
      <c r="B385" t="s">
        <v>73</v>
      </c>
      <c r="C385" t="s">
        <v>74</v>
      </c>
      <c r="E385" t="str">
        <f>"GAB2029901"</f>
        <v>GAB2029901</v>
      </c>
      <c r="F385" s="3">
        <v>45979</v>
      </c>
      <c r="G385">
        <v>202608</v>
      </c>
      <c r="H385" t="s">
        <v>75</v>
      </c>
      <c r="I385" t="s">
        <v>76</v>
      </c>
      <c r="J385" t="s">
        <v>77</v>
      </c>
      <c r="K385" t="s">
        <v>78</v>
      </c>
      <c r="L385" t="s">
        <v>195</v>
      </c>
      <c r="M385" t="s">
        <v>196</v>
      </c>
      <c r="N385" t="s">
        <v>641</v>
      </c>
      <c r="O385" t="s">
        <v>124</v>
      </c>
      <c r="P385" t="str">
        <f>"INVOICE00041584 ORDGS038226   "</f>
        <v xml:space="preserve">INVOICE00041584 ORDGS038226   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21.38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1</v>
      </c>
      <c r="BI385">
        <v>0.3</v>
      </c>
      <c r="BJ385">
        <v>1.9</v>
      </c>
      <c r="BK385">
        <v>2</v>
      </c>
      <c r="BL385">
        <v>69.98</v>
      </c>
      <c r="BM385">
        <v>10.5</v>
      </c>
      <c r="BN385">
        <v>80.48</v>
      </c>
      <c r="BO385">
        <v>80.48</v>
      </c>
      <c r="BQ385" t="s">
        <v>780</v>
      </c>
      <c r="BR385" t="s">
        <v>84</v>
      </c>
      <c r="BS385" s="3">
        <v>45980</v>
      </c>
      <c r="BT385" s="4">
        <v>0.59861111111111109</v>
      </c>
      <c r="BU385" t="s">
        <v>1266</v>
      </c>
      <c r="BV385" t="s">
        <v>89</v>
      </c>
      <c r="BW385" t="s">
        <v>216</v>
      </c>
      <c r="BX385" t="s">
        <v>1267</v>
      </c>
      <c r="BY385">
        <v>9424.7999999999993</v>
      </c>
      <c r="BZ385" t="s">
        <v>126</v>
      </c>
      <c r="CA385" t="s">
        <v>644</v>
      </c>
      <c r="CC385" t="s">
        <v>196</v>
      </c>
      <c r="CD385">
        <v>1709</v>
      </c>
      <c r="CE385" t="s">
        <v>367</v>
      </c>
      <c r="CF385" s="3">
        <v>45980</v>
      </c>
      <c r="CI385">
        <v>1</v>
      </c>
      <c r="CJ385">
        <v>1</v>
      </c>
      <c r="CK385">
        <v>21</v>
      </c>
      <c r="CL385" t="s">
        <v>89</v>
      </c>
    </row>
    <row r="386" spans="1:90" x14ac:dyDescent="0.3">
      <c r="A386" t="s">
        <v>72</v>
      </c>
      <c r="B386" t="s">
        <v>73</v>
      </c>
      <c r="C386" t="s">
        <v>74</v>
      </c>
      <c r="E386" t="str">
        <f>"GAB2029902"</f>
        <v>GAB2029902</v>
      </c>
      <c r="F386" s="3">
        <v>45979</v>
      </c>
      <c r="G386">
        <v>202608</v>
      </c>
      <c r="H386" t="s">
        <v>75</v>
      </c>
      <c r="I386" t="s">
        <v>76</v>
      </c>
      <c r="J386" t="s">
        <v>77</v>
      </c>
      <c r="K386" t="s">
        <v>78</v>
      </c>
      <c r="L386" t="s">
        <v>246</v>
      </c>
      <c r="M386" t="s">
        <v>247</v>
      </c>
      <c r="N386" t="s">
        <v>849</v>
      </c>
      <c r="O386" t="s">
        <v>124</v>
      </c>
      <c r="P386" t="str">
        <f>"INVOICE00041587 ORDGS038225   "</f>
        <v xml:space="preserve">INVOICE00041587 ORDGS038225   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26.73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1</v>
      </c>
      <c r="BI386">
        <v>0.2</v>
      </c>
      <c r="BJ386">
        <v>2.2999999999999998</v>
      </c>
      <c r="BK386">
        <v>2.5</v>
      </c>
      <c r="BL386">
        <v>87.47</v>
      </c>
      <c r="BM386">
        <v>13.12</v>
      </c>
      <c r="BN386">
        <v>100.59</v>
      </c>
      <c r="BO386">
        <v>100.59</v>
      </c>
      <c r="BQ386" t="s">
        <v>950</v>
      </c>
      <c r="BR386" t="s">
        <v>84</v>
      </c>
      <c r="BS386" s="3">
        <v>45980</v>
      </c>
      <c r="BT386" s="4">
        <v>0.44791666666666669</v>
      </c>
      <c r="BU386" t="s">
        <v>1268</v>
      </c>
      <c r="BV386" t="s">
        <v>86</v>
      </c>
      <c r="BY386">
        <v>11691.5</v>
      </c>
      <c r="BZ386" t="s">
        <v>126</v>
      </c>
      <c r="CC386" t="s">
        <v>247</v>
      </c>
      <c r="CD386">
        <v>9301</v>
      </c>
      <c r="CE386" t="s">
        <v>367</v>
      </c>
      <c r="CF386" s="3">
        <v>45981</v>
      </c>
      <c r="CI386">
        <v>2</v>
      </c>
      <c r="CJ386">
        <v>1</v>
      </c>
      <c r="CK386">
        <v>21</v>
      </c>
      <c r="CL386" t="s">
        <v>89</v>
      </c>
    </row>
    <row r="387" spans="1:90" x14ac:dyDescent="0.3">
      <c r="A387" t="s">
        <v>72</v>
      </c>
      <c r="B387" t="s">
        <v>73</v>
      </c>
      <c r="C387" t="s">
        <v>74</v>
      </c>
      <c r="E387" t="str">
        <f>"GAB2029903"</f>
        <v>GAB2029903</v>
      </c>
      <c r="F387" s="3">
        <v>45979</v>
      </c>
      <c r="G387">
        <v>202608</v>
      </c>
      <c r="H387" t="s">
        <v>75</v>
      </c>
      <c r="I387" t="s">
        <v>76</v>
      </c>
      <c r="J387" t="s">
        <v>77</v>
      </c>
      <c r="K387" t="s">
        <v>78</v>
      </c>
      <c r="L387" t="s">
        <v>195</v>
      </c>
      <c r="M387" t="s">
        <v>196</v>
      </c>
      <c r="N387" t="s">
        <v>1269</v>
      </c>
      <c r="O387" t="s">
        <v>124</v>
      </c>
      <c r="P387" t="str">
        <f>"INVOICE00041586 ORDGS038233   "</f>
        <v xml:space="preserve">INVOICE00041586 ORDGS038233   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26.73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1</v>
      </c>
      <c r="BI387">
        <v>0.2</v>
      </c>
      <c r="BJ387">
        <v>2.1</v>
      </c>
      <c r="BK387">
        <v>2.5</v>
      </c>
      <c r="BL387">
        <v>87.47</v>
      </c>
      <c r="BM387">
        <v>13.12</v>
      </c>
      <c r="BN387">
        <v>100.59</v>
      </c>
      <c r="BO387">
        <v>100.59</v>
      </c>
      <c r="BQ387" t="s">
        <v>1270</v>
      </c>
      <c r="BR387" t="s">
        <v>84</v>
      </c>
      <c r="BS387" s="3">
        <v>45980</v>
      </c>
      <c r="BT387" s="4">
        <v>0.39513888888888887</v>
      </c>
      <c r="BU387" t="s">
        <v>1271</v>
      </c>
      <c r="BV387" t="s">
        <v>86</v>
      </c>
      <c r="BY387">
        <v>10350.959999999999</v>
      </c>
      <c r="BZ387" t="s">
        <v>126</v>
      </c>
      <c r="CA387" t="s">
        <v>1272</v>
      </c>
      <c r="CC387" t="s">
        <v>196</v>
      </c>
      <c r="CD387">
        <v>1724</v>
      </c>
      <c r="CE387" t="s">
        <v>367</v>
      </c>
      <c r="CF387" s="3">
        <v>45980</v>
      </c>
      <c r="CI387">
        <v>1</v>
      </c>
      <c r="CJ387">
        <v>1</v>
      </c>
      <c r="CK387">
        <v>21</v>
      </c>
      <c r="CL387" t="s">
        <v>89</v>
      </c>
    </row>
    <row r="388" spans="1:90" x14ac:dyDescent="0.3">
      <c r="A388" t="s">
        <v>72</v>
      </c>
      <c r="B388" t="s">
        <v>73</v>
      </c>
      <c r="C388" t="s">
        <v>74</v>
      </c>
      <c r="E388" t="str">
        <f>"GAB2029907"</f>
        <v>GAB2029907</v>
      </c>
      <c r="F388" s="3">
        <v>45979</v>
      </c>
      <c r="G388">
        <v>202608</v>
      </c>
      <c r="H388" t="s">
        <v>75</v>
      </c>
      <c r="I388" t="s">
        <v>76</v>
      </c>
      <c r="J388" t="s">
        <v>77</v>
      </c>
      <c r="K388" t="s">
        <v>78</v>
      </c>
      <c r="L388" t="s">
        <v>230</v>
      </c>
      <c r="M388" t="s">
        <v>231</v>
      </c>
      <c r="N388" t="s">
        <v>1273</v>
      </c>
      <c r="O388" t="s">
        <v>124</v>
      </c>
      <c r="P388" t="str">
        <f>"INVOICE00041598 ORDGS037914   "</f>
        <v xml:space="preserve">INVOICE00041598 ORDGS037914   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26.73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1</v>
      </c>
      <c r="BI388">
        <v>0.2</v>
      </c>
      <c r="BJ388">
        <v>2.2000000000000002</v>
      </c>
      <c r="BK388">
        <v>2.5</v>
      </c>
      <c r="BL388">
        <v>87.47</v>
      </c>
      <c r="BM388">
        <v>13.12</v>
      </c>
      <c r="BN388">
        <v>100.59</v>
      </c>
      <c r="BO388">
        <v>100.59</v>
      </c>
      <c r="BQ388" t="s">
        <v>1274</v>
      </c>
      <c r="BR388" t="s">
        <v>84</v>
      </c>
      <c r="BS388" s="3">
        <v>45981</v>
      </c>
      <c r="BT388" s="4">
        <v>0.64375000000000004</v>
      </c>
      <c r="BU388" t="s">
        <v>993</v>
      </c>
      <c r="BV388" t="s">
        <v>89</v>
      </c>
      <c r="BY388">
        <v>11052.72</v>
      </c>
      <c r="BZ388" t="s">
        <v>126</v>
      </c>
      <c r="CA388" t="s">
        <v>994</v>
      </c>
      <c r="CC388" t="s">
        <v>231</v>
      </c>
      <c r="CD388" s="5" t="s">
        <v>235</v>
      </c>
      <c r="CE388" t="s">
        <v>367</v>
      </c>
      <c r="CI388">
        <v>1</v>
      </c>
      <c r="CJ388">
        <v>2</v>
      </c>
      <c r="CK388">
        <v>21</v>
      </c>
      <c r="CL388" t="s">
        <v>89</v>
      </c>
    </row>
    <row r="389" spans="1:90" x14ac:dyDescent="0.3">
      <c r="A389" t="s">
        <v>72</v>
      </c>
      <c r="B389" t="s">
        <v>73</v>
      </c>
      <c r="C389" t="s">
        <v>74</v>
      </c>
      <c r="E389" t="str">
        <f>"GAB2029909"</f>
        <v>GAB2029909</v>
      </c>
      <c r="F389" s="3">
        <v>45979</v>
      </c>
      <c r="G389">
        <v>202608</v>
      </c>
      <c r="H389" t="s">
        <v>75</v>
      </c>
      <c r="I389" t="s">
        <v>76</v>
      </c>
      <c r="J389" t="s">
        <v>77</v>
      </c>
      <c r="K389" t="s">
        <v>78</v>
      </c>
      <c r="L389" t="s">
        <v>75</v>
      </c>
      <c r="M389" t="s">
        <v>76</v>
      </c>
      <c r="N389" t="s">
        <v>520</v>
      </c>
      <c r="O389" t="s">
        <v>124</v>
      </c>
      <c r="P389" t="str">
        <f>"INVOICE00122842 CT098089      "</f>
        <v xml:space="preserve">INVOICE00122842 CT098089      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16.7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1</v>
      </c>
      <c r="BI389">
        <v>0.3</v>
      </c>
      <c r="BJ389">
        <v>2.1</v>
      </c>
      <c r="BK389">
        <v>3</v>
      </c>
      <c r="BL389">
        <v>54.66</v>
      </c>
      <c r="BM389">
        <v>8.1999999999999993</v>
      </c>
      <c r="BN389">
        <v>62.86</v>
      </c>
      <c r="BO389">
        <v>62.86</v>
      </c>
      <c r="BQ389" t="s">
        <v>1275</v>
      </c>
      <c r="BR389" t="s">
        <v>84</v>
      </c>
      <c r="BS389" s="3">
        <v>45980</v>
      </c>
      <c r="BT389" s="4">
        <v>0.43055555555555558</v>
      </c>
      <c r="BU389" t="s">
        <v>1276</v>
      </c>
      <c r="BV389" t="s">
        <v>86</v>
      </c>
      <c r="BY389">
        <v>10350.540000000001</v>
      </c>
      <c r="BZ389" t="s">
        <v>126</v>
      </c>
      <c r="CA389" t="s">
        <v>523</v>
      </c>
      <c r="CC389" t="s">
        <v>76</v>
      </c>
      <c r="CD389">
        <v>7550</v>
      </c>
      <c r="CE389" t="s">
        <v>814</v>
      </c>
      <c r="CF389" s="3">
        <v>45981</v>
      </c>
      <c r="CI389">
        <v>1</v>
      </c>
      <c r="CJ389">
        <v>1</v>
      </c>
      <c r="CK389">
        <v>22</v>
      </c>
      <c r="CL389" t="s">
        <v>89</v>
      </c>
    </row>
    <row r="390" spans="1:90" x14ac:dyDescent="0.3">
      <c r="A390" t="s">
        <v>72</v>
      </c>
      <c r="B390" t="s">
        <v>73</v>
      </c>
      <c r="C390" t="s">
        <v>74</v>
      </c>
      <c r="E390" t="str">
        <f>"GAB2029911"</f>
        <v>GAB2029911</v>
      </c>
      <c r="F390" s="3">
        <v>45979</v>
      </c>
      <c r="G390">
        <v>202608</v>
      </c>
      <c r="H390" t="s">
        <v>75</v>
      </c>
      <c r="I390" t="s">
        <v>76</v>
      </c>
      <c r="J390" t="s">
        <v>77</v>
      </c>
      <c r="K390" t="s">
        <v>78</v>
      </c>
      <c r="L390" t="s">
        <v>137</v>
      </c>
      <c r="M390" t="s">
        <v>138</v>
      </c>
      <c r="N390" t="s">
        <v>139</v>
      </c>
      <c r="O390" t="s">
        <v>124</v>
      </c>
      <c r="P390" t="str">
        <f>"INVOICE00122836 CT098342      "</f>
        <v xml:space="preserve">INVOICE00122836 CT098342      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50.78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1</v>
      </c>
      <c r="BI390">
        <v>0.4</v>
      </c>
      <c r="BJ390">
        <v>2.2000000000000002</v>
      </c>
      <c r="BK390">
        <v>2.5</v>
      </c>
      <c r="BL390">
        <v>166.2</v>
      </c>
      <c r="BM390">
        <v>24.93</v>
      </c>
      <c r="BN390">
        <v>191.13</v>
      </c>
      <c r="BO390">
        <v>191.13</v>
      </c>
      <c r="BR390" t="s">
        <v>84</v>
      </c>
      <c r="BS390" s="3">
        <v>45981</v>
      </c>
      <c r="BT390" s="4">
        <v>0.54027777777777775</v>
      </c>
      <c r="BU390" t="s">
        <v>140</v>
      </c>
      <c r="BV390" t="s">
        <v>86</v>
      </c>
      <c r="BY390">
        <v>11087.26</v>
      </c>
      <c r="BZ390" t="s">
        <v>126</v>
      </c>
      <c r="CA390" t="s">
        <v>141</v>
      </c>
      <c r="CC390" t="s">
        <v>138</v>
      </c>
      <c r="CD390" s="5" t="s">
        <v>142</v>
      </c>
      <c r="CE390" t="s">
        <v>814</v>
      </c>
      <c r="CF390" s="3">
        <v>45981</v>
      </c>
      <c r="CI390">
        <v>2</v>
      </c>
      <c r="CJ390">
        <v>2</v>
      </c>
      <c r="CK390">
        <v>23</v>
      </c>
      <c r="CL390" t="s">
        <v>89</v>
      </c>
    </row>
    <row r="391" spans="1:90" x14ac:dyDescent="0.3">
      <c r="A391" t="s">
        <v>72</v>
      </c>
      <c r="B391" t="s">
        <v>73</v>
      </c>
      <c r="C391" t="s">
        <v>74</v>
      </c>
      <c r="E391" t="str">
        <f>"GAB2029912"</f>
        <v>GAB2029912</v>
      </c>
      <c r="F391" s="3">
        <v>45979</v>
      </c>
      <c r="G391">
        <v>202608</v>
      </c>
      <c r="H391" t="s">
        <v>75</v>
      </c>
      <c r="I391" t="s">
        <v>76</v>
      </c>
      <c r="J391" t="s">
        <v>77</v>
      </c>
      <c r="K391" t="s">
        <v>78</v>
      </c>
      <c r="L391" t="s">
        <v>169</v>
      </c>
      <c r="M391" t="s">
        <v>170</v>
      </c>
      <c r="N391" t="s">
        <v>1087</v>
      </c>
      <c r="O391" t="s">
        <v>124</v>
      </c>
      <c r="P391" t="str">
        <f>"INVOICE00122837 CT098343      "</f>
        <v xml:space="preserve">INVOICE00122837 CT098343      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37.409999999999997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1</v>
      </c>
      <c r="BI391">
        <v>0.4</v>
      </c>
      <c r="BJ391">
        <v>3.2</v>
      </c>
      <c r="BK391">
        <v>3.5</v>
      </c>
      <c r="BL391">
        <v>122.43</v>
      </c>
      <c r="BM391">
        <v>18.36</v>
      </c>
      <c r="BN391">
        <v>140.79</v>
      </c>
      <c r="BO391">
        <v>140.79</v>
      </c>
      <c r="BQ391" t="s">
        <v>1088</v>
      </c>
      <c r="BR391" t="s">
        <v>84</v>
      </c>
      <c r="BS391" s="3">
        <v>45980</v>
      </c>
      <c r="BT391" s="4">
        <v>0.39652777777777776</v>
      </c>
      <c r="BU391" t="s">
        <v>392</v>
      </c>
      <c r="BV391" t="s">
        <v>86</v>
      </c>
      <c r="BY391">
        <v>16070.4</v>
      </c>
      <c r="BZ391" t="s">
        <v>126</v>
      </c>
      <c r="CA391" t="s">
        <v>393</v>
      </c>
      <c r="CC391" t="s">
        <v>170</v>
      </c>
      <c r="CD391">
        <v>2021</v>
      </c>
      <c r="CE391" t="s">
        <v>912</v>
      </c>
      <c r="CF391" s="3">
        <v>45980</v>
      </c>
      <c r="CI391">
        <v>1</v>
      </c>
      <c r="CJ391">
        <v>1</v>
      </c>
      <c r="CK391">
        <v>21</v>
      </c>
      <c r="CL391" t="s">
        <v>89</v>
      </c>
    </row>
    <row r="392" spans="1:90" x14ac:dyDescent="0.3">
      <c r="A392" t="s">
        <v>72</v>
      </c>
      <c r="B392" t="s">
        <v>73</v>
      </c>
      <c r="C392" t="s">
        <v>74</v>
      </c>
      <c r="E392" t="str">
        <f>"GAB2029918"</f>
        <v>GAB2029918</v>
      </c>
      <c r="F392" s="3">
        <v>45979</v>
      </c>
      <c r="G392">
        <v>202608</v>
      </c>
      <c r="H392" t="s">
        <v>75</v>
      </c>
      <c r="I392" t="s">
        <v>76</v>
      </c>
      <c r="J392" t="s">
        <v>77</v>
      </c>
      <c r="K392" t="s">
        <v>78</v>
      </c>
      <c r="L392" t="s">
        <v>162</v>
      </c>
      <c r="M392" t="s">
        <v>163</v>
      </c>
      <c r="N392" t="s">
        <v>164</v>
      </c>
      <c r="O392" t="s">
        <v>124</v>
      </c>
      <c r="P392" t="str">
        <f>"INVOICE0041599 ORDGS038251    "</f>
        <v xml:space="preserve">INVOICE0041599 ORDGS038251    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21.38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1</v>
      </c>
      <c r="BI392">
        <v>0.2</v>
      </c>
      <c r="BJ392">
        <v>1.7</v>
      </c>
      <c r="BK392">
        <v>2</v>
      </c>
      <c r="BL392">
        <v>69.98</v>
      </c>
      <c r="BM392">
        <v>10.5</v>
      </c>
      <c r="BN392">
        <v>80.48</v>
      </c>
      <c r="BO392">
        <v>80.48</v>
      </c>
      <c r="BQ392" t="s">
        <v>165</v>
      </c>
      <c r="BR392" t="s">
        <v>84</v>
      </c>
      <c r="BS392" s="3">
        <v>45980</v>
      </c>
      <c r="BT392" s="4">
        <v>0.39305555555555555</v>
      </c>
      <c r="BU392" t="s">
        <v>1277</v>
      </c>
      <c r="BV392" t="s">
        <v>86</v>
      </c>
      <c r="BY392">
        <v>8518.65</v>
      </c>
      <c r="BZ392" t="s">
        <v>126</v>
      </c>
      <c r="CA392" t="s">
        <v>1278</v>
      </c>
      <c r="CC392" t="s">
        <v>163</v>
      </c>
      <c r="CD392">
        <v>6000</v>
      </c>
      <c r="CE392" t="s">
        <v>338</v>
      </c>
      <c r="CF392" s="3">
        <v>45980</v>
      </c>
      <c r="CI392">
        <v>2</v>
      </c>
      <c r="CJ392">
        <v>1</v>
      </c>
      <c r="CK392">
        <v>21</v>
      </c>
      <c r="CL392" t="s">
        <v>89</v>
      </c>
    </row>
    <row r="393" spans="1:90" x14ac:dyDescent="0.3">
      <c r="A393" t="s">
        <v>72</v>
      </c>
      <c r="B393" t="s">
        <v>73</v>
      </c>
      <c r="C393" t="s">
        <v>74</v>
      </c>
      <c r="E393" t="str">
        <f>"GAB2029919"</f>
        <v>GAB2029919</v>
      </c>
      <c r="F393" s="3">
        <v>45979</v>
      </c>
      <c r="G393">
        <v>202608</v>
      </c>
      <c r="H393" t="s">
        <v>75</v>
      </c>
      <c r="I393" t="s">
        <v>76</v>
      </c>
      <c r="J393" t="s">
        <v>77</v>
      </c>
      <c r="K393" t="s">
        <v>78</v>
      </c>
      <c r="L393" t="s">
        <v>121</v>
      </c>
      <c r="M393" t="s">
        <v>122</v>
      </c>
      <c r="N393" t="s">
        <v>123</v>
      </c>
      <c r="O393" t="s">
        <v>124</v>
      </c>
      <c r="P393" t="str">
        <f>"INVOICE00122840 CT097983      "</f>
        <v xml:space="preserve">INVOICE00122840 CT097983      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32.07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1</v>
      </c>
      <c r="BI393">
        <v>0.2</v>
      </c>
      <c r="BJ393">
        <v>2.8</v>
      </c>
      <c r="BK393">
        <v>3</v>
      </c>
      <c r="BL393">
        <v>104.95</v>
      </c>
      <c r="BM393">
        <v>15.74</v>
      </c>
      <c r="BN393">
        <v>120.69</v>
      </c>
      <c r="BO393">
        <v>120.69</v>
      </c>
      <c r="BR393" t="s">
        <v>84</v>
      </c>
      <c r="BS393" s="3">
        <v>45981</v>
      </c>
      <c r="BT393" s="4">
        <v>0.3888888888888889</v>
      </c>
      <c r="BU393" t="s">
        <v>125</v>
      </c>
      <c r="BV393" t="s">
        <v>86</v>
      </c>
      <c r="BY393">
        <v>13782.6</v>
      </c>
      <c r="BZ393" t="s">
        <v>126</v>
      </c>
      <c r="CA393" t="s">
        <v>127</v>
      </c>
      <c r="CC393" t="s">
        <v>122</v>
      </c>
      <c r="CD393">
        <v>1200</v>
      </c>
      <c r="CE393" t="s">
        <v>367</v>
      </c>
      <c r="CF393" s="3">
        <v>45983</v>
      </c>
      <c r="CI393">
        <v>2</v>
      </c>
      <c r="CJ393">
        <v>2</v>
      </c>
      <c r="CK393">
        <v>21</v>
      </c>
      <c r="CL393" t="s">
        <v>89</v>
      </c>
    </row>
    <row r="394" spans="1:90" x14ac:dyDescent="0.3">
      <c r="A394" t="s">
        <v>72</v>
      </c>
      <c r="B394" t="s">
        <v>73</v>
      </c>
      <c r="C394" t="s">
        <v>74</v>
      </c>
      <c r="E394" t="str">
        <f>"GAB2029922"</f>
        <v>GAB2029922</v>
      </c>
      <c r="F394" s="3">
        <v>45979</v>
      </c>
      <c r="G394">
        <v>202608</v>
      </c>
      <c r="H394" t="s">
        <v>75</v>
      </c>
      <c r="I394" t="s">
        <v>76</v>
      </c>
      <c r="J394" t="s">
        <v>77</v>
      </c>
      <c r="K394" t="s">
        <v>78</v>
      </c>
      <c r="L394" t="s">
        <v>79</v>
      </c>
      <c r="M394" t="s">
        <v>80</v>
      </c>
      <c r="N394" t="s">
        <v>1037</v>
      </c>
      <c r="O394" t="s">
        <v>124</v>
      </c>
      <c r="P394" t="str">
        <f>"MICHELLE                      "</f>
        <v xml:space="preserve">MICHELLE                      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21.38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1</v>
      </c>
      <c r="BI394">
        <v>0.1</v>
      </c>
      <c r="BJ394">
        <v>1</v>
      </c>
      <c r="BK394">
        <v>1</v>
      </c>
      <c r="BL394">
        <v>69.98</v>
      </c>
      <c r="BM394">
        <v>10.5</v>
      </c>
      <c r="BN394">
        <v>80.48</v>
      </c>
      <c r="BO394">
        <v>80.48</v>
      </c>
      <c r="BQ394" t="s">
        <v>1279</v>
      </c>
      <c r="BR394" t="s">
        <v>84</v>
      </c>
      <c r="BS394" s="3">
        <v>45980</v>
      </c>
      <c r="BT394" s="4">
        <v>0.35347222222222224</v>
      </c>
      <c r="BU394" t="s">
        <v>323</v>
      </c>
      <c r="BV394" t="s">
        <v>86</v>
      </c>
      <c r="BY394">
        <v>5131.28</v>
      </c>
      <c r="BZ394" t="s">
        <v>126</v>
      </c>
      <c r="CA394">
        <v>9512275238082</v>
      </c>
      <c r="CC394" t="s">
        <v>80</v>
      </c>
      <c r="CD394" s="5" t="s">
        <v>87</v>
      </c>
      <c r="CE394" t="s">
        <v>493</v>
      </c>
      <c r="CF394" s="3">
        <v>45980</v>
      </c>
      <c r="CI394">
        <v>1</v>
      </c>
      <c r="CJ394">
        <v>1</v>
      </c>
      <c r="CK394">
        <v>21</v>
      </c>
      <c r="CL394" t="s">
        <v>89</v>
      </c>
    </row>
    <row r="395" spans="1:90" x14ac:dyDescent="0.3">
      <c r="A395" t="s">
        <v>72</v>
      </c>
      <c r="B395" t="s">
        <v>73</v>
      </c>
      <c r="C395" t="s">
        <v>74</v>
      </c>
      <c r="E395" t="str">
        <f>"GAB2029923"</f>
        <v>GAB2029923</v>
      </c>
      <c r="F395" s="3">
        <v>45979</v>
      </c>
      <c r="G395">
        <v>202608</v>
      </c>
      <c r="H395" t="s">
        <v>75</v>
      </c>
      <c r="I395" t="s">
        <v>76</v>
      </c>
      <c r="J395" t="s">
        <v>77</v>
      </c>
      <c r="K395" t="s">
        <v>78</v>
      </c>
      <c r="L395" t="s">
        <v>169</v>
      </c>
      <c r="M395" t="s">
        <v>170</v>
      </c>
      <c r="N395" t="s">
        <v>930</v>
      </c>
      <c r="O395" t="s">
        <v>124</v>
      </c>
      <c r="P395" t="str">
        <f>"INVOICE00122849 CT098346      "</f>
        <v xml:space="preserve">INVOICE00122849 CT098346      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26.73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1</v>
      </c>
      <c r="BI395">
        <v>0.2</v>
      </c>
      <c r="BJ395">
        <v>2.4</v>
      </c>
      <c r="BK395">
        <v>2.5</v>
      </c>
      <c r="BL395">
        <v>87.47</v>
      </c>
      <c r="BM395">
        <v>13.12</v>
      </c>
      <c r="BN395">
        <v>100.59</v>
      </c>
      <c r="BO395">
        <v>100.59</v>
      </c>
      <c r="BQ395" t="s">
        <v>931</v>
      </c>
      <c r="BR395" t="s">
        <v>84</v>
      </c>
      <c r="BS395" s="3">
        <v>45980</v>
      </c>
      <c r="BT395" s="4">
        <v>0.43680555555555556</v>
      </c>
      <c r="BU395" t="s">
        <v>1280</v>
      </c>
      <c r="BV395" t="s">
        <v>86</v>
      </c>
      <c r="BY395">
        <v>11943.75</v>
      </c>
      <c r="BZ395" t="s">
        <v>126</v>
      </c>
      <c r="CA395" t="s">
        <v>933</v>
      </c>
      <c r="CC395" t="s">
        <v>170</v>
      </c>
      <c r="CD395">
        <v>2196</v>
      </c>
      <c r="CE395" t="s">
        <v>367</v>
      </c>
      <c r="CF395" s="3">
        <v>45981</v>
      </c>
      <c r="CI395">
        <v>1</v>
      </c>
      <c r="CJ395">
        <v>1</v>
      </c>
      <c r="CK395">
        <v>21</v>
      </c>
      <c r="CL395" t="s">
        <v>89</v>
      </c>
    </row>
    <row r="396" spans="1:90" x14ac:dyDescent="0.3">
      <c r="A396" t="s">
        <v>72</v>
      </c>
      <c r="B396" t="s">
        <v>73</v>
      </c>
      <c r="C396" t="s">
        <v>74</v>
      </c>
      <c r="E396" t="str">
        <f>"GAB2029924"</f>
        <v>GAB2029924</v>
      </c>
      <c r="F396" s="3">
        <v>45979</v>
      </c>
      <c r="G396">
        <v>202608</v>
      </c>
      <c r="H396" t="s">
        <v>75</v>
      </c>
      <c r="I396" t="s">
        <v>76</v>
      </c>
      <c r="J396" t="s">
        <v>77</v>
      </c>
      <c r="K396" t="s">
        <v>78</v>
      </c>
      <c r="L396" t="s">
        <v>129</v>
      </c>
      <c r="M396" t="s">
        <v>130</v>
      </c>
      <c r="N396" t="s">
        <v>131</v>
      </c>
      <c r="O396" t="s">
        <v>124</v>
      </c>
      <c r="P396" t="str">
        <f>"INVOICE001225850 CT098347     "</f>
        <v xml:space="preserve">INVOICE001225850 CT098347     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26.73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1</v>
      </c>
      <c r="BI396">
        <v>0.2</v>
      </c>
      <c r="BJ396">
        <v>2.1</v>
      </c>
      <c r="BK396">
        <v>2.5</v>
      </c>
      <c r="BL396">
        <v>87.47</v>
      </c>
      <c r="BM396">
        <v>13.12</v>
      </c>
      <c r="BN396">
        <v>100.59</v>
      </c>
      <c r="BO396">
        <v>100.59</v>
      </c>
      <c r="BR396" t="s">
        <v>84</v>
      </c>
      <c r="BS396" s="3">
        <v>45981</v>
      </c>
      <c r="BT396" s="4">
        <v>0.38611111111111113</v>
      </c>
      <c r="BU396" t="s">
        <v>1281</v>
      </c>
      <c r="BV396" t="s">
        <v>86</v>
      </c>
      <c r="BY396">
        <v>10452.959999999999</v>
      </c>
      <c r="BZ396" t="s">
        <v>126</v>
      </c>
      <c r="CA396" t="s">
        <v>1282</v>
      </c>
      <c r="CC396" t="s">
        <v>130</v>
      </c>
      <c r="CD396" s="5" t="s">
        <v>135</v>
      </c>
      <c r="CE396" t="s">
        <v>367</v>
      </c>
      <c r="CI396">
        <v>2</v>
      </c>
      <c r="CJ396">
        <v>2</v>
      </c>
      <c r="CK396">
        <v>21</v>
      </c>
      <c r="CL396" t="s">
        <v>89</v>
      </c>
    </row>
    <row r="397" spans="1:90" x14ac:dyDescent="0.3">
      <c r="A397" t="s">
        <v>72</v>
      </c>
      <c r="B397" t="s">
        <v>73</v>
      </c>
      <c r="C397" t="s">
        <v>74</v>
      </c>
      <c r="E397" t="str">
        <f>"GAB2029926"</f>
        <v>GAB2029926</v>
      </c>
      <c r="F397" s="3">
        <v>45979</v>
      </c>
      <c r="G397">
        <v>202608</v>
      </c>
      <c r="H397" t="s">
        <v>75</v>
      </c>
      <c r="I397" t="s">
        <v>76</v>
      </c>
      <c r="J397" t="s">
        <v>77</v>
      </c>
      <c r="K397" t="s">
        <v>78</v>
      </c>
      <c r="L397" t="s">
        <v>766</v>
      </c>
      <c r="M397" t="s">
        <v>767</v>
      </c>
      <c r="N397" t="s">
        <v>1283</v>
      </c>
      <c r="O397" t="s">
        <v>124</v>
      </c>
      <c r="P397" t="str">
        <f>"INVOICE00122851 CT098348      "</f>
        <v xml:space="preserve">INVOICE00122851 CT098348      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41.43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1</v>
      </c>
      <c r="BI397">
        <v>0.3</v>
      </c>
      <c r="BJ397">
        <v>2</v>
      </c>
      <c r="BK397">
        <v>2</v>
      </c>
      <c r="BL397">
        <v>135.59</v>
      </c>
      <c r="BM397">
        <v>20.34</v>
      </c>
      <c r="BN397">
        <v>155.93</v>
      </c>
      <c r="BO397">
        <v>155.93</v>
      </c>
      <c r="BQ397" t="s">
        <v>1284</v>
      </c>
      <c r="BR397" t="s">
        <v>84</v>
      </c>
      <c r="BS397" s="3">
        <v>45980</v>
      </c>
      <c r="BT397" s="4">
        <v>0.43402777777777779</v>
      </c>
      <c r="BU397" t="s">
        <v>1285</v>
      </c>
      <c r="BV397" t="s">
        <v>86</v>
      </c>
      <c r="BY397">
        <v>9990</v>
      </c>
      <c r="BZ397" t="s">
        <v>126</v>
      </c>
      <c r="CA397" t="s">
        <v>771</v>
      </c>
      <c r="CC397" t="s">
        <v>767</v>
      </c>
      <c r="CD397">
        <v>2300</v>
      </c>
      <c r="CE397" t="s">
        <v>843</v>
      </c>
      <c r="CF397" s="3">
        <v>45982</v>
      </c>
      <c r="CI397">
        <v>1</v>
      </c>
      <c r="CJ397">
        <v>1</v>
      </c>
      <c r="CK397">
        <v>23</v>
      </c>
      <c r="CL397" t="s">
        <v>89</v>
      </c>
    </row>
    <row r="398" spans="1:90" x14ac:dyDescent="0.3">
      <c r="A398" t="s">
        <v>72</v>
      </c>
      <c r="B398" t="s">
        <v>73</v>
      </c>
      <c r="C398" t="s">
        <v>74</v>
      </c>
      <c r="E398" t="str">
        <f>"GAB2029931"</f>
        <v>GAB2029931</v>
      </c>
      <c r="F398" s="3">
        <v>45979</v>
      </c>
      <c r="G398">
        <v>202608</v>
      </c>
      <c r="H398" t="s">
        <v>75</v>
      </c>
      <c r="I398" t="s">
        <v>76</v>
      </c>
      <c r="J398" t="s">
        <v>77</v>
      </c>
      <c r="K398" t="s">
        <v>78</v>
      </c>
      <c r="L398" t="s">
        <v>230</v>
      </c>
      <c r="M398" t="s">
        <v>231</v>
      </c>
      <c r="N398" t="s">
        <v>1286</v>
      </c>
      <c r="O398" t="s">
        <v>124</v>
      </c>
      <c r="P398" t="str">
        <f>"INVOICE 00122865 CT098350     "</f>
        <v xml:space="preserve">INVOICE 00122865 CT098350     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64.12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1</v>
      </c>
      <c r="BI398">
        <v>1.4</v>
      </c>
      <c r="BJ398">
        <v>5.9</v>
      </c>
      <c r="BK398">
        <v>6</v>
      </c>
      <c r="BL398">
        <v>209.84</v>
      </c>
      <c r="BM398">
        <v>31.48</v>
      </c>
      <c r="BN398">
        <v>241.32</v>
      </c>
      <c r="BO398">
        <v>241.32</v>
      </c>
      <c r="BQ398" t="s">
        <v>1287</v>
      </c>
      <c r="BR398" t="s">
        <v>84</v>
      </c>
      <c r="BS398" s="3">
        <v>45980</v>
      </c>
      <c r="BT398" s="4">
        <v>0.63263888888888886</v>
      </c>
      <c r="BU398" t="s">
        <v>1287</v>
      </c>
      <c r="BV398" t="s">
        <v>89</v>
      </c>
      <c r="BW398" t="s">
        <v>562</v>
      </c>
      <c r="BX398" t="s">
        <v>1216</v>
      </c>
      <c r="BY398">
        <v>29449.98</v>
      </c>
      <c r="BZ398" t="s">
        <v>126</v>
      </c>
      <c r="CA398">
        <v>8810046287086</v>
      </c>
      <c r="CC398" t="s">
        <v>231</v>
      </c>
      <c r="CD398" s="5" t="s">
        <v>382</v>
      </c>
      <c r="CE398" t="s">
        <v>1288</v>
      </c>
      <c r="CF398" s="3">
        <v>45980</v>
      </c>
      <c r="CI398">
        <v>1</v>
      </c>
      <c r="CJ398">
        <v>1</v>
      </c>
      <c r="CK398">
        <v>21</v>
      </c>
      <c r="CL398" t="s">
        <v>89</v>
      </c>
    </row>
    <row r="399" spans="1:90" x14ac:dyDescent="0.3">
      <c r="A399" t="s">
        <v>72</v>
      </c>
      <c r="B399" t="s">
        <v>73</v>
      </c>
      <c r="C399" t="s">
        <v>74</v>
      </c>
      <c r="E399" t="str">
        <f>"GAB2029932"</f>
        <v>GAB2029932</v>
      </c>
      <c r="F399" s="3">
        <v>45979</v>
      </c>
      <c r="G399">
        <v>202608</v>
      </c>
      <c r="H399" t="s">
        <v>75</v>
      </c>
      <c r="I399" t="s">
        <v>76</v>
      </c>
      <c r="J399" t="s">
        <v>77</v>
      </c>
      <c r="K399" t="s">
        <v>78</v>
      </c>
      <c r="L399" t="s">
        <v>394</v>
      </c>
      <c r="M399" t="s">
        <v>395</v>
      </c>
      <c r="N399" t="s">
        <v>677</v>
      </c>
      <c r="O399" t="s">
        <v>124</v>
      </c>
      <c r="P399" t="str">
        <f>"INVOICE 00041623 ORDGS038275  "</f>
        <v xml:space="preserve">INVOICE 00041623 ORDGS038275  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60.14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1</v>
      </c>
      <c r="BI399">
        <v>0.4</v>
      </c>
      <c r="BJ399">
        <v>2.8</v>
      </c>
      <c r="BK399">
        <v>3</v>
      </c>
      <c r="BL399">
        <v>196.82</v>
      </c>
      <c r="BM399">
        <v>29.52</v>
      </c>
      <c r="BN399">
        <v>226.34</v>
      </c>
      <c r="BO399">
        <v>226.34</v>
      </c>
      <c r="BQ399" t="s">
        <v>678</v>
      </c>
      <c r="BR399" t="s">
        <v>84</v>
      </c>
      <c r="BS399" s="3">
        <v>45980</v>
      </c>
      <c r="BT399" s="4">
        <v>0.40208333333333335</v>
      </c>
      <c r="BU399" t="s">
        <v>1289</v>
      </c>
      <c r="BV399" t="s">
        <v>86</v>
      </c>
      <c r="BY399">
        <v>13944.42</v>
      </c>
      <c r="BZ399" t="s">
        <v>126</v>
      </c>
      <c r="CA399" t="s">
        <v>398</v>
      </c>
      <c r="CC399" t="s">
        <v>395</v>
      </c>
      <c r="CD399" s="5" t="s">
        <v>399</v>
      </c>
      <c r="CE399" t="s">
        <v>383</v>
      </c>
      <c r="CF399" s="3">
        <v>45981</v>
      </c>
      <c r="CI399">
        <v>2</v>
      </c>
      <c r="CJ399">
        <v>1</v>
      </c>
      <c r="CK399">
        <v>23</v>
      </c>
      <c r="CL399" t="s">
        <v>89</v>
      </c>
    </row>
    <row r="400" spans="1:90" x14ac:dyDescent="0.3">
      <c r="A400" t="s">
        <v>72</v>
      </c>
      <c r="B400" t="s">
        <v>73</v>
      </c>
      <c r="C400" t="s">
        <v>74</v>
      </c>
      <c r="E400" t="str">
        <f>"GAB2029933"</f>
        <v>GAB2029933</v>
      </c>
      <c r="F400" s="3">
        <v>45979</v>
      </c>
      <c r="G400">
        <v>202608</v>
      </c>
      <c r="H400" t="s">
        <v>75</v>
      </c>
      <c r="I400" t="s">
        <v>76</v>
      </c>
      <c r="J400" t="s">
        <v>77</v>
      </c>
      <c r="K400" t="s">
        <v>78</v>
      </c>
      <c r="L400" t="s">
        <v>155</v>
      </c>
      <c r="M400" t="s">
        <v>156</v>
      </c>
      <c r="N400" t="s">
        <v>157</v>
      </c>
      <c r="O400" t="s">
        <v>124</v>
      </c>
      <c r="P400" t="str">
        <f>"INVOICE 00041601 ORDGS038258  "</f>
        <v xml:space="preserve">INVOICE 00041601 ORDGS038258  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26.73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1</v>
      </c>
      <c r="BI400">
        <v>0.3</v>
      </c>
      <c r="BJ400">
        <v>2.2000000000000002</v>
      </c>
      <c r="BK400">
        <v>2.5</v>
      </c>
      <c r="BL400">
        <v>87.47</v>
      </c>
      <c r="BM400">
        <v>13.12</v>
      </c>
      <c r="BN400">
        <v>100.59</v>
      </c>
      <c r="BO400">
        <v>100.59</v>
      </c>
      <c r="BQ400" t="s">
        <v>158</v>
      </c>
      <c r="BR400" t="s">
        <v>84</v>
      </c>
      <c r="BS400" s="3">
        <v>45980</v>
      </c>
      <c r="BT400" s="4">
        <v>0.32916666666666666</v>
      </c>
      <c r="BU400" t="s">
        <v>159</v>
      </c>
      <c r="BV400" t="s">
        <v>86</v>
      </c>
      <c r="BY400">
        <v>11017.08</v>
      </c>
      <c r="BZ400" t="s">
        <v>126</v>
      </c>
      <c r="CA400" t="s">
        <v>964</v>
      </c>
      <c r="CC400" t="s">
        <v>156</v>
      </c>
      <c r="CD400">
        <v>1416</v>
      </c>
      <c r="CE400" t="s">
        <v>128</v>
      </c>
      <c r="CF400" s="3">
        <v>45981</v>
      </c>
      <c r="CI400">
        <v>1</v>
      </c>
      <c r="CJ400">
        <v>1</v>
      </c>
      <c r="CK400">
        <v>21</v>
      </c>
      <c r="CL400" t="s">
        <v>89</v>
      </c>
    </row>
    <row r="401" spans="1:90" x14ac:dyDescent="0.3">
      <c r="A401" t="s">
        <v>72</v>
      </c>
      <c r="B401" t="s">
        <v>73</v>
      </c>
      <c r="C401" t="s">
        <v>74</v>
      </c>
      <c r="E401" t="str">
        <f>"GAB2029934"</f>
        <v>GAB2029934</v>
      </c>
      <c r="F401" s="3">
        <v>45979</v>
      </c>
      <c r="G401">
        <v>202608</v>
      </c>
      <c r="H401" t="s">
        <v>75</v>
      </c>
      <c r="I401" t="s">
        <v>76</v>
      </c>
      <c r="J401" t="s">
        <v>77</v>
      </c>
      <c r="K401" t="s">
        <v>78</v>
      </c>
      <c r="L401" t="s">
        <v>628</v>
      </c>
      <c r="M401" t="s">
        <v>629</v>
      </c>
      <c r="N401" t="s">
        <v>630</v>
      </c>
      <c r="O401" t="s">
        <v>124</v>
      </c>
      <c r="P401" t="str">
        <f>"INVOICE 00041635 ORDGS038282  "</f>
        <v xml:space="preserve">INVOICE 00041635 ORDGS038282  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21.38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1</v>
      </c>
      <c r="BI401">
        <v>0.3</v>
      </c>
      <c r="BJ401">
        <v>1.9</v>
      </c>
      <c r="BK401">
        <v>2</v>
      </c>
      <c r="BL401">
        <v>69.98</v>
      </c>
      <c r="BM401">
        <v>10.5</v>
      </c>
      <c r="BN401">
        <v>80.48</v>
      </c>
      <c r="BO401">
        <v>80.48</v>
      </c>
      <c r="BQ401" t="s">
        <v>380</v>
      </c>
      <c r="BR401" t="s">
        <v>84</v>
      </c>
      <c r="BS401" s="3">
        <v>45980</v>
      </c>
      <c r="BT401" s="4">
        <v>0.56666666666666665</v>
      </c>
      <c r="BU401" t="s">
        <v>1290</v>
      </c>
      <c r="BV401" t="s">
        <v>86</v>
      </c>
      <c r="BY401">
        <v>9631.44</v>
      </c>
      <c r="BZ401" t="s">
        <v>126</v>
      </c>
      <c r="CA401" t="s">
        <v>632</v>
      </c>
      <c r="CC401" t="s">
        <v>629</v>
      </c>
      <c r="CD401">
        <v>6230</v>
      </c>
      <c r="CE401" t="s">
        <v>128</v>
      </c>
      <c r="CF401" s="3">
        <v>45980</v>
      </c>
      <c r="CI401">
        <v>2</v>
      </c>
      <c r="CJ401">
        <v>1</v>
      </c>
      <c r="CK401">
        <v>21</v>
      </c>
      <c r="CL401" t="s">
        <v>89</v>
      </c>
    </row>
    <row r="402" spans="1:90" x14ac:dyDescent="0.3">
      <c r="A402" t="s">
        <v>72</v>
      </c>
      <c r="B402" t="s">
        <v>73</v>
      </c>
      <c r="C402" t="s">
        <v>74</v>
      </c>
      <c r="E402" t="str">
        <f>"GAB2029935"</f>
        <v>GAB2029935</v>
      </c>
      <c r="F402" s="3">
        <v>45979</v>
      </c>
      <c r="G402">
        <v>202608</v>
      </c>
      <c r="H402" t="s">
        <v>75</v>
      </c>
      <c r="I402" t="s">
        <v>76</v>
      </c>
      <c r="J402" t="s">
        <v>77</v>
      </c>
      <c r="K402" t="s">
        <v>78</v>
      </c>
      <c r="L402" t="s">
        <v>169</v>
      </c>
      <c r="M402" t="s">
        <v>170</v>
      </c>
      <c r="N402" t="s">
        <v>171</v>
      </c>
      <c r="O402" t="s">
        <v>124</v>
      </c>
      <c r="P402" t="str">
        <f>"INVOICE 00041634 ORDGS038270  "</f>
        <v xml:space="preserve">INVOICE 00041634 ORDGS038270  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26.73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1</v>
      </c>
      <c r="BI402">
        <v>0.3</v>
      </c>
      <c r="BJ402">
        <v>2.2999999999999998</v>
      </c>
      <c r="BK402">
        <v>2.5</v>
      </c>
      <c r="BL402">
        <v>87.47</v>
      </c>
      <c r="BM402">
        <v>13.12</v>
      </c>
      <c r="BN402">
        <v>100.59</v>
      </c>
      <c r="BO402">
        <v>100.59</v>
      </c>
      <c r="BQ402" t="s">
        <v>1291</v>
      </c>
      <c r="BR402" t="s">
        <v>84</v>
      </c>
      <c r="BS402" s="3">
        <v>45980</v>
      </c>
      <c r="BT402" s="4">
        <v>0.3840277777777778</v>
      </c>
      <c r="BU402" t="s">
        <v>1292</v>
      </c>
      <c r="BV402" t="s">
        <v>86</v>
      </c>
      <c r="BY402">
        <v>11634.21</v>
      </c>
      <c r="BZ402" t="s">
        <v>126</v>
      </c>
      <c r="CA402" t="s">
        <v>1293</v>
      </c>
      <c r="CC402" t="s">
        <v>170</v>
      </c>
      <c r="CD402">
        <v>2007</v>
      </c>
      <c r="CE402" t="s">
        <v>128</v>
      </c>
      <c r="CF402" s="3">
        <v>45980</v>
      </c>
      <c r="CI402">
        <v>1</v>
      </c>
      <c r="CJ402">
        <v>1</v>
      </c>
      <c r="CK402">
        <v>21</v>
      </c>
      <c r="CL402" t="s">
        <v>89</v>
      </c>
    </row>
    <row r="403" spans="1:90" x14ac:dyDescent="0.3">
      <c r="A403" t="s">
        <v>72</v>
      </c>
      <c r="B403" t="s">
        <v>73</v>
      </c>
      <c r="C403" t="s">
        <v>74</v>
      </c>
      <c r="E403" t="str">
        <f>"GAB2029937"</f>
        <v>GAB2029937</v>
      </c>
      <c r="F403" s="3">
        <v>45979</v>
      </c>
      <c r="G403">
        <v>202608</v>
      </c>
      <c r="H403" t="s">
        <v>75</v>
      </c>
      <c r="I403" t="s">
        <v>76</v>
      </c>
      <c r="J403" t="s">
        <v>77</v>
      </c>
      <c r="K403" t="s">
        <v>78</v>
      </c>
      <c r="L403" t="s">
        <v>115</v>
      </c>
      <c r="M403" t="s">
        <v>116</v>
      </c>
      <c r="N403" t="s">
        <v>117</v>
      </c>
      <c r="O403" t="s">
        <v>124</v>
      </c>
      <c r="P403" t="str">
        <f>"INVOICE 00122862 CT097989     "</f>
        <v xml:space="preserve">INVOICE 00122862 CT097989     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41.43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1</v>
      </c>
      <c r="BI403">
        <v>0.2</v>
      </c>
      <c r="BJ403">
        <v>2</v>
      </c>
      <c r="BK403">
        <v>2</v>
      </c>
      <c r="BL403">
        <v>135.59</v>
      </c>
      <c r="BM403">
        <v>20.34</v>
      </c>
      <c r="BN403">
        <v>155.93</v>
      </c>
      <c r="BO403">
        <v>155.93</v>
      </c>
      <c r="BQ403" t="s">
        <v>1294</v>
      </c>
      <c r="BR403" t="s">
        <v>84</v>
      </c>
      <c r="BS403" s="3">
        <v>45980</v>
      </c>
      <c r="BT403" s="4">
        <v>0.61944444444444446</v>
      </c>
      <c r="BU403" t="s">
        <v>1295</v>
      </c>
      <c r="BV403" t="s">
        <v>86</v>
      </c>
      <c r="BY403">
        <v>9826.8799999999992</v>
      </c>
      <c r="BZ403" t="s">
        <v>126</v>
      </c>
      <c r="CC403" t="s">
        <v>116</v>
      </c>
      <c r="CD403">
        <v>3100</v>
      </c>
      <c r="CE403" t="s">
        <v>154</v>
      </c>
      <c r="CF403" s="3">
        <v>45981</v>
      </c>
      <c r="CI403">
        <v>2</v>
      </c>
      <c r="CJ403">
        <v>1</v>
      </c>
      <c r="CK403">
        <v>23</v>
      </c>
      <c r="CL403" t="s">
        <v>89</v>
      </c>
    </row>
    <row r="404" spans="1:90" x14ac:dyDescent="0.3">
      <c r="A404" t="s">
        <v>72</v>
      </c>
      <c r="B404" t="s">
        <v>73</v>
      </c>
      <c r="C404" t="s">
        <v>74</v>
      </c>
      <c r="E404" t="str">
        <f>"GAB2029939"</f>
        <v>GAB2029939</v>
      </c>
      <c r="F404" s="3">
        <v>45979</v>
      </c>
      <c r="G404">
        <v>202608</v>
      </c>
      <c r="H404" t="s">
        <v>75</v>
      </c>
      <c r="I404" t="s">
        <v>76</v>
      </c>
      <c r="J404" t="s">
        <v>77</v>
      </c>
      <c r="K404" t="s">
        <v>78</v>
      </c>
      <c r="L404" t="s">
        <v>121</v>
      </c>
      <c r="M404" t="s">
        <v>122</v>
      </c>
      <c r="N404" t="s">
        <v>663</v>
      </c>
      <c r="O404" t="s">
        <v>124</v>
      </c>
      <c r="P404" t="str">
        <f>"INVOICE 00122867 CT098115     "</f>
        <v xml:space="preserve">INVOICE 00122867 CT098115     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26.73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1</v>
      </c>
      <c r="BI404">
        <v>0.2</v>
      </c>
      <c r="BJ404">
        <v>2.2999999999999998</v>
      </c>
      <c r="BK404">
        <v>2.5</v>
      </c>
      <c r="BL404">
        <v>87.47</v>
      </c>
      <c r="BM404">
        <v>13.12</v>
      </c>
      <c r="BN404">
        <v>100.59</v>
      </c>
      <c r="BO404">
        <v>100.59</v>
      </c>
      <c r="BQ404" t="s">
        <v>664</v>
      </c>
      <c r="BR404" t="s">
        <v>84</v>
      </c>
      <c r="BS404" s="3">
        <v>45981</v>
      </c>
      <c r="BT404" s="4">
        <v>0.39930555555555558</v>
      </c>
      <c r="BU404" t="s">
        <v>665</v>
      </c>
      <c r="BV404" t="s">
        <v>86</v>
      </c>
      <c r="BY404">
        <v>11271.69</v>
      </c>
      <c r="BZ404" t="s">
        <v>126</v>
      </c>
      <c r="CA404" t="s">
        <v>127</v>
      </c>
      <c r="CC404" t="s">
        <v>122</v>
      </c>
      <c r="CD404">
        <v>1200</v>
      </c>
      <c r="CE404" t="s">
        <v>154</v>
      </c>
      <c r="CF404" s="3">
        <v>45983</v>
      </c>
      <c r="CI404">
        <v>2</v>
      </c>
      <c r="CJ404">
        <v>2</v>
      </c>
      <c r="CK404">
        <v>21</v>
      </c>
      <c r="CL404" t="s">
        <v>89</v>
      </c>
    </row>
    <row r="405" spans="1:90" x14ac:dyDescent="0.3">
      <c r="A405" t="s">
        <v>72</v>
      </c>
      <c r="B405" t="s">
        <v>73</v>
      </c>
      <c r="C405" t="s">
        <v>74</v>
      </c>
      <c r="E405" t="str">
        <f>"GAB2029940"</f>
        <v>GAB2029940</v>
      </c>
      <c r="F405" s="3">
        <v>45979</v>
      </c>
      <c r="G405">
        <v>202608</v>
      </c>
      <c r="H405" t="s">
        <v>75</v>
      </c>
      <c r="I405" t="s">
        <v>76</v>
      </c>
      <c r="J405" t="s">
        <v>77</v>
      </c>
      <c r="K405" t="s">
        <v>78</v>
      </c>
      <c r="L405" t="s">
        <v>435</v>
      </c>
      <c r="M405" t="s">
        <v>435</v>
      </c>
      <c r="N405" t="s">
        <v>1296</v>
      </c>
      <c r="O405" t="s">
        <v>124</v>
      </c>
      <c r="P405" t="str">
        <f>"INVOICE 00122868 CT098360     "</f>
        <v xml:space="preserve">INVOICE 00122868 CT098360     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37.4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1</v>
      </c>
      <c r="BI405">
        <v>0.3</v>
      </c>
      <c r="BJ405">
        <v>2.2999999999999998</v>
      </c>
      <c r="BK405">
        <v>2.5</v>
      </c>
      <c r="BL405">
        <v>122.39</v>
      </c>
      <c r="BM405">
        <v>18.36</v>
      </c>
      <c r="BN405">
        <v>140.75</v>
      </c>
      <c r="BO405">
        <v>140.75</v>
      </c>
      <c r="BR405" t="s">
        <v>84</v>
      </c>
      <c r="BS405" s="3">
        <v>45980</v>
      </c>
      <c r="BT405" s="4">
        <v>0.56805555555555554</v>
      </c>
      <c r="BU405" t="s">
        <v>1297</v>
      </c>
      <c r="BV405" t="s">
        <v>89</v>
      </c>
      <c r="BW405" t="s">
        <v>413</v>
      </c>
      <c r="BX405" t="s">
        <v>747</v>
      </c>
      <c r="BY405">
        <v>11286.66</v>
      </c>
      <c r="BZ405" t="s">
        <v>126</v>
      </c>
      <c r="CA405" t="s">
        <v>439</v>
      </c>
      <c r="CC405" t="s">
        <v>435</v>
      </c>
      <c r="CD405">
        <v>7646</v>
      </c>
      <c r="CE405" t="s">
        <v>128</v>
      </c>
      <c r="CF405" s="3">
        <v>45981</v>
      </c>
      <c r="CI405">
        <v>1</v>
      </c>
      <c r="CJ405">
        <v>1</v>
      </c>
      <c r="CK405">
        <v>24</v>
      </c>
      <c r="CL405" t="s">
        <v>89</v>
      </c>
    </row>
    <row r="406" spans="1:90" x14ac:dyDescent="0.3">
      <c r="A406" t="s">
        <v>72</v>
      </c>
      <c r="B406" t="s">
        <v>73</v>
      </c>
      <c r="C406" t="s">
        <v>74</v>
      </c>
      <c r="E406" t="str">
        <f>"GAB2029941"</f>
        <v>GAB2029941</v>
      </c>
      <c r="F406" s="3">
        <v>45979</v>
      </c>
      <c r="G406">
        <v>202608</v>
      </c>
      <c r="H406" t="s">
        <v>75</v>
      </c>
      <c r="I406" t="s">
        <v>76</v>
      </c>
      <c r="J406" t="s">
        <v>77</v>
      </c>
      <c r="K406" t="s">
        <v>78</v>
      </c>
      <c r="L406" t="s">
        <v>212</v>
      </c>
      <c r="M406" t="s">
        <v>213</v>
      </c>
      <c r="N406" t="s">
        <v>810</v>
      </c>
      <c r="O406" t="s">
        <v>124</v>
      </c>
      <c r="P406" t="str">
        <f>"INVOICE 00122869 CT098169     "</f>
        <v xml:space="preserve">INVOICE 00122869 CT098169     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26.73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1</v>
      </c>
      <c r="BI406">
        <v>0.2</v>
      </c>
      <c r="BJ406">
        <v>2.2000000000000002</v>
      </c>
      <c r="BK406">
        <v>2.5</v>
      </c>
      <c r="BL406">
        <v>87.47</v>
      </c>
      <c r="BM406">
        <v>13.12</v>
      </c>
      <c r="BN406">
        <v>100.59</v>
      </c>
      <c r="BO406">
        <v>100.59</v>
      </c>
      <c r="BQ406" t="s">
        <v>1298</v>
      </c>
      <c r="BR406" t="s">
        <v>84</v>
      </c>
      <c r="BS406" s="3">
        <v>45980</v>
      </c>
      <c r="BT406" s="4">
        <v>0.47291666666666665</v>
      </c>
      <c r="BU406" t="s">
        <v>1299</v>
      </c>
      <c r="BV406" t="s">
        <v>89</v>
      </c>
      <c r="BW406" t="s">
        <v>216</v>
      </c>
      <c r="BX406" t="s">
        <v>217</v>
      </c>
      <c r="BY406">
        <v>11158.29</v>
      </c>
      <c r="BZ406" t="s">
        <v>126</v>
      </c>
      <c r="CA406" t="s">
        <v>1300</v>
      </c>
      <c r="CC406" t="s">
        <v>213</v>
      </c>
      <c r="CD406">
        <v>5241</v>
      </c>
      <c r="CE406" t="s">
        <v>1301</v>
      </c>
      <c r="CF406" s="3">
        <v>45981</v>
      </c>
      <c r="CI406">
        <v>1</v>
      </c>
      <c r="CJ406">
        <v>1</v>
      </c>
      <c r="CK406">
        <v>21</v>
      </c>
      <c r="CL406" t="s">
        <v>89</v>
      </c>
    </row>
    <row r="407" spans="1:90" x14ac:dyDescent="0.3">
      <c r="A407" t="s">
        <v>72</v>
      </c>
      <c r="B407" t="s">
        <v>73</v>
      </c>
      <c r="C407" t="s">
        <v>74</v>
      </c>
      <c r="E407" t="str">
        <f>"GAB2029942"</f>
        <v>GAB2029942</v>
      </c>
      <c r="F407" s="3">
        <v>45979</v>
      </c>
      <c r="G407">
        <v>202608</v>
      </c>
      <c r="H407" t="s">
        <v>75</v>
      </c>
      <c r="I407" t="s">
        <v>76</v>
      </c>
      <c r="J407" t="s">
        <v>77</v>
      </c>
      <c r="K407" t="s">
        <v>78</v>
      </c>
      <c r="L407" t="s">
        <v>435</v>
      </c>
      <c r="M407" t="s">
        <v>435</v>
      </c>
      <c r="N407" t="s">
        <v>826</v>
      </c>
      <c r="O407" t="s">
        <v>124</v>
      </c>
      <c r="P407" t="str">
        <f>"INVOICE 00122870 CT098358     "</f>
        <v xml:space="preserve">INVOICE 00122870 CT098358     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30.07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1</v>
      </c>
      <c r="BI407">
        <v>0.3</v>
      </c>
      <c r="BJ407">
        <v>1.8</v>
      </c>
      <c r="BK407">
        <v>2</v>
      </c>
      <c r="BL407">
        <v>98.42</v>
      </c>
      <c r="BM407">
        <v>14.76</v>
      </c>
      <c r="BN407">
        <v>113.18</v>
      </c>
      <c r="BO407">
        <v>113.18</v>
      </c>
      <c r="BQ407" t="s">
        <v>745</v>
      </c>
      <c r="BR407" t="s">
        <v>84</v>
      </c>
      <c r="BS407" s="3">
        <v>45980</v>
      </c>
      <c r="BT407" s="4">
        <v>0.55555555555555558</v>
      </c>
      <c r="BU407" t="s">
        <v>1302</v>
      </c>
      <c r="BV407" t="s">
        <v>89</v>
      </c>
      <c r="BW407" t="s">
        <v>413</v>
      </c>
      <c r="BX407" t="s">
        <v>747</v>
      </c>
      <c r="BY407">
        <v>8805.24</v>
      </c>
      <c r="BZ407" t="s">
        <v>126</v>
      </c>
      <c r="CA407" t="s">
        <v>439</v>
      </c>
      <c r="CC407" t="s">
        <v>435</v>
      </c>
      <c r="CD407">
        <v>7646</v>
      </c>
      <c r="CE407" t="s">
        <v>128</v>
      </c>
      <c r="CF407" s="3">
        <v>45981</v>
      </c>
      <c r="CI407">
        <v>1</v>
      </c>
      <c r="CJ407">
        <v>1</v>
      </c>
      <c r="CK407">
        <v>24</v>
      </c>
      <c r="CL407" t="s">
        <v>89</v>
      </c>
    </row>
    <row r="408" spans="1:90" x14ac:dyDescent="0.3">
      <c r="A408" t="s">
        <v>72</v>
      </c>
      <c r="B408" t="s">
        <v>73</v>
      </c>
      <c r="C408" t="s">
        <v>74</v>
      </c>
      <c r="E408" t="str">
        <f>"GAB2029943"</f>
        <v>GAB2029943</v>
      </c>
      <c r="F408" s="3">
        <v>45979</v>
      </c>
      <c r="G408">
        <v>202608</v>
      </c>
      <c r="H408" t="s">
        <v>75</v>
      </c>
      <c r="I408" t="s">
        <v>76</v>
      </c>
      <c r="J408" t="s">
        <v>77</v>
      </c>
      <c r="K408" t="s">
        <v>78</v>
      </c>
      <c r="L408" t="s">
        <v>465</v>
      </c>
      <c r="M408" t="s">
        <v>466</v>
      </c>
      <c r="N408" t="s">
        <v>467</v>
      </c>
      <c r="O408" t="s">
        <v>124</v>
      </c>
      <c r="P408" t="str">
        <f>"INVOICE 00122871 CT098359     "</f>
        <v xml:space="preserve">INVOICE 00122871 CT098359     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41.43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1</v>
      </c>
      <c r="BI408">
        <v>0.4</v>
      </c>
      <c r="BJ408">
        <v>1.4</v>
      </c>
      <c r="BK408">
        <v>1.5</v>
      </c>
      <c r="BL408">
        <v>135.59</v>
      </c>
      <c r="BM408">
        <v>20.34</v>
      </c>
      <c r="BN408">
        <v>155.93</v>
      </c>
      <c r="BO408">
        <v>155.93</v>
      </c>
      <c r="BQ408" t="s">
        <v>468</v>
      </c>
      <c r="BR408" t="s">
        <v>84</v>
      </c>
      <c r="BS408" s="3">
        <v>45980</v>
      </c>
      <c r="BT408" s="4">
        <v>0.4909722222222222</v>
      </c>
      <c r="BU408" t="s">
        <v>1303</v>
      </c>
      <c r="BV408" t="s">
        <v>86</v>
      </c>
      <c r="BY408">
        <v>7226.1</v>
      </c>
      <c r="BZ408" t="s">
        <v>126</v>
      </c>
      <c r="CA408" t="s">
        <v>1304</v>
      </c>
      <c r="CC408" t="s">
        <v>466</v>
      </c>
      <c r="CD408">
        <v>2515</v>
      </c>
      <c r="CE408" t="s">
        <v>383</v>
      </c>
      <c r="CF408" s="3">
        <v>45980</v>
      </c>
      <c r="CI408">
        <v>1</v>
      </c>
      <c r="CJ408">
        <v>1</v>
      </c>
      <c r="CK408">
        <v>23</v>
      </c>
      <c r="CL408" t="s">
        <v>89</v>
      </c>
    </row>
    <row r="409" spans="1:90" x14ac:dyDescent="0.3">
      <c r="A409" t="s">
        <v>72</v>
      </c>
      <c r="B409" t="s">
        <v>73</v>
      </c>
      <c r="C409" t="s">
        <v>74</v>
      </c>
      <c r="E409" t="str">
        <f>"GAB2029944"</f>
        <v>GAB2029944</v>
      </c>
      <c r="F409" s="3">
        <v>45979</v>
      </c>
      <c r="G409">
        <v>202608</v>
      </c>
      <c r="H409" t="s">
        <v>75</v>
      </c>
      <c r="I409" t="s">
        <v>76</v>
      </c>
      <c r="J409" t="s">
        <v>77</v>
      </c>
      <c r="K409" t="s">
        <v>78</v>
      </c>
      <c r="L409" t="s">
        <v>75</v>
      </c>
      <c r="M409" t="s">
        <v>76</v>
      </c>
      <c r="N409" t="s">
        <v>743</v>
      </c>
      <c r="O409" t="s">
        <v>124</v>
      </c>
      <c r="P409" t="str">
        <f>"INVOICE 00122877 CT0698354    "</f>
        <v xml:space="preserve">INVOICE 00122877 CT0698354    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16.7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1</v>
      </c>
      <c r="BI409">
        <v>1.5</v>
      </c>
      <c r="BJ409">
        <v>6</v>
      </c>
      <c r="BK409">
        <v>6</v>
      </c>
      <c r="BL409">
        <v>54.66</v>
      </c>
      <c r="BM409">
        <v>8.1999999999999993</v>
      </c>
      <c r="BN409">
        <v>62.86</v>
      </c>
      <c r="BO409">
        <v>62.86</v>
      </c>
      <c r="BQ409" t="s">
        <v>458</v>
      </c>
      <c r="BR409" t="s">
        <v>84</v>
      </c>
      <c r="BS409" s="3">
        <v>45980</v>
      </c>
      <c r="BT409" s="4">
        <v>0.39027777777777778</v>
      </c>
      <c r="BU409" t="s">
        <v>1305</v>
      </c>
      <c r="BV409" t="s">
        <v>86</v>
      </c>
      <c r="BY409">
        <v>30234.880000000001</v>
      </c>
      <c r="BZ409" t="s">
        <v>126</v>
      </c>
      <c r="CA409" t="s">
        <v>373</v>
      </c>
      <c r="CC409" t="s">
        <v>76</v>
      </c>
      <c r="CD409">
        <v>7700</v>
      </c>
      <c r="CE409" t="s">
        <v>1306</v>
      </c>
      <c r="CF409" s="3">
        <v>45981</v>
      </c>
      <c r="CI409">
        <v>1</v>
      </c>
      <c r="CJ409">
        <v>1</v>
      </c>
      <c r="CK409">
        <v>22</v>
      </c>
      <c r="CL409" t="s">
        <v>89</v>
      </c>
    </row>
    <row r="410" spans="1:90" x14ac:dyDescent="0.3">
      <c r="A410" t="s">
        <v>72</v>
      </c>
      <c r="B410" t="s">
        <v>73</v>
      </c>
      <c r="C410" t="s">
        <v>74</v>
      </c>
      <c r="E410" t="str">
        <f>"GAB2029945"</f>
        <v>GAB2029945</v>
      </c>
      <c r="F410" s="3">
        <v>45979</v>
      </c>
      <c r="G410">
        <v>202608</v>
      </c>
      <c r="H410" t="s">
        <v>75</v>
      </c>
      <c r="I410" t="s">
        <v>76</v>
      </c>
      <c r="J410" t="s">
        <v>77</v>
      </c>
      <c r="K410" t="s">
        <v>78</v>
      </c>
      <c r="L410" t="s">
        <v>75</v>
      </c>
      <c r="M410" t="s">
        <v>76</v>
      </c>
      <c r="N410" t="s">
        <v>481</v>
      </c>
      <c r="O410" t="s">
        <v>124</v>
      </c>
      <c r="P410" t="str">
        <f>"INVOICES 00122858 00122881 CT0"</f>
        <v>INVOICES 00122858 00122881 CT0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16.7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1</v>
      </c>
      <c r="BI410">
        <v>0.7</v>
      </c>
      <c r="BJ410">
        <v>1.9</v>
      </c>
      <c r="BK410">
        <v>2</v>
      </c>
      <c r="BL410">
        <v>54.66</v>
      </c>
      <c r="BM410">
        <v>8.1999999999999993</v>
      </c>
      <c r="BN410">
        <v>62.86</v>
      </c>
      <c r="BO410">
        <v>62.86</v>
      </c>
      <c r="BQ410" t="s">
        <v>482</v>
      </c>
      <c r="BR410" t="s">
        <v>84</v>
      </c>
      <c r="BS410" s="3">
        <v>45980</v>
      </c>
      <c r="BT410" s="4">
        <v>0.41736111111111113</v>
      </c>
      <c r="BU410" t="s">
        <v>1307</v>
      </c>
      <c r="BV410" t="s">
        <v>86</v>
      </c>
      <c r="BY410">
        <v>9744</v>
      </c>
      <c r="BZ410" t="s">
        <v>126</v>
      </c>
      <c r="CA410" t="s">
        <v>1308</v>
      </c>
      <c r="CC410" t="s">
        <v>76</v>
      </c>
      <c r="CD410">
        <v>7441</v>
      </c>
      <c r="CE410" t="s">
        <v>446</v>
      </c>
      <c r="CF410" s="3">
        <v>45981</v>
      </c>
      <c r="CI410">
        <v>1</v>
      </c>
      <c r="CJ410">
        <v>1</v>
      </c>
      <c r="CK410">
        <v>22</v>
      </c>
      <c r="CL410" t="s">
        <v>89</v>
      </c>
    </row>
    <row r="411" spans="1:90" x14ac:dyDescent="0.3">
      <c r="A411" t="s">
        <v>72</v>
      </c>
      <c r="B411" t="s">
        <v>73</v>
      </c>
      <c r="C411" t="s">
        <v>74</v>
      </c>
      <c r="E411" t="str">
        <f>"GAB2029947"</f>
        <v>GAB2029947</v>
      </c>
      <c r="F411" s="3">
        <v>45979</v>
      </c>
      <c r="G411">
        <v>202608</v>
      </c>
      <c r="H411" t="s">
        <v>75</v>
      </c>
      <c r="I411" t="s">
        <v>76</v>
      </c>
      <c r="J411" t="s">
        <v>77</v>
      </c>
      <c r="K411" t="s">
        <v>78</v>
      </c>
      <c r="L411" t="s">
        <v>75</v>
      </c>
      <c r="M411" t="s">
        <v>76</v>
      </c>
      <c r="N411" t="s">
        <v>386</v>
      </c>
      <c r="O411" t="s">
        <v>124</v>
      </c>
      <c r="P411" t="str">
        <f>"INVOICE 00122878 CT098361     "</f>
        <v xml:space="preserve">INVOICE 00122878 CT098361     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16.7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1</v>
      </c>
      <c r="BI411">
        <v>0.4</v>
      </c>
      <c r="BJ411">
        <v>2.5</v>
      </c>
      <c r="BK411">
        <v>3</v>
      </c>
      <c r="BL411">
        <v>54.66</v>
      </c>
      <c r="BM411">
        <v>8.1999999999999993</v>
      </c>
      <c r="BN411">
        <v>62.86</v>
      </c>
      <c r="BO411">
        <v>62.86</v>
      </c>
      <c r="BQ411" t="s">
        <v>387</v>
      </c>
      <c r="BR411" t="s">
        <v>84</v>
      </c>
      <c r="BS411" s="3">
        <v>45980</v>
      </c>
      <c r="BT411" s="4">
        <v>0.39791666666666664</v>
      </c>
      <c r="BU411" t="s">
        <v>1309</v>
      </c>
      <c r="BV411" t="s">
        <v>86</v>
      </c>
      <c r="BY411">
        <v>12732.32</v>
      </c>
      <c r="BZ411" t="s">
        <v>126</v>
      </c>
      <c r="CA411" t="s">
        <v>1104</v>
      </c>
      <c r="CC411" t="s">
        <v>76</v>
      </c>
      <c r="CD411">
        <v>7800</v>
      </c>
      <c r="CE411" t="s">
        <v>181</v>
      </c>
      <c r="CF411" s="3">
        <v>45981</v>
      </c>
      <c r="CI411">
        <v>1</v>
      </c>
      <c r="CJ411">
        <v>1</v>
      </c>
      <c r="CK411">
        <v>22</v>
      </c>
      <c r="CL411" t="s">
        <v>89</v>
      </c>
    </row>
    <row r="412" spans="1:90" x14ac:dyDescent="0.3">
      <c r="A412" t="s">
        <v>72</v>
      </c>
      <c r="B412" t="s">
        <v>73</v>
      </c>
      <c r="C412" t="s">
        <v>74</v>
      </c>
      <c r="E412" t="str">
        <f>"GAB2029948"</f>
        <v>GAB2029948</v>
      </c>
      <c r="F412" s="3">
        <v>45979</v>
      </c>
      <c r="G412">
        <v>202608</v>
      </c>
      <c r="H412" t="s">
        <v>75</v>
      </c>
      <c r="I412" t="s">
        <v>76</v>
      </c>
      <c r="J412" t="s">
        <v>77</v>
      </c>
      <c r="K412" t="s">
        <v>78</v>
      </c>
      <c r="L412" t="s">
        <v>230</v>
      </c>
      <c r="M412" t="s">
        <v>231</v>
      </c>
      <c r="N412" t="s">
        <v>379</v>
      </c>
      <c r="O412" t="s">
        <v>124</v>
      </c>
      <c r="P412" t="str">
        <f>"INVOICE 00041642 ORDGS038252  "</f>
        <v xml:space="preserve">INVOICE 00041642 ORDGS038252  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21.38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1</v>
      </c>
      <c r="BI412">
        <v>0.3</v>
      </c>
      <c r="BJ412">
        <v>1.9</v>
      </c>
      <c r="BK412">
        <v>2</v>
      </c>
      <c r="BL412">
        <v>69.98</v>
      </c>
      <c r="BM412">
        <v>10.5</v>
      </c>
      <c r="BN412">
        <v>80.48</v>
      </c>
      <c r="BO412">
        <v>80.48</v>
      </c>
      <c r="BQ412" t="s">
        <v>1310</v>
      </c>
      <c r="BR412" t="s">
        <v>84</v>
      </c>
      <c r="BS412" s="3">
        <v>45980</v>
      </c>
      <c r="BT412" s="4">
        <v>0.4375</v>
      </c>
      <c r="BU412" t="s">
        <v>1311</v>
      </c>
      <c r="BV412" t="s">
        <v>86</v>
      </c>
      <c r="BY412">
        <v>9462.9599999999991</v>
      </c>
      <c r="BZ412" t="s">
        <v>126</v>
      </c>
      <c r="CA412">
        <v>9801105950085</v>
      </c>
      <c r="CC412" t="s">
        <v>231</v>
      </c>
      <c r="CD412" s="5" t="s">
        <v>382</v>
      </c>
      <c r="CE412" t="s">
        <v>1312</v>
      </c>
      <c r="CF412" s="3">
        <v>45980</v>
      </c>
      <c r="CI412">
        <v>1</v>
      </c>
      <c r="CJ412">
        <v>1</v>
      </c>
      <c r="CK412">
        <v>21</v>
      </c>
      <c r="CL412" t="s">
        <v>89</v>
      </c>
    </row>
    <row r="413" spans="1:90" x14ac:dyDescent="0.3">
      <c r="A413" t="s">
        <v>72</v>
      </c>
      <c r="B413" t="s">
        <v>73</v>
      </c>
      <c r="C413" t="s">
        <v>74</v>
      </c>
      <c r="E413" t="str">
        <f>"GAB2029949"</f>
        <v>GAB2029949</v>
      </c>
      <c r="F413" s="3">
        <v>45979</v>
      </c>
      <c r="G413">
        <v>202608</v>
      </c>
      <c r="H413" t="s">
        <v>75</v>
      </c>
      <c r="I413" t="s">
        <v>76</v>
      </c>
      <c r="J413" t="s">
        <v>77</v>
      </c>
      <c r="K413" t="s">
        <v>78</v>
      </c>
      <c r="L413" t="s">
        <v>230</v>
      </c>
      <c r="M413" t="s">
        <v>231</v>
      </c>
      <c r="N413" t="s">
        <v>418</v>
      </c>
      <c r="O413" t="s">
        <v>124</v>
      </c>
      <c r="P413" t="str">
        <f>"INVOICE 00041641 ORDGS038255  "</f>
        <v xml:space="preserve">INVOICE 00041641 ORDGS038255  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21.38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1</v>
      </c>
      <c r="BI413">
        <v>0.3</v>
      </c>
      <c r="BJ413">
        <v>2</v>
      </c>
      <c r="BK413">
        <v>2</v>
      </c>
      <c r="BL413">
        <v>69.98</v>
      </c>
      <c r="BM413">
        <v>10.5</v>
      </c>
      <c r="BN413">
        <v>80.48</v>
      </c>
      <c r="BO413">
        <v>80.48</v>
      </c>
      <c r="BQ413" t="s">
        <v>1313</v>
      </c>
      <c r="BR413" t="s">
        <v>84</v>
      </c>
      <c r="BS413" s="3">
        <v>45980</v>
      </c>
      <c r="BT413" s="4">
        <v>0.33819444444444446</v>
      </c>
      <c r="BU413" t="s">
        <v>1215</v>
      </c>
      <c r="BV413" t="s">
        <v>86</v>
      </c>
      <c r="BY413">
        <v>9766.24</v>
      </c>
      <c r="BZ413" t="s">
        <v>126</v>
      </c>
      <c r="CA413">
        <v>8612186129080</v>
      </c>
      <c r="CC413" t="s">
        <v>231</v>
      </c>
      <c r="CD413" s="5" t="s">
        <v>382</v>
      </c>
      <c r="CE413" t="s">
        <v>128</v>
      </c>
      <c r="CF413" s="3">
        <v>45980</v>
      </c>
      <c r="CI413">
        <v>1</v>
      </c>
      <c r="CJ413">
        <v>1</v>
      </c>
      <c r="CK413">
        <v>21</v>
      </c>
      <c r="CL413" t="s">
        <v>89</v>
      </c>
    </row>
    <row r="414" spans="1:90" x14ac:dyDescent="0.3">
      <c r="A414" t="s">
        <v>72</v>
      </c>
      <c r="B414" t="s">
        <v>73</v>
      </c>
      <c r="C414" t="s">
        <v>74</v>
      </c>
      <c r="E414" t="str">
        <f>"GAB2029950"</f>
        <v>GAB2029950</v>
      </c>
      <c r="F414" s="3">
        <v>45979</v>
      </c>
      <c r="G414">
        <v>202608</v>
      </c>
      <c r="H414" t="s">
        <v>75</v>
      </c>
      <c r="I414" t="s">
        <v>76</v>
      </c>
      <c r="J414" t="s">
        <v>77</v>
      </c>
      <c r="K414" t="s">
        <v>78</v>
      </c>
      <c r="L414" t="s">
        <v>169</v>
      </c>
      <c r="M414" t="s">
        <v>170</v>
      </c>
      <c r="N414" t="s">
        <v>1314</v>
      </c>
      <c r="O414" t="s">
        <v>124</v>
      </c>
      <c r="P414" t="str">
        <f>"INVOICE 00041643 ORDGS038280  "</f>
        <v xml:space="preserve">INVOICE 00041643 ORDGS038280  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26.73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1</v>
      </c>
      <c r="BI414">
        <v>0.2</v>
      </c>
      <c r="BJ414">
        <v>2.2000000000000002</v>
      </c>
      <c r="BK414">
        <v>2.5</v>
      </c>
      <c r="BL414">
        <v>87.47</v>
      </c>
      <c r="BM414">
        <v>13.12</v>
      </c>
      <c r="BN414">
        <v>100.59</v>
      </c>
      <c r="BO414">
        <v>100.59</v>
      </c>
      <c r="BQ414" t="s">
        <v>948</v>
      </c>
      <c r="BR414" t="s">
        <v>84</v>
      </c>
      <c r="BS414" s="3">
        <v>45980</v>
      </c>
      <c r="BT414" s="4">
        <v>0.39583333333333331</v>
      </c>
      <c r="BU414" t="s">
        <v>1315</v>
      </c>
      <c r="BV414" t="s">
        <v>86</v>
      </c>
      <c r="BY414">
        <v>11010.5</v>
      </c>
      <c r="BZ414" t="s">
        <v>126</v>
      </c>
      <c r="CA414" t="s">
        <v>738</v>
      </c>
      <c r="CC414" t="s">
        <v>170</v>
      </c>
      <c r="CD414">
        <v>2000</v>
      </c>
      <c r="CE414" t="s">
        <v>154</v>
      </c>
      <c r="CF414" s="3">
        <v>45981</v>
      </c>
      <c r="CI414">
        <v>1</v>
      </c>
      <c r="CJ414">
        <v>1</v>
      </c>
      <c r="CK414">
        <v>21</v>
      </c>
      <c r="CL414" t="s">
        <v>89</v>
      </c>
    </row>
    <row r="415" spans="1:90" x14ac:dyDescent="0.3">
      <c r="A415" t="s">
        <v>72</v>
      </c>
      <c r="B415" t="s">
        <v>73</v>
      </c>
      <c r="C415" t="s">
        <v>74</v>
      </c>
      <c r="E415" t="str">
        <f>"GAB2029951"</f>
        <v>GAB2029951</v>
      </c>
      <c r="F415" s="3">
        <v>45979</v>
      </c>
      <c r="G415">
        <v>202608</v>
      </c>
      <c r="H415" t="s">
        <v>75</v>
      </c>
      <c r="I415" t="s">
        <v>76</v>
      </c>
      <c r="J415" t="s">
        <v>77</v>
      </c>
      <c r="K415" t="s">
        <v>78</v>
      </c>
      <c r="L415" t="s">
        <v>1316</v>
      </c>
      <c r="M415" t="s">
        <v>1317</v>
      </c>
      <c r="N415" t="s">
        <v>1318</v>
      </c>
      <c r="O415" t="s">
        <v>124</v>
      </c>
      <c r="P415" t="str">
        <f>"INVOICE 00122883 CT098307     "</f>
        <v xml:space="preserve">INVOICE 00122883 CT098307     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50.78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1</v>
      </c>
      <c r="BI415">
        <v>0.2</v>
      </c>
      <c r="BJ415">
        <v>2.5</v>
      </c>
      <c r="BK415">
        <v>2.5</v>
      </c>
      <c r="BL415">
        <v>166.2</v>
      </c>
      <c r="BM415">
        <v>24.93</v>
      </c>
      <c r="BN415">
        <v>191.13</v>
      </c>
      <c r="BO415">
        <v>191.13</v>
      </c>
      <c r="BQ415" t="s">
        <v>1319</v>
      </c>
      <c r="BR415" t="s">
        <v>84</v>
      </c>
      <c r="BS415" s="3">
        <v>45980</v>
      </c>
      <c r="BT415" s="4">
        <v>0.59305555555555556</v>
      </c>
      <c r="BU415" t="s">
        <v>633</v>
      </c>
      <c r="BV415" t="s">
        <v>86</v>
      </c>
      <c r="BY415">
        <v>12487.5</v>
      </c>
      <c r="BZ415" t="s">
        <v>126</v>
      </c>
      <c r="CA415" t="s">
        <v>1320</v>
      </c>
      <c r="CC415" t="s">
        <v>1317</v>
      </c>
      <c r="CD415">
        <v>9950</v>
      </c>
      <c r="CE415" t="s">
        <v>128</v>
      </c>
      <c r="CF415" s="3">
        <v>45981</v>
      </c>
      <c r="CI415">
        <v>3</v>
      </c>
      <c r="CJ415">
        <v>1</v>
      </c>
      <c r="CK415">
        <v>23</v>
      </c>
      <c r="CL415" t="s">
        <v>89</v>
      </c>
    </row>
    <row r="416" spans="1:90" x14ac:dyDescent="0.3">
      <c r="A416" t="s">
        <v>72</v>
      </c>
      <c r="B416" t="s">
        <v>73</v>
      </c>
      <c r="C416" t="s">
        <v>74</v>
      </c>
      <c r="E416" t="str">
        <f>"GAB2029952"</f>
        <v>GAB2029952</v>
      </c>
      <c r="F416" s="3">
        <v>45979</v>
      </c>
      <c r="G416">
        <v>202608</v>
      </c>
      <c r="H416" t="s">
        <v>75</v>
      </c>
      <c r="I416" t="s">
        <v>76</v>
      </c>
      <c r="J416" t="s">
        <v>77</v>
      </c>
      <c r="K416" t="s">
        <v>78</v>
      </c>
      <c r="L416" t="s">
        <v>169</v>
      </c>
      <c r="M416" t="s">
        <v>170</v>
      </c>
      <c r="N416" t="s">
        <v>926</v>
      </c>
      <c r="O416" t="s">
        <v>124</v>
      </c>
      <c r="P416" t="str">
        <f>"INVOICE 00041602 ORDGS038224  "</f>
        <v xml:space="preserve">INVOICE 00041602 ORDGS038224  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26.73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1</v>
      </c>
      <c r="BI416">
        <v>0.3</v>
      </c>
      <c r="BJ416">
        <v>2.5</v>
      </c>
      <c r="BK416">
        <v>2.5</v>
      </c>
      <c r="BL416">
        <v>87.47</v>
      </c>
      <c r="BM416">
        <v>13.12</v>
      </c>
      <c r="BN416">
        <v>100.59</v>
      </c>
      <c r="BO416">
        <v>100.59</v>
      </c>
      <c r="BQ416" t="s">
        <v>1321</v>
      </c>
      <c r="BR416" t="s">
        <v>84</v>
      </c>
      <c r="BS416" s="3">
        <v>45980</v>
      </c>
      <c r="BT416" s="4">
        <v>0.41944444444444445</v>
      </c>
      <c r="BU416" t="s">
        <v>928</v>
      </c>
      <c r="BV416" t="s">
        <v>86</v>
      </c>
      <c r="BY416">
        <v>12340.3</v>
      </c>
      <c r="BZ416" t="s">
        <v>126</v>
      </c>
      <c r="CA416" t="s">
        <v>775</v>
      </c>
      <c r="CC416" t="s">
        <v>170</v>
      </c>
      <c r="CD416">
        <v>2055</v>
      </c>
      <c r="CE416" t="s">
        <v>1322</v>
      </c>
      <c r="CF416" s="3">
        <v>45980</v>
      </c>
      <c r="CI416">
        <v>1</v>
      </c>
      <c r="CJ416">
        <v>1</v>
      </c>
      <c r="CK416">
        <v>21</v>
      </c>
      <c r="CL416" t="s">
        <v>89</v>
      </c>
    </row>
    <row r="417" spans="1:90" x14ac:dyDescent="0.3">
      <c r="A417" t="s">
        <v>72</v>
      </c>
      <c r="B417" t="s">
        <v>73</v>
      </c>
      <c r="C417" t="s">
        <v>74</v>
      </c>
      <c r="E417" t="str">
        <f>"009945158423"</f>
        <v>009945158423</v>
      </c>
      <c r="F417" s="3">
        <v>45979</v>
      </c>
      <c r="G417">
        <v>202608</v>
      </c>
      <c r="H417" t="s">
        <v>230</v>
      </c>
      <c r="I417" t="s">
        <v>231</v>
      </c>
      <c r="J417" t="s">
        <v>236</v>
      </c>
      <c r="K417" t="s">
        <v>78</v>
      </c>
      <c r="L417" t="s">
        <v>246</v>
      </c>
      <c r="M417" t="s">
        <v>247</v>
      </c>
      <c r="N417" t="s">
        <v>976</v>
      </c>
      <c r="O417" t="s">
        <v>82</v>
      </c>
      <c r="P417" t="str">
        <f>"NO REF                        "</f>
        <v xml:space="preserve">NO REF                        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5.87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41.35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1</v>
      </c>
      <c r="BI417">
        <v>6.4</v>
      </c>
      <c r="BJ417">
        <v>8.1</v>
      </c>
      <c r="BK417">
        <v>9</v>
      </c>
      <c r="BL417">
        <v>141.19999999999999</v>
      </c>
      <c r="BM417">
        <v>21.18</v>
      </c>
      <c r="BN417">
        <v>162.38</v>
      </c>
      <c r="BO417">
        <v>162.38</v>
      </c>
      <c r="BQ417" t="s">
        <v>502</v>
      </c>
      <c r="BR417" t="s">
        <v>241</v>
      </c>
      <c r="BS417" s="3">
        <v>45981</v>
      </c>
      <c r="BT417" s="4">
        <v>0.58333333333333337</v>
      </c>
      <c r="BU417" t="s">
        <v>1323</v>
      </c>
      <c r="BV417" t="s">
        <v>89</v>
      </c>
      <c r="BW417" t="s">
        <v>979</v>
      </c>
      <c r="BX417" t="s">
        <v>1324</v>
      </c>
      <c r="BY417">
        <v>40500</v>
      </c>
      <c r="BZ417" t="s">
        <v>505</v>
      </c>
      <c r="CC417" t="s">
        <v>247</v>
      </c>
      <c r="CD417">
        <v>9300</v>
      </c>
      <c r="CE417" t="s">
        <v>254</v>
      </c>
      <c r="CF417" s="3">
        <v>45985</v>
      </c>
      <c r="CI417">
        <v>1</v>
      </c>
      <c r="CJ417">
        <v>2</v>
      </c>
      <c r="CK417">
        <v>41</v>
      </c>
      <c r="CL417" t="s">
        <v>89</v>
      </c>
    </row>
    <row r="418" spans="1:90" x14ac:dyDescent="0.3">
      <c r="A418" t="s">
        <v>72</v>
      </c>
      <c r="B418" t="s">
        <v>73</v>
      </c>
      <c r="C418" t="s">
        <v>74</v>
      </c>
      <c r="E418" t="str">
        <f>"009945158422"</f>
        <v>009945158422</v>
      </c>
      <c r="F418" s="3">
        <v>45979</v>
      </c>
      <c r="G418">
        <v>202608</v>
      </c>
      <c r="H418" t="s">
        <v>230</v>
      </c>
      <c r="I418" t="s">
        <v>231</v>
      </c>
      <c r="J418" t="s">
        <v>236</v>
      </c>
      <c r="K418" t="s">
        <v>78</v>
      </c>
      <c r="L418" t="s">
        <v>441</v>
      </c>
      <c r="M418" t="s">
        <v>442</v>
      </c>
      <c r="N418" t="s">
        <v>1325</v>
      </c>
      <c r="O418" t="s">
        <v>124</v>
      </c>
      <c r="P418" t="str">
        <f>"NO REF                        "</f>
        <v xml:space="preserve">NO REF                        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21.38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1</v>
      </c>
      <c r="BI418">
        <v>1</v>
      </c>
      <c r="BJ418">
        <v>0.2</v>
      </c>
      <c r="BK418">
        <v>1</v>
      </c>
      <c r="BL418">
        <v>69.98</v>
      </c>
      <c r="BM418">
        <v>10.5</v>
      </c>
      <c r="BN418">
        <v>80.48</v>
      </c>
      <c r="BO418">
        <v>80.48</v>
      </c>
      <c r="BQ418" t="s">
        <v>1326</v>
      </c>
      <c r="BR418" t="s">
        <v>1327</v>
      </c>
      <c r="BS418" s="3">
        <v>45980</v>
      </c>
      <c r="BT418" s="4">
        <v>0.54166666666666663</v>
      </c>
      <c r="BU418" t="s">
        <v>1328</v>
      </c>
      <c r="BV418" t="s">
        <v>86</v>
      </c>
      <c r="BY418">
        <v>1200</v>
      </c>
      <c r="BZ418" t="s">
        <v>126</v>
      </c>
      <c r="CC418" t="s">
        <v>442</v>
      </c>
      <c r="CD418">
        <v>6530</v>
      </c>
      <c r="CE418" t="s">
        <v>254</v>
      </c>
      <c r="CF418" s="3">
        <v>45980</v>
      </c>
      <c r="CI418">
        <v>1</v>
      </c>
      <c r="CJ418">
        <v>1</v>
      </c>
      <c r="CK418">
        <v>21</v>
      </c>
      <c r="CL418" t="s">
        <v>89</v>
      </c>
    </row>
    <row r="419" spans="1:90" x14ac:dyDescent="0.3">
      <c r="A419" t="s">
        <v>72</v>
      </c>
      <c r="B419" t="s">
        <v>73</v>
      </c>
      <c r="C419" t="s">
        <v>74</v>
      </c>
      <c r="E419" t="str">
        <f>"009945158478"</f>
        <v>009945158478</v>
      </c>
      <c r="F419" s="3">
        <v>45978</v>
      </c>
      <c r="G419">
        <v>202608</v>
      </c>
      <c r="H419" t="s">
        <v>79</v>
      </c>
      <c r="I419" t="s">
        <v>80</v>
      </c>
      <c r="J419" t="s">
        <v>1329</v>
      </c>
      <c r="K419" t="s">
        <v>78</v>
      </c>
      <c r="L419" t="s">
        <v>90</v>
      </c>
      <c r="M419" t="s">
        <v>91</v>
      </c>
      <c r="N419" t="s">
        <v>236</v>
      </c>
      <c r="O419" t="s">
        <v>124</v>
      </c>
      <c r="P419" t="str">
        <f t="shared" ref="P419:P426" si="2">"NA                            "</f>
        <v xml:space="preserve">NA                            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21.38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1</v>
      </c>
      <c r="BI419">
        <v>1</v>
      </c>
      <c r="BJ419">
        <v>0.2</v>
      </c>
      <c r="BK419">
        <v>1</v>
      </c>
      <c r="BL419">
        <v>69.98</v>
      </c>
      <c r="BM419">
        <v>10.5</v>
      </c>
      <c r="BN419">
        <v>80.48</v>
      </c>
      <c r="BO419">
        <v>80.48</v>
      </c>
      <c r="BQ419" t="s">
        <v>1330</v>
      </c>
      <c r="BR419" t="s">
        <v>1331</v>
      </c>
      <c r="BS419" s="3">
        <v>45982</v>
      </c>
      <c r="BT419" s="4">
        <v>0.40208333333333335</v>
      </c>
      <c r="BU419" t="s">
        <v>1332</v>
      </c>
      <c r="BV419" t="s">
        <v>89</v>
      </c>
      <c r="BY419">
        <v>1200</v>
      </c>
      <c r="BZ419" t="s">
        <v>126</v>
      </c>
      <c r="CC419" t="s">
        <v>91</v>
      </c>
      <c r="CD419">
        <v>4000</v>
      </c>
      <c r="CE419" t="s">
        <v>245</v>
      </c>
      <c r="CF419" s="3">
        <v>45983</v>
      </c>
      <c r="CI419">
        <v>1</v>
      </c>
      <c r="CJ419">
        <v>4</v>
      </c>
      <c r="CK419">
        <v>21</v>
      </c>
      <c r="CL419" t="s">
        <v>89</v>
      </c>
    </row>
    <row r="420" spans="1:90" x14ac:dyDescent="0.3">
      <c r="A420" t="s">
        <v>72</v>
      </c>
      <c r="B420" t="s">
        <v>73</v>
      </c>
      <c r="C420" t="s">
        <v>74</v>
      </c>
      <c r="E420" t="str">
        <f>"009945158481"</f>
        <v>009945158481</v>
      </c>
      <c r="F420" s="3">
        <v>45978</v>
      </c>
      <c r="G420">
        <v>202608</v>
      </c>
      <c r="H420" t="s">
        <v>79</v>
      </c>
      <c r="I420" t="s">
        <v>80</v>
      </c>
      <c r="J420" t="s">
        <v>1329</v>
      </c>
      <c r="K420" t="s">
        <v>78</v>
      </c>
      <c r="L420" t="s">
        <v>75</v>
      </c>
      <c r="M420" t="s">
        <v>76</v>
      </c>
      <c r="N420" t="s">
        <v>1333</v>
      </c>
      <c r="O420" t="s">
        <v>124</v>
      </c>
      <c r="P420" t="str">
        <f t="shared" si="2"/>
        <v xml:space="preserve">NA                            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21.38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1</v>
      </c>
      <c r="BI420">
        <v>1</v>
      </c>
      <c r="BJ420">
        <v>0.2</v>
      </c>
      <c r="BK420">
        <v>1</v>
      </c>
      <c r="BL420">
        <v>69.98</v>
      </c>
      <c r="BM420">
        <v>10.5</v>
      </c>
      <c r="BN420">
        <v>80.48</v>
      </c>
      <c r="BO420">
        <v>80.48</v>
      </c>
      <c r="BQ420" t="s">
        <v>1334</v>
      </c>
      <c r="BR420" t="s">
        <v>1335</v>
      </c>
      <c r="BS420" s="3">
        <v>45979</v>
      </c>
      <c r="BT420" s="4">
        <v>0.5493055555555556</v>
      </c>
      <c r="BU420" t="s">
        <v>988</v>
      </c>
      <c r="BV420" t="s">
        <v>89</v>
      </c>
      <c r="BY420">
        <v>1200</v>
      </c>
      <c r="BZ420" t="s">
        <v>126</v>
      </c>
      <c r="CA420" t="s">
        <v>508</v>
      </c>
      <c r="CC420" t="s">
        <v>76</v>
      </c>
      <c r="CD420">
        <v>7460</v>
      </c>
      <c r="CE420" t="s">
        <v>245</v>
      </c>
      <c r="CF420" s="3">
        <v>45980</v>
      </c>
      <c r="CI420">
        <v>1</v>
      </c>
      <c r="CJ420">
        <v>1</v>
      </c>
      <c r="CK420">
        <v>21</v>
      </c>
      <c r="CL420" t="s">
        <v>89</v>
      </c>
    </row>
    <row r="421" spans="1:90" x14ac:dyDescent="0.3">
      <c r="A421" t="s">
        <v>72</v>
      </c>
      <c r="B421" t="s">
        <v>73</v>
      </c>
      <c r="C421" t="s">
        <v>74</v>
      </c>
      <c r="E421" t="str">
        <f>"009945158473"</f>
        <v>009945158473</v>
      </c>
      <c r="F421" s="3">
        <v>45978</v>
      </c>
      <c r="G421">
        <v>202608</v>
      </c>
      <c r="H421" t="s">
        <v>79</v>
      </c>
      <c r="I421" t="s">
        <v>80</v>
      </c>
      <c r="J421" t="s">
        <v>1329</v>
      </c>
      <c r="K421" t="s">
        <v>78</v>
      </c>
      <c r="L421" t="s">
        <v>162</v>
      </c>
      <c r="M421" t="s">
        <v>163</v>
      </c>
      <c r="N421" t="s">
        <v>1336</v>
      </c>
      <c r="O421" t="s">
        <v>124</v>
      </c>
      <c r="P421" t="str">
        <f t="shared" si="2"/>
        <v xml:space="preserve">NA                            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21.38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1</v>
      </c>
      <c r="BI421">
        <v>1</v>
      </c>
      <c r="BJ421">
        <v>0.2</v>
      </c>
      <c r="BK421">
        <v>1</v>
      </c>
      <c r="BL421">
        <v>69.98</v>
      </c>
      <c r="BM421">
        <v>10.5</v>
      </c>
      <c r="BN421">
        <v>80.48</v>
      </c>
      <c r="BO421">
        <v>80.48</v>
      </c>
      <c r="BP421" t="s">
        <v>1337</v>
      </c>
      <c r="BQ421" t="s">
        <v>1338</v>
      </c>
      <c r="BR421" t="s">
        <v>1062</v>
      </c>
      <c r="BS421" s="3">
        <v>45979</v>
      </c>
      <c r="BT421" s="4">
        <v>0.42083333333333334</v>
      </c>
      <c r="BU421" t="s">
        <v>1339</v>
      </c>
      <c r="BV421" t="s">
        <v>86</v>
      </c>
      <c r="BY421">
        <v>1200</v>
      </c>
      <c r="BZ421" t="s">
        <v>126</v>
      </c>
      <c r="CA421" t="s">
        <v>1340</v>
      </c>
      <c r="CC421" t="s">
        <v>163</v>
      </c>
      <c r="CD421">
        <v>6000</v>
      </c>
      <c r="CE421" t="s">
        <v>245</v>
      </c>
      <c r="CF421" s="3">
        <v>45979</v>
      </c>
      <c r="CI421">
        <v>1</v>
      </c>
      <c r="CJ421">
        <v>1</v>
      </c>
      <c r="CK421">
        <v>21</v>
      </c>
      <c r="CL421" t="s">
        <v>89</v>
      </c>
    </row>
    <row r="422" spans="1:90" x14ac:dyDescent="0.3">
      <c r="A422" t="s">
        <v>72</v>
      </c>
      <c r="B422" t="s">
        <v>73</v>
      </c>
      <c r="C422" t="s">
        <v>74</v>
      </c>
      <c r="E422" t="str">
        <f>"009945158476"</f>
        <v>009945158476</v>
      </c>
      <c r="F422" s="3">
        <v>45978</v>
      </c>
      <c r="G422">
        <v>202608</v>
      </c>
      <c r="H422" t="s">
        <v>79</v>
      </c>
      <c r="I422" t="s">
        <v>80</v>
      </c>
      <c r="J422" t="s">
        <v>1329</v>
      </c>
      <c r="K422" t="s">
        <v>78</v>
      </c>
      <c r="L422" t="s">
        <v>90</v>
      </c>
      <c r="M422" t="s">
        <v>91</v>
      </c>
      <c r="N422" t="s">
        <v>236</v>
      </c>
      <c r="O422" t="s">
        <v>124</v>
      </c>
      <c r="P422" t="str">
        <f t="shared" si="2"/>
        <v xml:space="preserve">NA                            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21.38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1</v>
      </c>
      <c r="BI422">
        <v>1</v>
      </c>
      <c r="BJ422">
        <v>0.2</v>
      </c>
      <c r="BK422">
        <v>1</v>
      </c>
      <c r="BL422">
        <v>69.98</v>
      </c>
      <c r="BM422">
        <v>10.5</v>
      </c>
      <c r="BN422">
        <v>80.48</v>
      </c>
      <c r="BO422">
        <v>80.48</v>
      </c>
      <c r="BQ422" t="s">
        <v>1341</v>
      </c>
      <c r="BR422" t="s">
        <v>1342</v>
      </c>
      <c r="BS422" s="3">
        <v>45980</v>
      </c>
      <c r="BT422" s="4">
        <v>0.57708333333333328</v>
      </c>
      <c r="BU422" t="s">
        <v>1343</v>
      </c>
      <c r="BV422" t="s">
        <v>89</v>
      </c>
      <c r="BW422" t="s">
        <v>979</v>
      </c>
      <c r="BX422" t="s">
        <v>1344</v>
      </c>
      <c r="BY422">
        <v>1200</v>
      </c>
      <c r="BZ422" t="s">
        <v>126</v>
      </c>
      <c r="CC422" t="s">
        <v>91</v>
      </c>
      <c r="CD422">
        <v>4000</v>
      </c>
      <c r="CE422" t="s">
        <v>245</v>
      </c>
      <c r="CF422" s="3">
        <v>45980</v>
      </c>
      <c r="CI422">
        <v>1</v>
      </c>
      <c r="CJ422">
        <v>2</v>
      </c>
      <c r="CK422">
        <v>21</v>
      </c>
      <c r="CL422" t="s">
        <v>89</v>
      </c>
    </row>
    <row r="423" spans="1:90" x14ac:dyDescent="0.3">
      <c r="A423" t="s">
        <v>72</v>
      </c>
      <c r="B423" t="s">
        <v>73</v>
      </c>
      <c r="C423" t="s">
        <v>74</v>
      </c>
      <c r="E423" t="str">
        <f>"009945158477"</f>
        <v>009945158477</v>
      </c>
      <c r="F423" s="3">
        <v>45978</v>
      </c>
      <c r="G423">
        <v>202608</v>
      </c>
      <c r="H423" t="s">
        <v>79</v>
      </c>
      <c r="I423" t="s">
        <v>80</v>
      </c>
      <c r="J423" t="s">
        <v>1329</v>
      </c>
      <c r="K423" t="s">
        <v>78</v>
      </c>
      <c r="L423" t="s">
        <v>246</v>
      </c>
      <c r="M423" t="s">
        <v>247</v>
      </c>
      <c r="N423" t="s">
        <v>236</v>
      </c>
      <c r="O423" t="s">
        <v>124</v>
      </c>
      <c r="P423" t="str">
        <f t="shared" si="2"/>
        <v xml:space="preserve">NA                            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21.38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1</v>
      </c>
      <c r="BI423">
        <v>1</v>
      </c>
      <c r="BJ423">
        <v>0.2</v>
      </c>
      <c r="BK423">
        <v>1</v>
      </c>
      <c r="BL423">
        <v>69.98</v>
      </c>
      <c r="BM423">
        <v>10.5</v>
      </c>
      <c r="BN423">
        <v>80.48</v>
      </c>
      <c r="BO423">
        <v>80.48</v>
      </c>
      <c r="BQ423" t="s">
        <v>248</v>
      </c>
      <c r="BR423" t="s">
        <v>1342</v>
      </c>
      <c r="BS423" s="3">
        <v>45979</v>
      </c>
      <c r="BT423" s="4">
        <v>0.4513888888888889</v>
      </c>
      <c r="BU423" t="s">
        <v>1345</v>
      </c>
      <c r="BV423" t="s">
        <v>89</v>
      </c>
      <c r="BY423">
        <v>1200</v>
      </c>
      <c r="BZ423" t="s">
        <v>126</v>
      </c>
      <c r="CC423" t="s">
        <v>247</v>
      </c>
      <c r="CD423">
        <v>9300</v>
      </c>
      <c r="CE423" t="s">
        <v>245</v>
      </c>
      <c r="CF423" s="3">
        <v>45980</v>
      </c>
      <c r="CI423">
        <v>1</v>
      </c>
      <c r="CJ423">
        <v>1</v>
      </c>
      <c r="CK423">
        <v>21</v>
      </c>
      <c r="CL423" t="s">
        <v>89</v>
      </c>
    </row>
    <row r="424" spans="1:90" x14ac:dyDescent="0.3">
      <c r="A424" t="s">
        <v>72</v>
      </c>
      <c r="B424" t="s">
        <v>73</v>
      </c>
      <c r="C424" t="s">
        <v>74</v>
      </c>
      <c r="E424" t="str">
        <f>"009945158475"</f>
        <v>009945158475</v>
      </c>
      <c r="F424" s="3">
        <v>45978</v>
      </c>
      <c r="G424">
        <v>202608</v>
      </c>
      <c r="H424" t="s">
        <v>79</v>
      </c>
      <c r="I424" t="s">
        <v>80</v>
      </c>
      <c r="J424" t="s">
        <v>1329</v>
      </c>
      <c r="K424" t="s">
        <v>78</v>
      </c>
      <c r="L424" t="s">
        <v>90</v>
      </c>
      <c r="M424" t="s">
        <v>91</v>
      </c>
      <c r="N424" t="s">
        <v>1346</v>
      </c>
      <c r="O424" t="s">
        <v>124</v>
      </c>
      <c r="P424" t="str">
        <f t="shared" si="2"/>
        <v xml:space="preserve">NA                            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21.38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1</v>
      </c>
      <c r="BI424">
        <v>1</v>
      </c>
      <c r="BJ424">
        <v>0.2</v>
      </c>
      <c r="BK424">
        <v>1</v>
      </c>
      <c r="BL424">
        <v>69.98</v>
      </c>
      <c r="BM424">
        <v>10.5</v>
      </c>
      <c r="BN424">
        <v>80.48</v>
      </c>
      <c r="BO424">
        <v>80.48</v>
      </c>
      <c r="BQ424" t="s">
        <v>1347</v>
      </c>
      <c r="BR424" t="s">
        <v>1342</v>
      </c>
      <c r="BS424" s="3">
        <v>45980</v>
      </c>
      <c r="BT424" s="4">
        <v>0.32569444444444445</v>
      </c>
      <c r="BU424" t="s">
        <v>1348</v>
      </c>
      <c r="BV424" t="s">
        <v>89</v>
      </c>
      <c r="BY424">
        <v>1200</v>
      </c>
      <c r="BZ424" t="s">
        <v>126</v>
      </c>
      <c r="CA424" t="s">
        <v>328</v>
      </c>
      <c r="CC424" t="s">
        <v>91</v>
      </c>
      <c r="CD424">
        <v>4000</v>
      </c>
      <c r="CE424" t="s">
        <v>245</v>
      </c>
      <c r="CF424" s="3">
        <v>45980</v>
      </c>
      <c r="CI424">
        <v>1</v>
      </c>
      <c r="CJ424">
        <v>2</v>
      </c>
      <c r="CK424">
        <v>21</v>
      </c>
      <c r="CL424" t="s">
        <v>89</v>
      </c>
    </row>
    <row r="425" spans="1:90" x14ac:dyDescent="0.3">
      <c r="A425" t="s">
        <v>72</v>
      </c>
      <c r="B425" t="s">
        <v>73</v>
      </c>
      <c r="C425" t="s">
        <v>74</v>
      </c>
      <c r="E425" t="str">
        <f>"009945158474"</f>
        <v>009945158474</v>
      </c>
      <c r="F425" s="3">
        <v>45978</v>
      </c>
      <c r="G425">
        <v>202608</v>
      </c>
      <c r="H425" t="s">
        <v>79</v>
      </c>
      <c r="I425" t="s">
        <v>80</v>
      </c>
      <c r="J425" t="s">
        <v>1329</v>
      </c>
      <c r="K425" t="s">
        <v>78</v>
      </c>
      <c r="L425" t="s">
        <v>162</v>
      </c>
      <c r="M425" t="s">
        <v>163</v>
      </c>
      <c r="N425" t="s">
        <v>164</v>
      </c>
      <c r="O425" t="s">
        <v>124</v>
      </c>
      <c r="P425" t="str">
        <f t="shared" si="2"/>
        <v xml:space="preserve">NA                            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21.38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1</v>
      </c>
      <c r="BI425">
        <v>1</v>
      </c>
      <c r="BJ425">
        <v>0.2</v>
      </c>
      <c r="BK425">
        <v>1</v>
      </c>
      <c r="BL425">
        <v>69.98</v>
      </c>
      <c r="BM425">
        <v>10.5</v>
      </c>
      <c r="BN425">
        <v>80.48</v>
      </c>
      <c r="BO425">
        <v>80.48</v>
      </c>
      <c r="BQ425" t="s">
        <v>1349</v>
      </c>
      <c r="BR425" t="s">
        <v>1342</v>
      </c>
      <c r="BS425" s="3">
        <v>45979</v>
      </c>
      <c r="BT425" s="4">
        <v>0.36319444444444443</v>
      </c>
      <c r="BU425" t="s">
        <v>682</v>
      </c>
      <c r="BV425" t="s">
        <v>86</v>
      </c>
      <c r="BY425">
        <v>1200</v>
      </c>
      <c r="BZ425" t="s">
        <v>126</v>
      </c>
      <c r="CA425" t="s">
        <v>167</v>
      </c>
      <c r="CC425" t="s">
        <v>163</v>
      </c>
      <c r="CD425">
        <v>6045</v>
      </c>
      <c r="CE425" t="s">
        <v>245</v>
      </c>
      <c r="CF425" s="3">
        <v>45979</v>
      </c>
      <c r="CI425">
        <v>1</v>
      </c>
      <c r="CJ425">
        <v>1</v>
      </c>
      <c r="CK425">
        <v>21</v>
      </c>
      <c r="CL425" t="s">
        <v>89</v>
      </c>
    </row>
    <row r="426" spans="1:90" x14ac:dyDescent="0.3">
      <c r="A426" t="s">
        <v>72</v>
      </c>
      <c r="B426" t="s">
        <v>73</v>
      </c>
      <c r="C426" t="s">
        <v>74</v>
      </c>
      <c r="E426" t="str">
        <f>"009945158421"</f>
        <v>009945158421</v>
      </c>
      <c r="F426" s="3">
        <v>45978</v>
      </c>
      <c r="G426">
        <v>202608</v>
      </c>
      <c r="H426" t="s">
        <v>79</v>
      </c>
      <c r="I426" t="s">
        <v>80</v>
      </c>
      <c r="J426" t="s">
        <v>1329</v>
      </c>
      <c r="K426" t="s">
        <v>78</v>
      </c>
      <c r="L426" t="s">
        <v>75</v>
      </c>
      <c r="M426" t="s">
        <v>76</v>
      </c>
      <c r="N426" t="s">
        <v>236</v>
      </c>
      <c r="O426" t="s">
        <v>124</v>
      </c>
      <c r="P426" t="str">
        <f t="shared" si="2"/>
        <v xml:space="preserve">NA                            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21.38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1</v>
      </c>
      <c r="BI426">
        <v>1</v>
      </c>
      <c r="BJ426">
        <v>0.2</v>
      </c>
      <c r="BK426">
        <v>1</v>
      </c>
      <c r="BL426">
        <v>69.98</v>
      </c>
      <c r="BM426">
        <v>10.5</v>
      </c>
      <c r="BN426">
        <v>80.48</v>
      </c>
      <c r="BO426">
        <v>80.48</v>
      </c>
      <c r="BQ426" t="s">
        <v>506</v>
      </c>
      <c r="BR426" t="s">
        <v>1342</v>
      </c>
      <c r="BS426" s="3">
        <v>45979</v>
      </c>
      <c r="BT426" s="4">
        <v>0.5493055555555556</v>
      </c>
      <c r="BU426" t="s">
        <v>988</v>
      </c>
      <c r="BV426" t="s">
        <v>89</v>
      </c>
      <c r="BY426">
        <v>1200</v>
      </c>
      <c r="BZ426" t="s">
        <v>126</v>
      </c>
      <c r="CA426" t="s">
        <v>508</v>
      </c>
      <c r="CC426" t="s">
        <v>76</v>
      </c>
      <c r="CD426">
        <v>7460</v>
      </c>
      <c r="CE426" t="s">
        <v>245</v>
      </c>
      <c r="CF426" s="3">
        <v>45980</v>
      </c>
      <c r="CI426">
        <v>1</v>
      </c>
      <c r="CJ426">
        <v>1</v>
      </c>
      <c r="CK426">
        <v>21</v>
      </c>
      <c r="CL426" t="s">
        <v>89</v>
      </c>
    </row>
    <row r="427" spans="1:90" x14ac:dyDescent="0.3">
      <c r="A427" t="s">
        <v>72</v>
      </c>
      <c r="B427" t="s">
        <v>73</v>
      </c>
      <c r="C427" t="s">
        <v>74</v>
      </c>
      <c r="E427" t="str">
        <f>"009944868269"</f>
        <v>009944868269</v>
      </c>
      <c r="F427" s="3">
        <v>45979</v>
      </c>
      <c r="G427">
        <v>202608</v>
      </c>
      <c r="H427" t="s">
        <v>246</v>
      </c>
      <c r="I427" t="s">
        <v>247</v>
      </c>
      <c r="J427" t="s">
        <v>236</v>
      </c>
      <c r="K427" t="s">
        <v>78</v>
      </c>
      <c r="L427" t="s">
        <v>79</v>
      </c>
      <c r="M427" t="s">
        <v>80</v>
      </c>
      <c r="N427" t="s">
        <v>236</v>
      </c>
      <c r="O427" t="s">
        <v>124</v>
      </c>
      <c r="P427" t="str">
        <f>"                              "</f>
        <v xml:space="preserve">                              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21.38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1</v>
      </c>
      <c r="BI427">
        <v>1</v>
      </c>
      <c r="BJ427">
        <v>0.2</v>
      </c>
      <c r="BK427">
        <v>1</v>
      </c>
      <c r="BL427">
        <v>69.98</v>
      </c>
      <c r="BM427">
        <v>10.5</v>
      </c>
      <c r="BN427">
        <v>80.48</v>
      </c>
      <c r="BO427">
        <v>80.48</v>
      </c>
      <c r="BQ427" t="s">
        <v>241</v>
      </c>
      <c r="BR427" t="s">
        <v>248</v>
      </c>
      <c r="BS427" s="3">
        <v>45980</v>
      </c>
      <c r="BT427" s="4">
        <v>0.35347222222222224</v>
      </c>
      <c r="BU427" t="s">
        <v>323</v>
      </c>
      <c r="BV427" t="s">
        <v>86</v>
      </c>
      <c r="BY427">
        <v>1200</v>
      </c>
      <c r="BZ427" t="s">
        <v>126</v>
      </c>
      <c r="CA427">
        <v>9512275238082</v>
      </c>
      <c r="CC427" t="s">
        <v>80</v>
      </c>
      <c r="CD427" s="5" t="s">
        <v>1125</v>
      </c>
      <c r="CE427" t="s">
        <v>245</v>
      </c>
      <c r="CF427" s="3">
        <v>45980</v>
      </c>
      <c r="CI427">
        <v>1</v>
      </c>
      <c r="CJ427">
        <v>1</v>
      </c>
      <c r="CK427">
        <v>21</v>
      </c>
      <c r="CL427" t="s">
        <v>89</v>
      </c>
    </row>
    <row r="428" spans="1:90" x14ac:dyDescent="0.3">
      <c r="A428" t="s">
        <v>72</v>
      </c>
      <c r="B428" t="s">
        <v>73</v>
      </c>
      <c r="C428" t="s">
        <v>74</v>
      </c>
      <c r="E428" t="str">
        <f>"GAB2029954"</f>
        <v>GAB2029954</v>
      </c>
      <c r="F428" s="3">
        <v>45980</v>
      </c>
      <c r="G428">
        <v>202608</v>
      </c>
      <c r="H428" t="s">
        <v>75</v>
      </c>
      <c r="I428" t="s">
        <v>76</v>
      </c>
      <c r="J428" t="s">
        <v>77</v>
      </c>
      <c r="K428" t="s">
        <v>78</v>
      </c>
      <c r="L428" t="s">
        <v>292</v>
      </c>
      <c r="M428" t="s">
        <v>293</v>
      </c>
      <c r="N428" t="s">
        <v>404</v>
      </c>
      <c r="O428" t="s">
        <v>124</v>
      </c>
      <c r="P428" t="str">
        <f>"INVOICE00041648 ORDGS038296   "</f>
        <v xml:space="preserve">INVOICE00041648 ORDGS038296   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26.73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1</v>
      </c>
      <c r="BI428">
        <v>0.2</v>
      </c>
      <c r="BJ428">
        <v>2.2000000000000002</v>
      </c>
      <c r="BK428">
        <v>2.5</v>
      </c>
      <c r="BL428">
        <v>87.47</v>
      </c>
      <c r="BM428">
        <v>13.12</v>
      </c>
      <c r="BN428">
        <v>100.59</v>
      </c>
      <c r="BO428">
        <v>100.59</v>
      </c>
      <c r="BR428" t="s">
        <v>84</v>
      </c>
      <c r="BS428" s="3">
        <v>45981</v>
      </c>
      <c r="BT428" s="4">
        <v>0.4375</v>
      </c>
      <c r="BU428" t="s">
        <v>405</v>
      </c>
      <c r="BV428" t="s">
        <v>86</v>
      </c>
      <c r="BY428">
        <v>11003.76</v>
      </c>
      <c r="BZ428" t="s">
        <v>126</v>
      </c>
      <c r="CA428" t="s">
        <v>1350</v>
      </c>
      <c r="CC428" t="s">
        <v>293</v>
      </c>
      <c r="CD428">
        <v>1449</v>
      </c>
      <c r="CE428" t="s">
        <v>338</v>
      </c>
      <c r="CF428" s="3">
        <v>45981</v>
      </c>
      <c r="CI428">
        <v>1</v>
      </c>
      <c r="CJ428">
        <v>1</v>
      </c>
      <c r="CK428">
        <v>21</v>
      </c>
      <c r="CL428" t="s">
        <v>89</v>
      </c>
    </row>
    <row r="429" spans="1:90" x14ac:dyDescent="0.3">
      <c r="A429" t="s">
        <v>72</v>
      </c>
      <c r="B429" t="s">
        <v>73</v>
      </c>
      <c r="C429" t="s">
        <v>74</v>
      </c>
      <c r="E429" t="str">
        <f>"GAB2029955"</f>
        <v>GAB2029955</v>
      </c>
      <c r="F429" s="3">
        <v>45980</v>
      </c>
      <c r="G429">
        <v>202608</v>
      </c>
      <c r="H429" t="s">
        <v>75</v>
      </c>
      <c r="I429" t="s">
        <v>76</v>
      </c>
      <c r="J429" t="s">
        <v>77</v>
      </c>
      <c r="K429" t="s">
        <v>78</v>
      </c>
      <c r="L429" t="s">
        <v>1081</v>
      </c>
      <c r="M429" t="s">
        <v>1082</v>
      </c>
      <c r="N429" t="s">
        <v>1351</v>
      </c>
      <c r="O429" t="s">
        <v>124</v>
      </c>
      <c r="P429" t="str">
        <f>"INVOICE00041651 ORDGS038161   "</f>
        <v xml:space="preserve">INVOICE00041651 ORDGS038161   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50.78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1</v>
      </c>
      <c r="BI429">
        <v>0.1</v>
      </c>
      <c r="BJ429">
        <v>2.2000000000000002</v>
      </c>
      <c r="BK429">
        <v>2.5</v>
      </c>
      <c r="BL429">
        <v>166.2</v>
      </c>
      <c r="BM429">
        <v>24.93</v>
      </c>
      <c r="BN429">
        <v>191.13</v>
      </c>
      <c r="BO429">
        <v>191.13</v>
      </c>
      <c r="BQ429" t="s">
        <v>740</v>
      </c>
      <c r="BR429" t="s">
        <v>84</v>
      </c>
      <c r="BS429" s="3">
        <v>45981</v>
      </c>
      <c r="BT429" s="4">
        <v>0.38194444444444442</v>
      </c>
      <c r="BU429" t="s">
        <v>1352</v>
      </c>
      <c r="BV429" t="s">
        <v>86</v>
      </c>
      <c r="BY429">
        <v>11144.7</v>
      </c>
      <c r="BZ429" t="s">
        <v>126</v>
      </c>
      <c r="CC429" t="s">
        <v>1082</v>
      </c>
      <c r="CD429">
        <v>9499</v>
      </c>
      <c r="CE429" t="s">
        <v>367</v>
      </c>
      <c r="CF429" s="3">
        <v>45982</v>
      </c>
      <c r="CI429">
        <v>2</v>
      </c>
      <c r="CJ429">
        <v>1</v>
      </c>
      <c r="CK429">
        <v>23</v>
      </c>
      <c r="CL429" t="s">
        <v>89</v>
      </c>
    </row>
    <row r="430" spans="1:90" x14ac:dyDescent="0.3">
      <c r="A430" t="s">
        <v>72</v>
      </c>
      <c r="B430" t="s">
        <v>73</v>
      </c>
      <c r="C430" t="s">
        <v>74</v>
      </c>
      <c r="E430" t="str">
        <f>"GAB2029956"</f>
        <v>GAB2029956</v>
      </c>
      <c r="F430" s="3">
        <v>45980</v>
      </c>
      <c r="G430">
        <v>202608</v>
      </c>
      <c r="H430" t="s">
        <v>75</v>
      </c>
      <c r="I430" t="s">
        <v>76</v>
      </c>
      <c r="J430" t="s">
        <v>77</v>
      </c>
      <c r="K430" t="s">
        <v>78</v>
      </c>
      <c r="L430" t="s">
        <v>1173</v>
      </c>
      <c r="M430" t="s">
        <v>1174</v>
      </c>
      <c r="N430" t="s">
        <v>1353</v>
      </c>
      <c r="O430" t="s">
        <v>124</v>
      </c>
      <c r="P430" t="str">
        <f>"INVOICE00041652 ORDGS038292   "</f>
        <v xml:space="preserve">INVOICE00041652 ORDGS038292   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26.73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1</v>
      </c>
      <c r="BI430">
        <v>0.2</v>
      </c>
      <c r="BJ430">
        <v>2.2999999999999998</v>
      </c>
      <c r="BK430">
        <v>2.5</v>
      </c>
      <c r="BL430">
        <v>87.47</v>
      </c>
      <c r="BM430">
        <v>13.12</v>
      </c>
      <c r="BN430">
        <v>100.59</v>
      </c>
      <c r="BO430">
        <v>100.59</v>
      </c>
      <c r="BQ430" t="s">
        <v>1354</v>
      </c>
      <c r="BR430" t="s">
        <v>84</v>
      </c>
      <c r="BS430" s="3">
        <v>45981</v>
      </c>
      <c r="BT430" s="4">
        <v>0.42222222222222222</v>
      </c>
      <c r="BU430" t="s">
        <v>1355</v>
      </c>
      <c r="BV430" t="s">
        <v>86</v>
      </c>
      <c r="BY430">
        <v>11589.56</v>
      </c>
      <c r="BZ430" t="s">
        <v>126</v>
      </c>
      <c r="CA430" t="s">
        <v>1356</v>
      </c>
      <c r="CC430" t="s">
        <v>1174</v>
      </c>
      <c r="CD430">
        <v>1560</v>
      </c>
      <c r="CE430" t="s">
        <v>149</v>
      </c>
      <c r="CF430" s="3">
        <v>45981</v>
      </c>
      <c r="CI430">
        <v>1</v>
      </c>
      <c r="CJ430">
        <v>1</v>
      </c>
      <c r="CK430">
        <v>21</v>
      </c>
      <c r="CL430" t="s">
        <v>89</v>
      </c>
    </row>
    <row r="431" spans="1:90" x14ac:dyDescent="0.3">
      <c r="A431" t="s">
        <v>72</v>
      </c>
      <c r="B431" t="s">
        <v>73</v>
      </c>
      <c r="C431" t="s">
        <v>74</v>
      </c>
      <c r="E431" t="str">
        <f>"GAB2029957"</f>
        <v>GAB2029957</v>
      </c>
      <c r="F431" s="3">
        <v>45980</v>
      </c>
      <c r="G431">
        <v>202608</v>
      </c>
      <c r="H431" t="s">
        <v>75</v>
      </c>
      <c r="I431" t="s">
        <v>76</v>
      </c>
      <c r="J431" t="s">
        <v>77</v>
      </c>
      <c r="K431" t="s">
        <v>78</v>
      </c>
      <c r="L431" t="s">
        <v>230</v>
      </c>
      <c r="M431" t="s">
        <v>231</v>
      </c>
      <c r="N431" t="s">
        <v>1357</v>
      </c>
      <c r="O431" t="s">
        <v>124</v>
      </c>
      <c r="P431" t="str">
        <f>"INVOICE00041654 ORDGS038299   "</f>
        <v xml:space="preserve">INVOICE00041654 ORDGS038299   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21.38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1</v>
      </c>
      <c r="BI431">
        <v>0.7</v>
      </c>
      <c r="BJ431">
        <v>1.7</v>
      </c>
      <c r="BK431">
        <v>2</v>
      </c>
      <c r="BL431">
        <v>69.98</v>
      </c>
      <c r="BM431">
        <v>10.5</v>
      </c>
      <c r="BN431">
        <v>80.48</v>
      </c>
      <c r="BO431">
        <v>80.48</v>
      </c>
      <c r="BR431" t="s">
        <v>84</v>
      </c>
      <c r="BS431" s="3">
        <v>45981</v>
      </c>
      <c r="BT431" s="4">
        <v>0.38055555555555554</v>
      </c>
      <c r="BU431" t="s">
        <v>1358</v>
      </c>
      <c r="BV431" t="s">
        <v>86</v>
      </c>
      <c r="BY431">
        <v>8491.84</v>
      </c>
      <c r="BZ431" t="s">
        <v>126</v>
      </c>
      <c r="CC431" t="s">
        <v>231</v>
      </c>
      <c r="CD431" s="5" t="s">
        <v>382</v>
      </c>
      <c r="CE431" t="s">
        <v>188</v>
      </c>
      <c r="CI431">
        <v>1</v>
      </c>
      <c r="CJ431">
        <v>1</v>
      </c>
      <c r="CK431">
        <v>21</v>
      </c>
      <c r="CL431" t="s">
        <v>89</v>
      </c>
    </row>
    <row r="432" spans="1:90" x14ac:dyDescent="0.3">
      <c r="A432" t="s">
        <v>72</v>
      </c>
      <c r="B432" t="s">
        <v>73</v>
      </c>
      <c r="C432" t="s">
        <v>74</v>
      </c>
      <c r="E432" t="str">
        <f>"GAB2029958"</f>
        <v>GAB2029958</v>
      </c>
      <c r="F432" s="3">
        <v>45980</v>
      </c>
      <c r="G432">
        <v>202608</v>
      </c>
      <c r="H432" t="s">
        <v>75</v>
      </c>
      <c r="I432" t="s">
        <v>76</v>
      </c>
      <c r="J432" t="s">
        <v>77</v>
      </c>
      <c r="K432" t="s">
        <v>78</v>
      </c>
      <c r="L432" t="s">
        <v>212</v>
      </c>
      <c r="M432" t="s">
        <v>213</v>
      </c>
      <c r="N432" t="s">
        <v>410</v>
      </c>
      <c r="O432" t="s">
        <v>124</v>
      </c>
      <c r="P432" t="str">
        <f>"INVOICE00041655 ORDGS038306   "</f>
        <v xml:space="preserve">INVOICE00041655 ORDGS038306   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21.38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1</v>
      </c>
      <c r="BI432">
        <v>0.2</v>
      </c>
      <c r="BJ432">
        <v>1.9</v>
      </c>
      <c r="BK432">
        <v>2</v>
      </c>
      <c r="BL432">
        <v>69.98</v>
      </c>
      <c r="BM432">
        <v>10.5</v>
      </c>
      <c r="BN432">
        <v>80.48</v>
      </c>
      <c r="BO432">
        <v>80.48</v>
      </c>
      <c r="BQ432" t="s">
        <v>411</v>
      </c>
      <c r="BR432" t="s">
        <v>84</v>
      </c>
      <c r="BS432" s="3">
        <v>45981</v>
      </c>
      <c r="BT432" s="4">
        <v>0.45208333333333334</v>
      </c>
      <c r="BU432" t="s">
        <v>1023</v>
      </c>
      <c r="BV432" t="s">
        <v>89</v>
      </c>
      <c r="BW432" t="s">
        <v>216</v>
      </c>
      <c r="BX432" t="s">
        <v>217</v>
      </c>
      <c r="BY432">
        <v>9425.52</v>
      </c>
      <c r="BZ432" t="s">
        <v>126</v>
      </c>
      <c r="CA432" t="s">
        <v>414</v>
      </c>
      <c r="CC432" t="s">
        <v>213</v>
      </c>
      <c r="CD432">
        <v>5201</v>
      </c>
      <c r="CE432" t="s">
        <v>128</v>
      </c>
      <c r="CF432" s="3">
        <v>45982</v>
      </c>
      <c r="CI432">
        <v>1</v>
      </c>
      <c r="CJ432">
        <v>1</v>
      </c>
      <c r="CK432">
        <v>21</v>
      </c>
      <c r="CL432" t="s">
        <v>89</v>
      </c>
    </row>
    <row r="433" spans="1:90" x14ac:dyDescent="0.3">
      <c r="A433" t="s">
        <v>72</v>
      </c>
      <c r="B433" t="s">
        <v>73</v>
      </c>
      <c r="C433" t="s">
        <v>74</v>
      </c>
      <c r="E433" t="str">
        <f>"GAB2029961"</f>
        <v>GAB2029961</v>
      </c>
      <c r="F433" s="3">
        <v>45980</v>
      </c>
      <c r="G433">
        <v>202608</v>
      </c>
      <c r="H433" t="s">
        <v>75</v>
      </c>
      <c r="I433" t="s">
        <v>76</v>
      </c>
      <c r="J433" t="s">
        <v>77</v>
      </c>
      <c r="K433" t="s">
        <v>78</v>
      </c>
      <c r="L433" t="s">
        <v>75</v>
      </c>
      <c r="M433" t="s">
        <v>76</v>
      </c>
      <c r="N433" t="s">
        <v>481</v>
      </c>
      <c r="O433" t="s">
        <v>124</v>
      </c>
      <c r="P433" t="str">
        <f>"INVOICE00122897 CT098365      "</f>
        <v xml:space="preserve">INVOICE00122897 CT098365      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16.7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1</v>
      </c>
      <c r="BI433">
        <v>0.8</v>
      </c>
      <c r="BJ433">
        <v>2.2999999999999998</v>
      </c>
      <c r="BK433">
        <v>3</v>
      </c>
      <c r="BL433">
        <v>54.66</v>
      </c>
      <c r="BM433">
        <v>8.1999999999999993</v>
      </c>
      <c r="BN433">
        <v>62.86</v>
      </c>
      <c r="BO433">
        <v>62.86</v>
      </c>
      <c r="BQ433" t="s">
        <v>482</v>
      </c>
      <c r="BR433" t="s">
        <v>84</v>
      </c>
      <c r="BS433" s="3">
        <v>45981</v>
      </c>
      <c r="BT433" s="4">
        <v>0.37569444444444444</v>
      </c>
      <c r="BU433" t="s">
        <v>483</v>
      </c>
      <c r="BV433" t="s">
        <v>86</v>
      </c>
      <c r="BY433">
        <v>11544.4</v>
      </c>
      <c r="BZ433" t="s">
        <v>126</v>
      </c>
      <c r="CA433" t="s">
        <v>484</v>
      </c>
      <c r="CC433" t="s">
        <v>76</v>
      </c>
      <c r="CD433">
        <v>7441</v>
      </c>
      <c r="CE433" t="s">
        <v>1207</v>
      </c>
      <c r="CF433" s="3">
        <v>45982</v>
      </c>
      <c r="CI433">
        <v>1</v>
      </c>
      <c r="CJ433">
        <v>1</v>
      </c>
      <c r="CK433">
        <v>22</v>
      </c>
      <c r="CL433" t="s">
        <v>89</v>
      </c>
    </row>
    <row r="434" spans="1:90" x14ac:dyDescent="0.3">
      <c r="A434" t="s">
        <v>72</v>
      </c>
      <c r="B434" t="s">
        <v>73</v>
      </c>
      <c r="C434" t="s">
        <v>74</v>
      </c>
      <c r="E434" t="str">
        <f>"GAB2029962"</f>
        <v>GAB2029962</v>
      </c>
      <c r="F434" s="3">
        <v>45980</v>
      </c>
      <c r="G434">
        <v>202608</v>
      </c>
      <c r="H434" t="s">
        <v>75</v>
      </c>
      <c r="I434" t="s">
        <v>76</v>
      </c>
      <c r="J434" t="s">
        <v>77</v>
      </c>
      <c r="K434" t="s">
        <v>78</v>
      </c>
      <c r="L434" t="s">
        <v>224</v>
      </c>
      <c r="M434" t="s">
        <v>225</v>
      </c>
      <c r="N434" t="s">
        <v>226</v>
      </c>
      <c r="O434" t="s">
        <v>124</v>
      </c>
      <c r="P434" t="str">
        <f>"INVOICE00122898 CT098376      "</f>
        <v xml:space="preserve">INVOICE00122898 CT098376      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41.43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1</v>
      </c>
      <c r="BI434">
        <v>0.7</v>
      </c>
      <c r="BJ434">
        <v>1.9</v>
      </c>
      <c r="BK434">
        <v>2</v>
      </c>
      <c r="BL434">
        <v>135.59</v>
      </c>
      <c r="BM434">
        <v>20.34</v>
      </c>
      <c r="BN434">
        <v>155.93</v>
      </c>
      <c r="BO434">
        <v>155.93</v>
      </c>
      <c r="BQ434" t="s">
        <v>1359</v>
      </c>
      <c r="BR434" t="s">
        <v>84</v>
      </c>
      <c r="BS434" s="3">
        <v>45982</v>
      </c>
      <c r="BT434" s="4">
        <v>0.43263888888888891</v>
      </c>
      <c r="BU434" t="s">
        <v>1360</v>
      </c>
      <c r="BV434" t="s">
        <v>86</v>
      </c>
      <c r="BY434">
        <v>9302.4</v>
      </c>
      <c r="BZ434" t="s">
        <v>126</v>
      </c>
      <c r="CA434" t="s">
        <v>229</v>
      </c>
      <c r="CC434" t="s">
        <v>225</v>
      </c>
      <c r="CD434">
        <v>9701</v>
      </c>
      <c r="CE434" t="s">
        <v>929</v>
      </c>
      <c r="CF434" s="3">
        <v>45985</v>
      </c>
      <c r="CI434">
        <v>2</v>
      </c>
      <c r="CJ434">
        <v>2</v>
      </c>
      <c r="CK434">
        <v>23</v>
      </c>
      <c r="CL434" t="s">
        <v>89</v>
      </c>
    </row>
    <row r="435" spans="1:90" x14ac:dyDescent="0.3">
      <c r="A435" t="s">
        <v>72</v>
      </c>
      <c r="B435" t="s">
        <v>73</v>
      </c>
      <c r="C435" t="s">
        <v>74</v>
      </c>
      <c r="E435" t="str">
        <f>"GAB2029963"</f>
        <v>GAB2029963</v>
      </c>
      <c r="F435" s="3">
        <v>45980</v>
      </c>
      <c r="G435">
        <v>202608</v>
      </c>
      <c r="H435" t="s">
        <v>75</v>
      </c>
      <c r="I435" t="s">
        <v>76</v>
      </c>
      <c r="J435" t="s">
        <v>77</v>
      </c>
      <c r="K435" t="s">
        <v>78</v>
      </c>
      <c r="L435" t="s">
        <v>169</v>
      </c>
      <c r="M435" t="s">
        <v>170</v>
      </c>
      <c r="N435" t="s">
        <v>823</v>
      </c>
      <c r="O435" t="s">
        <v>124</v>
      </c>
      <c r="P435" t="str">
        <f>"INVOICE00122904 CT098380      "</f>
        <v xml:space="preserve">INVOICE00122904 CT098380      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21.38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16.739999999999998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1</v>
      </c>
      <c r="BI435">
        <v>0.3</v>
      </c>
      <c r="BJ435">
        <v>1.8</v>
      </c>
      <c r="BK435">
        <v>2</v>
      </c>
      <c r="BL435">
        <v>86.72</v>
      </c>
      <c r="BM435">
        <v>13.01</v>
      </c>
      <c r="BN435">
        <v>99.73</v>
      </c>
      <c r="BO435">
        <v>99.73</v>
      </c>
      <c r="BQ435" t="s">
        <v>1361</v>
      </c>
      <c r="BR435" t="s">
        <v>84</v>
      </c>
      <c r="BS435" s="3">
        <v>45981</v>
      </c>
      <c r="BT435" s="4">
        <v>0.5</v>
      </c>
      <c r="BU435" t="s">
        <v>1362</v>
      </c>
      <c r="BV435" t="s">
        <v>86</v>
      </c>
      <c r="BY435">
        <v>9065.76</v>
      </c>
      <c r="BZ435" t="s">
        <v>180</v>
      </c>
      <c r="CC435" t="s">
        <v>170</v>
      </c>
      <c r="CD435">
        <v>1803</v>
      </c>
      <c r="CE435" t="s">
        <v>814</v>
      </c>
      <c r="CF435" s="3">
        <v>45986</v>
      </c>
      <c r="CI435">
        <v>0</v>
      </c>
      <c r="CJ435">
        <v>0</v>
      </c>
      <c r="CK435">
        <v>21</v>
      </c>
      <c r="CL435" t="s">
        <v>89</v>
      </c>
    </row>
    <row r="436" spans="1:90" x14ac:dyDescent="0.3">
      <c r="A436" t="s">
        <v>72</v>
      </c>
      <c r="B436" t="s">
        <v>73</v>
      </c>
      <c r="C436" t="s">
        <v>74</v>
      </c>
      <c r="E436" t="str">
        <f>"GAB2029965"</f>
        <v>GAB2029965</v>
      </c>
      <c r="F436" s="3">
        <v>45980</v>
      </c>
      <c r="G436">
        <v>202608</v>
      </c>
      <c r="H436" t="s">
        <v>75</v>
      </c>
      <c r="I436" t="s">
        <v>76</v>
      </c>
      <c r="J436" t="s">
        <v>77</v>
      </c>
      <c r="K436" t="s">
        <v>78</v>
      </c>
      <c r="L436" t="s">
        <v>595</v>
      </c>
      <c r="M436" t="s">
        <v>596</v>
      </c>
      <c r="N436" t="s">
        <v>908</v>
      </c>
      <c r="O436" t="s">
        <v>124</v>
      </c>
      <c r="P436" t="str">
        <f>"INVOICE00122902 CT098373      "</f>
        <v xml:space="preserve">INVOICE00122902 CT098373      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41.43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1</v>
      </c>
      <c r="BI436">
        <v>0.2</v>
      </c>
      <c r="BJ436">
        <v>2</v>
      </c>
      <c r="BK436">
        <v>2</v>
      </c>
      <c r="BL436">
        <v>135.59</v>
      </c>
      <c r="BM436">
        <v>20.34</v>
      </c>
      <c r="BN436">
        <v>155.93</v>
      </c>
      <c r="BO436">
        <v>155.93</v>
      </c>
      <c r="BQ436" t="s">
        <v>909</v>
      </c>
      <c r="BR436" t="s">
        <v>84</v>
      </c>
      <c r="BS436" s="3">
        <v>45985</v>
      </c>
      <c r="BT436" s="4">
        <v>0.64027777777777772</v>
      </c>
      <c r="BU436" t="s">
        <v>1363</v>
      </c>
      <c r="BV436" t="s">
        <v>86</v>
      </c>
      <c r="BY436">
        <v>9850.5</v>
      </c>
      <c r="BZ436" t="s">
        <v>126</v>
      </c>
      <c r="CA436">
        <v>8402075059089</v>
      </c>
      <c r="CC436" t="s">
        <v>596</v>
      </c>
      <c r="CD436">
        <v>8801</v>
      </c>
      <c r="CE436" t="s">
        <v>1364</v>
      </c>
      <c r="CF436" s="3">
        <v>45986</v>
      </c>
      <c r="CI436">
        <v>3</v>
      </c>
      <c r="CJ436">
        <v>3</v>
      </c>
      <c r="CK436">
        <v>23</v>
      </c>
      <c r="CL436" t="s">
        <v>89</v>
      </c>
    </row>
    <row r="437" spans="1:90" x14ac:dyDescent="0.3">
      <c r="A437" t="s">
        <v>72</v>
      </c>
      <c r="B437" t="s">
        <v>73</v>
      </c>
      <c r="C437" t="s">
        <v>74</v>
      </c>
      <c r="E437" t="str">
        <f>"GAB2029971"</f>
        <v>GAB2029971</v>
      </c>
      <c r="F437" s="3">
        <v>45980</v>
      </c>
      <c r="G437">
        <v>202608</v>
      </c>
      <c r="H437" t="s">
        <v>75</v>
      </c>
      <c r="I437" t="s">
        <v>76</v>
      </c>
      <c r="J437" t="s">
        <v>77</v>
      </c>
      <c r="K437" t="s">
        <v>78</v>
      </c>
      <c r="L437" t="s">
        <v>169</v>
      </c>
      <c r="M437" t="s">
        <v>170</v>
      </c>
      <c r="N437" t="s">
        <v>926</v>
      </c>
      <c r="O437" t="s">
        <v>124</v>
      </c>
      <c r="P437" t="str">
        <f>"INVOICE00041669 ORDGS038318   "</f>
        <v xml:space="preserve">INVOICE00041669 ORDGS038318   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26.73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1</v>
      </c>
      <c r="BI437">
        <v>0.3</v>
      </c>
      <c r="BJ437">
        <v>2.1</v>
      </c>
      <c r="BK437">
        <v>2.5</v>
      </c>
      <c r="BL437">
        <v>87.47</v>
      </c>
      <c r="BM437">
        <v>13.12</v>
      </c>
      <c r="BN437">
        <v>100.59</v>
      </c>
      <c r="BO437">
        <v>100.59</v>
      </c>
      <c r="BQ437" t="s">
        <v>927</v>
      </c>
      <c r="BR437" t="s">
        <v>84</v>
      </c>
      <c r="BS437" s="3">
        <v>45981</v>
      </c>
      <c r="BT437" s="4">
        <v>0.37152777777777779</v>
      </c>
      <c r="BU437" t="s">
        <v>1365</v>
      </c>
      <c r="BV437" t="s">
        <v>86</v>
      </c>
      <c r="BY437">
        <v>10379.52</v>
      </c>
      <c r="BZ437" t="s">
        <v>126</v>
      </c>
      <c r="CA437" t="s">
        <v>775</v>
      </c>
      <c r="CC437" t="s">
        <v>170</v>
      </c>
      <c r="CD437">
        <v>2055</v>
      </c>
      <c r="CE437" t="s">
        <v>814</v>
      </c>
      <c r="CF437" s="3">
        <v>45982</v>
      </c>
      <c r="CI437">
        <v>1</v>
      </c>
      <c r="CJ437">
        <v>1</v>
      </c>
      <c r="CK437">
        <v>21</v>
      </c>
      <c r="CL437" t="s">
        <v>89</v>
      </c>
    </row>
    <row r="438" spans="1:90" x14ac:dyDescent="0.3">
      <c r="A438" t="s">
        <v>72</v>
      </c>
      <c r="B438" t="s">
        <v>73</v>
      </c>
      <c r="C438" t="s">
        <v>74</v>
      </c>
      <c r="E438" t="str">
        <f>"GAB2029973"</f>
        <v>GAB2029973</v>
      </c>
      <c r="F438" s="3">
        <v>45980</v>
      </c>
      <c r="G438">
        <v>202608</v>
      </c>
      <c r="H438" t="s">
        <v>75</v>
      </c>
      <c r="I438" t="s">
        <v>76</v>
      </c>
      <c r="J438" t="s">
        <v>77</v>
      </c>
      <c r="K438" t="s">
        <v>78</v>
      </c>
      <c r="L438" t="s">
        <v>330</v>
      </c>
      <c r="M438" t="s">
        <v>331</v>
      </c>
      <c r="N438" t="s">
        <v>332</v>
      </c>
      <c r="O438" t="s">
        <v>124</v>
      </c>
      <c r="P438" t="str">
        <f>"INVOICE00122910 CT098384      "</f>
        <v xml:space="preserve">INVOICE00122910 CT098384      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26.73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16.739999999999998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1</v>
      </c>
      <c r="BI438">
        <v>0.1</v>
      </c>
      <c r="BJ438">
        <v>2.2000000000000002</v>
      </c>
      <c r="BK438">
        <v>2.5</v>
      </c>
      <c r="BL438">
        <v>104.21</v>
      </c>
      <c r="BM438">
        <v>15.63</v>
      </c>
      <c r="BN438">
        <v>119.84</v>
      </c>
      <c r="BO438">
        <v>119.84</v>
      </c>
      <c r="BQ438" t="s">
        <v>400</v>
      </c>
      <c r="BR438" t="s">
        <v>84</v>
      </c>
      <c r="BS438" s="3">
        <v>45981</v>
      </c>
      <c r="BT438" s="4">
        <v>0.4</v>
      </c>
      <c r="BU438" t="s">
        <v>1366</v>
      </c>
      <c r="BV438" t="s">
        <v>86</v>
      </c>
      <c r="BY438">
        <v>10755.99</v>
      </c>
      <c r="BZ438" t="s">
        <v>180</v>
      </c>
      <c r="CA438" t="s">
        <v>402</v>
      </c>
      <c r="CC438" t="s">
        <v>331</v>
      </c>
      <c r="CD438">
        <v>1475</v>
      </c>
      <c r="CE438" t="s">
        <v>367</v>
      </c>
      <c r="CF438" s="3">
        <v>45981</v>
      </c>
      <c r="CI438">
        <v>1</v>
      </c>
      <c r="CJ438">
        <v>1</v>
      </c>
      <c r="CK438">
        <v>21</v>
      </c>
      <c r="CL438" t="s">
        <v>89</v>
      </c>
    </row>
    <row r="439" spans="1:90" x14ac:dyDescent="0.3">
      <c r="A439" t="s">
        <v>72</v>
      </c>
      <c r="B439" t="s">
        <v>73</v>
      </c>
      <c r="C439" t="s">
        <v>74</v>
      </c>
      <c r="E439" t="str">
        <f>"GAB2029977"</f>
        <v>GAB2029977</v>
      </c>
      <c r="F439" s="3">
        <v>45980</v>
      </c>
      <c r="G439">
        <v>202608</v>
      </c>
      <c r="H439" t="s">
        <v>75</v>
      </c>
      <c r="I439" t="s">
        <v>76</v>
      </c>
      <c r="J439" t="s">
        <v>77</v>
      </c>
      <c r="K439" t="s">
        <v>78</v>
      </c>
      <c r="L439" t="s">
        <v>75</v>
      </c>
      <c r="M439" t="s">
        <v>76</v>
      </c>
      <c r="N439" t="s">
        <v>743</v>
      </c>
      <c r="O439" t="s">
        <v>124</v>
      </c>
      <c r="P439" t="str">
        <f>"INVOICE 00122922 CT098386     "</f>
        <v xml:space="preserve">INVOICE 00122922 CT098386     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16.7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1</v>
      </c>
      <c r="BI439">
        <v>0.2</v>
      </c>
      <c r="BJ439">
        <v>2</v>
      </c>
      <c r="BK439">
        <v>2</v>
      </c>
      <c r="BL439">
        <v>54.66</v>
      </c>
      <c r="BM439">
        <v>8.1999999999999993</v>
      </c>
      <c r="BN439">
        <v>62.86</v>
      </c>
      <c r="BO439">
        <v>62.86</v>
      </c>
      <c r="BQ439" t="s">
        <v>458</v>
      </c>
      <c r="BR439" t="s">
        <v>84</v>
      </c>
      <c r="BS439" s="3">
        <v>45981</v>
      </c>
      <c r="BT439" s="4">
        <v>0.33819444444444446</v>
      </c>
      <c r="BU439" t="s">
        <v>1367</v>
      </c>
      <c r="BV439" t="s">
        <v>86</v>
      </c>
      <c r="BY439">
        <v>10175.1</v>
      </c>
      <c r="BZ439" t="s">
        <v>126</v>
      </c>
      <c r="CA439" t="s">
        <v>373</v>
      </c>
      <c r="CC439" t="s">
        <v>76</v>
      </c>
      <c r="CD439">
        <v>7700</v>
      </c>
      <c r="CE439" t="s">
        <v>128</v>
      </c>
      <c r="CF439" s="3">
        <v>45985</v>
      </c>
      <c r="CI439">
        <v>1</v>
      </c>
      <c r="CJ439">
        <v>1</v>
      </c>
      <c r="CK439">
        <v>22</v>
      </c>
      <c r="CL439" t="s">
        <v>89</v>
      </c>
    </row>
    <row r="440" spans="1:90" x14ac:dyDescent="0.3">
      <c r="A440" t="s">
        <v>72</v>
      </c>
      <c r="B440" t="s">
        <v>73</v>
      </c>
      <c r="C440" t="s">
        <v>74</v>
      </c>
      <c r="E440" t="str">
        <f>"GAB2029980"</f>
        <v>GAB2029980</v>
      </c>
      <c r="F440" s="3">
        <v>45980</v>
      </c>
      <c r="G440">
        <v>202608</v>
      </c>
      <c r="H440" t="s">
        <v>75</v>
      </c>
      <c r="I440" t="s">
        <v>76</v>
      </c>
      <c r="J440" t="s">
        <v>77</v>
      </c>
      <c r="K440" t="s">
        <v>78</v>
      </c>
      <c r="L440" t="s">
        <v>200</v>
      </c>
      <c r="M440" t="s">
        <v>201</v>
      </c>
      <c r="N440" t="s">
        <v>202</v>
      </c>
      <c r="O440" t="s">
        <v>124</v>
      </c>
      <c r="P440" t="str">
        <f>"INVOICE 00122913 CT098394     "</f>
        <v xml:space="preserve">INVOICE 00122913 CT098394     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41.43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1</v>
      </c>
      <c r="BI440">
        <v>0.2</v>
      </c>
      <c r="BJ440">
        <v>1.3</v>
      </c>
      <c r="BK440">
        <v>1.5</v>
      </c>
      <c r="BL440">
        <v>135.59</v>
      </c>
      <c r="BM440">
        <v>20.34</v>
      </c>
      <c r="BN440">
        <v>155.93</v>
      </c>
      <c r="BO440">
        <v>155.93</v>
      </c>
      <c r="BQ440" t="s">
        <v>203</v>
      </c>
      <c r="BR440" t="s">
        <v>84</v>
      </c>
      <c r="BS440" s="3">
        <v>45981</v>
      </c>
      <c r="BT440" s="4">
        <v>0.38680555555555557</v>
      </c>
      <c r="BU440" t="s">
        <v>829</v>
      </c>
      <c r="BV440" t="s">
        <v>86</v>
      </c>
      <c r="BY440">
        <v>6313.68</v>
      </c>
      <c r="BZ440" t="s">
        <v>126</v>
      </c>
      <c r="CC440" t="s">
        <v>201</v>
      </c>
      <c r="CD440">
        <v>1900</v>
      </c>
      <c r="CE440" t="s">
        <v>128</v>
      </c>
      <c r="CF440" s="3">
        <v>45982</v>
      </c>
      <c r="CI440">
        <v>1</v>
      </c>
      <c r="CJ440">
        <v>1</v>
      </c>
      <c r="CK440">
        <v>23</v>
      </c>
      <c r="CL440" t="s">
        <v>89</v>
      </c>
    </row>
    <row r="441" spans="1:90" x14ac:dyDescent="0.3">
      <c r="A441" t="s">
        <v>72</v>
      </c>
      <c r="B441" t="s">
        <v>73</v>
      </c>
      <c r="C441" t="s">
        <v>74</v>
      </c>
      <c r="E441" t="str">
        <f>"GAB2029981"</f>
        <v>GAB2029981</v>
      </c>
      <c r="F441" s="3">
        <v>45980</v>
      </c>
      <c r="G441">
        <v>202608</v>
      </c>
      <c r="H441" t="s">
        <v>75</v>
      </c>
      <c r="I441" t="s">
        <v>76</v>
      </c>
      <c r="J441" t="s">
        <v>77</v>
      </c>
      <c r="K441" t="s">
        <v>78</v>
      </c>
      <c r="L441" t="s">
        <v>246</v>
      </c>
      <c r="M441" t="s">
        <v>247</v>
      </c>
      <c r="N441" t="s">
        <v>849</v>
      </c>
      <c r="O441" t="s">
        <v>124</v>
      </c>
      <c r="P441" t="str">
        <f>"INVOICE 00041677 ORDGS038323  "</f>
        <v xml:space="preserve">INVOICE 00041677 ORDGS038323  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26.73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1</v>
      </c>
      <c r="BI441">
        <v>0.2</v>
      </c>
      <c r="BJ441">
        <v>2.2000000000000002</v>
      </c>
      <c r="BK441">
        <v>2.5</v>
      </c>
      <c r="BL441">
        <v>87.47</v>
      </c>
      <c r="BM441">
        <v>13.12</v>
      </c>
      <c r="BN441">
        <v>100.59</v>
      </c>
      <c r="BO441">
        <v>100.59</v>
      </c>
      <c r="BQ441" t="s">
        <v>1198</v>
      </c>
      <c r="BR441" t="s">
        <v>84</v>
      </c>
      <c r="BS441" s="3">
        <v>45981</v>
      </c>
      <c r="BT441" s="4">
        <v>0.4375</v>
      </c>
      <c r="BU441" t="s">
        <v>1368</v>
      </c>
      <c r="BV441" t="s">
        <v>86</v>
      </c>
      <c r="BY441">
        <v>11132.1</v>
      </c>
      <c r="BZ441" t="s">
        <v>126</v>
      </c>
      <c r="CA441" t="s">
        <v>328</v>
      </c>
      <c r="CC441" t="s">
        <v>247</v>
      </c>
      <c r="CD441">
        <v>9301</v>
      </c>
      <c r="CE441" t="s">
        <v>128</v>
      </c>
      <c r="CF441" s="3">
        <v>45982</v>
      </c>
      <c r="CI441">
        <v>2</v>
      </c>
      <c r="CJ441">
        <v>1</v>
      </c>
      <c r="CK441">
        <v>21</v>
      </c>
      <c r="CL441" t="s">
        <v>89</v>
      </c>
    </row>
    <row r="442" spans="1:90" x14ac:dyDescent="0.3">
      <c r="A442" t="s">
        <v>72</v>
      </c>
      <c r="B442" t="s">
        <v>73</v>
      </c>
      <c r="C442" t="s">
        <v>74</v>
      </c>
      <c r="E442" t="str">
        <f>"GAB2029982"</f>
        <v>GAB2029982</v>
      </c>
      <c r="F442" s="3">
        <v>45980</v>
      </c>
      <c r="G442">
        <v>202608</v>
      </c>
      <c r="H442" t="s">
        <v>75</v>
      </c>
      <c r="I442" t="s">
        <v>76</v>
      </c>
      <c r="J442" t="s">
        <v>77</v>
      </c>
      <c r="K442" t="s">
        <v>78</v>
      </c>
      <c r="L442" t="s">
        <v>75</v>
      </c>
      <c r="M442" t="s">
        <v>76</v>
      </c>
      <c r="N442" t="s">
        <v>386</v>
      </c>
      <c r="O442" t="s">
        <v>124</v>
      </c>
      <c r="P442" t="str">
        <f>"INVOICES 00122915 00122914 CT0"</f>
        <v>INVOICES 00122915 00122914 CT0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16.7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1</v>
      </c>
      <c r="BI442">
        <v>0.4</v>
      </c>
      <c r="BJ442">
        <v>2.1</v>
      </c>
      <c r="BK442">
        <v>3</v>
      </c>
      <c r="BL442">
        <v>54.66</v>
      </c>
      <c r="BM442">
        <v>8.1999999999999993</v>
      </c>
      <c r="BN442">
        <v>62.86</v>
      </c>
      <c r="BO442">
        <v>62.86</v>
      </c>
      <c r="BQ442" t="s">
        <v>387</v>
      </c>
      <c r="BR442" t="s">
        <v>84</v>
      </c>
      <c r="BS442" s="3">
        <v>45981</v>
      </c>
      <c r="BT442" s="4">
        <v>0.36805555555555558</v>
      </c>
      <c r="BU442" t="s">
        <v>1369</v>
      </c>
      <c r="BV442" t="s">
        <v>86</v>
      </c>
      <c r="BY442">
        <v>10504.48</v>
      </c>
      <c r="BZ442" t="s">
        <v>126</v>
      </c>
      <c r="CA442" t="s">
        <v>1104</v>
      </c>
      <c r="CC442" t="s">
        <v>76</v>
      </c>
      <c r="CD442">
        <v>7800</v>
      </c>
      <c r="CE442" t="s">
        <v>452</v>
      </c>
      <c r="CF442" s="3">
        <v>45982</v>
      </c>
      <c r="CI442">
        <v>1</v>
      </c>
      <c r="CJ442">
        <v>1</v>
      </c>
      <c r="CK442">
        <v>22</v>
      </c>
      <c r="CL442" t="s">
        <v>89</v>
      </c>
    </row>
    <row r="443" spans="1:90" x14ac:dyDescent="0.3">
      <c r="A443" t="s">
        <v>72</v>
      </c>
      <c r="B443" t="s">
        <v>73</v>
      </c>
      <c r="C443" t="s">
        <v>74</v>
      </c>
      <c r="E443" t="str">
        <f>"GAB2029984"</f>
        <v>GAB2029984</v>
      </c>
      <c r="F443" s="3">
        <v>45980</v>
      </c>
      <c r="G443">
        <v>202608</v>
      </c>
      <c r="H443" t="s">
        <v>75</v>
      </c>
      <c r="I443" t="s">
        <v>76</v>
      </c>
      <c r="J443" t="s">
        <v>77</v>
      </c>
      <c r="K443" t="s">
        <v>78</v>
      </c>
      <c r="L443" t="s">
        <v>75</v>
      </c>
      <c r="M443" t="s">
        <v>76</v>
      </c>
      <c r="N443" t="s">
        <v>150</v>
      </c>
      <c r="O443" t="s">
        <v>124</v>
      </c>
      <c r="P443" t="str">
        <f>"INVOICE 00041680 ORDGS038330  "</f>
        <v xml:space="preserve">INVOICE 00041680 ORDGS038330  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16.7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1</v>
      </c>
      <c r="BI443">
        <v>0.2</v>
      </c>
      <c r="BJ443">
        <v>2</v>
      </c>
      <c r="BK443">
        <v>2</v>
      </c>
      <c r="BL443">
        <v>54.66</v>
      </c>
      <c r="BM443">
        <v>8.1999999999999993</v>
      </c>
      <c r="BN443">
        <v>62.86</v>
      </c>
      <c r="BO443">
        <v>62.86</v>
      </c>
      <c r="BQ443" t="s">
        <v>151</v>
      </c>
      <c r="BR443" t="s">
        <v>84</v>
      </c>
      <c r="BS443" s="3">
        <v>45981</v>
      </c>
      <c r="BT443" s="4">
        <v>0.38472222222222224</v>
      </c>
      <c r="BU443" t="s">
        <v>1370</v>
      </c>
      <c r="BV443" t="s">
        <v>86</v>
      </c>
      <c r="BY443">
        <v>10038.42</v>
      </c>
      <c r="BZ443" t="s">
        <v>126</v>
      </c>
      <c r="CA443" t="s">
        <v>373</v>
      </c>
      <c r="CC443" t="s">
        <v>76</v>
      </c>
      <c r="CD443">
        <v>7735</v>
      </c>
      <c r="CE443" t="s">
        <v>149</v>
      </c>
      <c r="CF443" s="3">
        <v>45982</v>
      </c>
      <c r="CI443">
        <v>1</v>
      </c>
      <c r="CJ443">
        <v>1</v>
      </c>
      <c r="CK443">
        <v>22</v>
      </c>
      <c r="CL443" t="s">
        <v>89</v>
      </c>
    </row>
    <row r="444" spans="1:90" x14ac:dyDescent="0.3">
      <c r="A444" t="s">
        <v>72</v>
      </c>
      <c r="B444" t="s">
        <v>73</v>
      </c>
      <c r="C444" t="s">
        <v>74</v>
      </c>
      <c r="E444" t="str">
        <f>"GAB2029985"</f>
        <v>GAB2029985</v>
      </c>
      <c r="F444" s="3">
        <v>45980</v>
      </c>
      <c r="G444">
        <v>202608</v>
      </c>
      <c r="H444" t="s">
        <v>75</v>
      </c>
      <c r="I444" t="s">
        <v>76</v>
      </c>
      <c r="J444" t="s">
        <v>77</v>
      </c>
      <c r="K444" t="s">
        <v>78</v>
      </c>
      <c r="L444" t="s">
        <v>860</v>
      </c>
      <c r="M444" t="s">
        <v>861</v>
      </c>
      <c r="N444" t="s">
        <v>1371</v>
      </c>
      <c r="O444" t="s">
        <v>124</v>
      </c>
      <c r="P444" t="str">
        <f>"INVOICE 00122923 CT098398     "</f>
        <v xml:space="preserve">INVOICE 00122923 CT098398     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50.78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16.739999999999998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1</v>
      </c>
      <c r="BI444">
        <v>0.2</v>
      </c>
      <c r="BJ444">
        <v>2.2000000000000002</v>
      </c>
      <c r="BK444">
        <v>2.5</v>
      </c>
      <c r="BL444">
        <v>182.94</v>
      </c>
      <c r="BM444">
        <v>27.44</v>
      </c>
      <c r="BN444">
        <v>210.38</v>
      </c>
      <c r="BO444">
        <v>210.38</v>
      </c>
      <c r="BQ444" t="s">
        <v>1372</v>
      </c>
      <c r="BR444" t="s">
        <v>84</v>
      </c>
      <c r="BS444" s="3">
        <v>45985</v>
      </c>
      <c r="BT444" s="4">
        <v>0.5229166666666667</v>
      </c>
      <c r="BU444" t="s">
        <v>1373</v>
      </c>
      <c r="BV444" t="s">
        <v>86</v>
      </c>
      <c r="BY444">
        <v>10850.4</v>
      </c>
      <c r="BZ444" t="s">
        <v>1374</v>
      </c>
      <c r="CC444" t="s">
        <v>861</v>
      </c>
      <c r="CD444" s="5" t="s">
        <v>1375</v>
      </c>
      <c r="CE444" t="s">
        <v>149</v>
      </c>
      <c r="CF444" s="3">
        <v>45986</v>
      </c>
      <c r="CI444">
        <v>3</v>
      </c>
      <c r="CJ444">
        <v>3</v>
      </c>
      <c r="CK444">
        <v>23</v>
      </c>
      <c r="CL444" t="s">
        <v>89</v>
      </c>
    </row>
    <row r="445" spans="1:90" x14ac:dyDescent="0.3">
      <c r="A445" t="s">
        <v>72</v>
      </c>
      <c r="B445" t="s">
        <v>73</v>
      </c>
      <c r="C445" t="s">
        <v>74</v>
      </c>
      <c r="E445" t="str">
        <f>"GAB2029987"</f>
        <v>GAB2029987</v>
      </c>
      <c r="F445" s="3">
        <v>45980</v>
      </c>
      <c r="G445">
        <v>202608</v>
      </c>
      <c r="H445" t="s">
        <v>75</v>
      </c>
      <c r="I445" t="s">
        <v>76</v>
      </c>
      <c r="J445" t="s">
        <v>77</v>
      </c>
      <c r="K445" t="s">
        <v>78</v>
      </c>
      <c r="L445" t="s">
        <v>169</v>
      </c>
      <c r="M445" t="s">
        <v>170</v>
      </c>
      <c r="N445" t="s">
        <v>1376</v>
      </c>
      <c r="O445" t="s">
        <v>124</v>
      </c>
      <c r="P445" t="str">
        <f>"INVOICES 00122892 00122919 CT0"</f>
        <v>INVOICES 00122892 00122919 CT0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26.73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16.739999999999998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1</v>
      </c>
      <c r="BI445">
        <v>0.3</v>
      </c>
      <c r="BJ445">
        <v>2.4</v>
      </c>
      <c r="BK445">
        <v>2.5</v>
      </c>
      <c r="BL445">
        <v>104.21</v>
      </c>
      <c r="BM445">
        <v>15.63</v>
      </c>
      <c r="BN445">
        <v>119.84</v>
      </c>
      <c r="BO445">
        <v>119.84</v>
      </c>
      <c r="BQ445" t="s">
        <v>1377</v>
      </c>
      <c r="BR445" t="s">
        <v>84</v>
      </c>
      <c r="BS445" s="3">
        <v>45981</v>
      </c>
      <c r="BT445" s="4">
        <v>0.5</v>
      </c>
      <c r="BU445" t="s">
        <v>1179</v>
      </c>
      <c r="BV445" t="s">
        <v>86</v>
      </c>
      <c r="BY445">
        <v>12093.29</v>
      </c>
      <c r="BZ445" t="s">
        <v>180</v>
      </c>
      <c r="CC445" t="s">
        <v>170</v>
      </c>
      <c r="CD445">
        <v>1864</v>
      </c>
      <c r="CE445" t="s">
        <v>181</v>
      </c>
      <c r="CF445" s="3">
        <v>45986</v>
      </c>
      <c r="CI445">
        <v>0</v>
      </c>
      <c r="CJ445">
        <v>0</v>
      </c>
      <c r="CK445">
        <v>21</v>
      </c>
      <c r="CL445" t="s">
        <v>89</v>
      </c>
    </row>
    <row r="446" spans="1:90" x14ac:dyDescent="0.3">
      <c r="A446" t="s">
        <v>72</v>
      </c>
      <c r="B446" t="s">
        <v>73</v>
      </c>
      <c r="C446" t="s">
        <v>74</v>
      </c>
      <c r="E446" t="str">
        <f>"GAB2029988"</f>
        <v>GAB2029988</v>
      </c>
      <c r="F446" s="3">
        <v>45980</v>
      </c>
      <c r="G446">
        <v>202608</v>
      </c>
      <c r="H446" t="s">
        <v>75</v>
      </c>
      <c r="I446" t="s">
        <v>76</v>
      </c>
      <c r="J446" t="s">
        <v>77</v>
      </c>
      <c r="K446" t="s">
        <v>78</v>
      </c>
      <c r="L446" t="s">
        <v>169</v>
      </c>
      <c r="M446" t="s">
        <v>170</v>
      </c>
      <c r="N446" t="s">
        <v>1378</v>
      </c>
      <c r="O446" t="s">
        <v>124</v>
      </c>
      <c r="P446" t="str">
        <f>"INVOICE 00041679 ORDGS038322  "</f>
        <v xml:space="preserve">INVOICE 00041679 ORDGS038322  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26.73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1</v>
      </c>
      <c r="BI446">
        <v>0.3</v>
      </c>
      <c r="BJ446">
        <v>2.4</v>
      </c>
      <c r="BK446">
        <v>2.5</v>
      </c>
      <c r="BL446">
        <v>87.47</v>
      </c>
      <c r="BM446">
        <v>13.12</v>
      </c>
      <c r="BN446">
        <v>100.59</v>
      </c>
      <c r="BO446">
        <v>100.59</v>
      </c>
      <c r="BR446" t="s">
        <v>84</v>
      </c>
      <c r="BS446" s="3">
        <v>45985</v>
      </c>
      <c r="BT446" s="4">
        <v>0.43125000000000002</v>
      </c>
      <c r="BU446" t="s">
        <v>1379</v>
      </c>
      <c r="BV446" t="s">
        <v>89</v>
      </c>
      <c r="BW446" t="s">
        <v>364</v>
      </c>
      <c r="BX446" t="s">
        <v>1380</v>
      </c>
      <c r="BY446">
        <v>12048</v>
      </c>
      <c r="BZ446" t="s">
        <v>126</v>
      </c>
      <c r="CC446" t="s">
        <v>170</v>
      </c>
      <c r="CD446">
        <v>2010</v>
      </c>
      <c r="CE446" t="s">
        <v>181</v>
      </c>
      <c r="CF446" s="3">
        <v>45986</v>
      </c>
      <c r="CI446">
        <v>1</v>
      </c>
      <c r="CJ446">
        <v>3</v>
      </c>
      <c r="CK446">
        <v>21</v>
      </c>
      <c r="CL446" t="s">
        <v>89</v>
      </c>
    </row>
    <row r="447" spans="1:90" x14ac:dyDescent="0.3">
      <c r="A447" t="s">
        <v>72</v>
      </c>
      <c r="B447" t="s">
        <v>73</v>
      </c>
      <c r="C447" t="s">
        <v>74</v>
      </c>
      <c r="E447" t="str">
        <f>"GAB2029989"</f>
        <v>GAB2029989</v>
      </c>
      <c r="F447" s="3">
        <v>45980</v>
      </c>
      <c r="G447">
        <v>202608</v>
      </c>
      <c r="H447" t="s">
        <v>75</v>
      </c>
      <c r="I447" t="s">
        <v>76</v>
      </c>
      <c r="J447" t="s">
        <v>77</v>
      </c>
      <c r="K447" t="s">
        <v>78</v>
      </c>
      <c r="L447" t="s">
        <v>195</v>
      </c>
      <c r="M447" t="s">
        <v>196</v>
      </c>
      <c r="N447" t="s">
        <v>641</v>
      </c>
      <c r="O447" t="s">
        <v>124</v>
      </c>
      <c r="P447" t="str">
        <f>"INVOICE 00041692 ORDGS038321  "</f>
        <v xml:space="preserve">INVOICE 00041692 ORDGS038321  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21.38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1</v>
      </c>
      <c r="BI447">
        <v>0.3</v>
      </c>
      <c r="BJ447">
        <v>2</v>
      </c>
      <c r="BK447">
        <v>2</v>
      </c>
      <c r="BL447">
        <v>69.98</v>
      </c>
      <c r="BM447">
        <v>10.5</v>
      </c>
      <c r="BN447">
        <v>80.48</v>
      </c>
      <c r="BO447">
        <v>80.48</v>
      </c>
      <c r="BQ447" t="s">
        <v>1381</v>
      </c>
      <c r="BR447" t="s">
        <v>84</v>
      </c>
      <c r="BS447" s="3">
        <v>45981</v>
      </c>
      <c r="BT447" s="4">
        <v>0.33333333333333331</v>
      </c>
      <c r="BU447" t="s">
        <v>1266</v>
      </c>
      <c r="BV447" t="s">
        <v>86</v>
      </c>
      <c r="BY447">
        <v>10068.51</v>
      </c>
      <c r="BZ447" t="s">
        <v>126</v>
      </c>
      <c r="CA447" t="s">
        <v>644</v>
      </c>
      <c r="CC447" t="s">
        <v>196</v>
      </c>
      <c r="CD447">
        <v>1709</v>
      </c>
      <c r="CE447" t="s">
        <v>181</v>
      </c>
      <c r="CF447" s="3">
        <v>45981</v>
      </c>
      <c r="CI447">
        <v>1</v>
      </c>
      <c r="CJ447">
        <v>1</v>
      </c>
      <c r="CK447">
        <v>21</v>
      </c>
      <c r="CL447" t="s">
        <v>89</v>
      </c>
    </row>
    <row r="448" spans="1:90" x14ac:dyDescent="0.3">
      <c r="A448" t="s">
        <v>72</v>
      </c>
      <c r="B448" t="s">
        <v>73</v>
      </c>
      <c r="C448" t="s">
        <v>74</v>
      </c>
      <c r="E448" t="str">
        <f>"GAB2029990"</f>
        <v>GAB2029990</v>
      </c>
      <c r="F448" s="3">
        <v>45980</v>
      </c>
      <c r="G448">
        <v>202608</v>
      </c>
      <c r="H448" t="s">
        <v>75</v>
      </c>
      <c r="I448" t="s">
        <v>76</v>
      </c>
      <c r="J448" t="s">
        <v>77</v>
      </c>
      <c r="K448" t="s">
        <v>78</v>
      </c>
      <c r="L448" t="s">
        <v>1382</v>
      </c>
      <c r="M448" t="s">
        <v>1383</v>
      </c>
      <c r="N448" t="s">
        <v>1384</v>
      </c>
      <c r="O448" t="s">
        <v>124</v>
      </c>
      <c r="P448" t="str">
        <f>"INVOICE 00041691 ORDGS038341  "</f>
        <v xml:space="preserve">INVOICE 00041691 ORDGS038341  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50.78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1</v>
      </c>
      <c r="BI448">
        <v>0.2</v>
      </c>
      <c r="BJ448">
        <v>2.2000000000000002</v>
      </c>
      <c r="BK448">
        <v>2.5</v>
      </c>
      <c r="BL448">
        <v>166.2</v>
      </c>
      <c r="BM448">
        <v>24.93</v>
      </c>
      <c r="BN448">
        <v>191.13</v>
      </c>
      <c r="BO448">
        <v>191.13</v>
      </c>
      <c r="BQ448" t="s">
        <v>1385</v>
      </c>
      <c r="BR448" t="s">
        <v>84</v>
      </c>
      <c r="BS448" s="3">
        <v>45981</v>
      </c>
      <c r="BT448" s="4">
        <v>0.34027777777777779</v>
      </c>
      <c r="BU448" t="s">
        <v>1386</v>
      </c>
      <c r="BV448" t="s">
        <v>86</v>
      </c>
      <c r="BY448">
        <v>10981.08</v>
      </c>
      <c r="BZ448" t="s">
        <v>126</v>
      </c>
      <c r="CA448" t="s">
        <v>1387</v>
      </c>
      <c r="CC448" t="s">
        <v>1383</v>
      </c>
      <c r="CD448">
        <v>1760</v>
      </c>
      <c r="CE448" t="s">
        <v>128</v>
      </c>
      <c r="CF448" s="3">
        <v>45981</v>
      </c>
      <c r="CI448">
        <v>1</v>
      </c>
      <c r="CJ448">
        <v>1</v>
      </c>
      <c r="CK448">
        <v>23</v>
      </c>
      <c r="CL448" t="s">
        <v>89</v>
      </c>
    </row>
    <row r="449" spans="1:90" x14ac:dyDescent="0.3">
      <c r="A449" t="s">
        <v>72</v>
      </c>
      <c r="B449" t="s">
        <v>73</v>
      </c>
      <c r="C449" t="s">
        <v>74</v>
      </c>
      <c r="E449" t="str">
        <f>"GAB2029959"</f>
        <v>GAB2029959</v>
      </c>
      <c r="F449" s="3">
        <v>45980</v>
      </c>
      <c r="G449">
        <v>202608</v>
      </c>
      <c r="H449" t="s">
        <v>75</v>
      </c>
      <c r="I449" t="s">
        <v>76</v>
      </c>
      <c r="J449" t="s">
        <v>77</v>
      </c>
      <c r="K449" t="s">
        <v>78</v>
      </c>
      <c r="L449" t="s">
        <v>246</v>
      </c>
      <c r="M449" t="s">
        <v>247</v>
      </c>
      <c r="N449" t="s">
        <v>1388</v>
      </c>
      <c r="O449" t="s">
        <v>82</v>
      </c>
      <c r="P449" t="str">
        <f>"INVOICE00122895 CT098252      "</f>
        <v xml:space="preserve">INVOICE00122895 CT098252      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5.87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41.35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1</v>
      </c>
      <c r="BI449">
        <v>0.4</v>
      </c>
      <c r="BJ449">
        <v>1.8</v>
      </c>
      <c r="BK449">
        <v>2</v>
      </c>
      <c r="BL449">
        <v>141.19999999999999</v>
      </c>
      <c r="BM449">
        <v>21.18</v>
      </c>
      <c r="BN449">
        <v>162.38</v>
      </c>
      <c r="BO449">
        <v>162.38</v>
      </c>
      <c r="BR449" t="s">
        <v>84</v>
      </c>
      <c r="BS449" s="3">
        <v>45985</v>
      </c>
      <c r="BT449" s="4">
        <v>0.4513888888888889</v>
      </c>
      <c r="BU449" t="s">
        <v>1389</v>
      </c>
      <c r="BV449" t="s">
        <v>86</v>
      </c>
      <c r="BY449">
        <v>9092.2000000000007</v>
      </c>
      <c r="CC449" t="s">
        <v>247</v>
      </c>
      <c r="CD449">
        <v>9301</v>
      </c>
      <c r="CE449" t="s">
        <v>298</v>
      </c>
      <c r="CF449" s="3">
        <v>45986</v>
      </c>
      <c r="CI449">
        <v>4</v>
      </c>
      <c r="CJ449">
        <v>3</v>
      </c>
      <c r="CK449">
        <v>41</v>
      </c>
      <c r="CL449" t="s">
        <v>89</v>
      </c>
    </row>
    <row r="450" spans="1:90" x14ac:dyDescent="0.3">
      <c r="A450" t="s">
        <v>72</v>
      </c>
      <c r="B450" t="s">
        <v>73</v>
      </c>
      <c r="C450" t="s">
        <v>74</v>
      </c>
      <c r="E450" t="str">
        <f>"GAB2029970"</f>
        <v>GAB2029970</v>
      </c>
      <c r="F450" s="3">
        <v>45980</v>
      </c>
      <c r="G450">
        <v>202608</v>
      </c>
      <c r="H450" t="s">
        <v>75</v>
      </c>
      <c r="I450" t="s">
        <v>76</v>
      </c>
      <c r="J450" t="s">
        <v>77</v>
      </c>
      <c r="K450" t="s">
        <v>78</v>
      </c>
      <c r="L450" t="s">
        <v>169</v>
      </c>
      <c r="M450" t="s">
        <v>170</v>
      </c>
      <c r="N450" t="s">
        <v>1254</v>
      </c>
      <c r="O450" t="s">
        <v>82</v>
      </c>
      <c r="P450" t="str">
        <f>"INVOICE00041666 ORDGS038262   "</f>
        <v xml:space="preserve">INVOICE00041666 ORDGS038262   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5.87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68.67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2</v>
      </c>
      <c r="BI450">
        <v>12</v>
      </c>
      <c r="BJ450">
        <v>30.2</v>
      </c>
      <c r="BK450">
        <v>31</v>
      </c>
      <c r="BL450">
        <v>230.6</v>
      </c>
      <c r="BM450">
        <v>34.590000000000003</v>
      </c>
      <c r="BN450">
        <v>265.19</v>
      </c>
      <c r="BO450">
        <v>265.19</v>
      </c>
      <c r="BR450" t="s">
        <v>84</v>
      </c>
      <c r="BS450" s="3">
        <v>45986</v>
      </c>
      <c r="BT450" s="4">
        <v>0.62708333333333333</v>
      </c>
      <c r="BU450" t="s">
        <v>1390</v>
      </c>
      <c r="BV450" t="s">
        <v>89</v>
      </c>
      <c r="BY450">
        <v>151137.9</v>
      </c>
      <c r="CC450" t="s">
        <v>170</v>
      </c>
      <c r="CD450">
        <v>2092</v>
      </c>
      <c r="CE450" t="s">
        <v>315</v>
      </c>
      <c r="CF450" s="3">
        <v>45987</v>
      </c>
      <c r="CI450">
        <v>2</v>
      </c>
      <c r="CJ450">
        <v>4</v>
      </c>
      <c r="CK450">
        <v>41</v>
      </c>
      <c r="CL450" t="s">
        <v>89</v>
      </c>
    </row>
    <row r="451" spans="1:90" x14ac:dyDescent="0.3">
      <c r="A451" t="s">
        <v>72</v>
      </c>
      <c r="B451" t="s">
        <v>73</v>
      </c>
      <c r="C451" t="s">
        <v>74</v>
      </c>
      <c r="E451" t="str">
        <f>"GAB2029972"</f>
        <v>GAB2029972</v>
      </c>
      <c r="F451" s="3">
        <v>45980</v>
      </c>
      <c r="G451">
        <v>202608</v>
      </c>
      <c r="H451" t="s">
        <v>75</v>
      </c>
      <c r="I451" t="s">
        <v>76</v>
      </c>
      <c r="J451" t="s">
        <v>77</v>
      </c>
      <c r="K451" t="s">
        <v>78</v>
      </c>
      <c r="L451" t="s">
        <v>1391</v>
      </c>
      <c r="M451" t="s">
        <v>1392</v>
      </c>
      <c r="N451" t="s">
        <v>1393</v>
      </c>
      <c r="O451" t="s">
        <v>82</v>
      </c>
      <c r="P451" t="str">
        <f>"INVOICE00041656 ORDGS038229   "</f>
        <v xml:space="preserve">INVOICE00041656 ORDGS038229   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5.87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58.32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1</v>
      </c>
      <c r="BI451">
        <v>4.5999999999999996</v>
      </c>
      <c r="BJ451">
        <v>11.9</v>
      </c>
      <c r="BK451">
        <v>12</v>
      </c>
      <c r="BL451">
        <v>196.74</v>
      </c>
      <c r="BM451">
        <v>29.51</v>
      </c>
      <c r="BN451">
        <v>226.25</v>
      </c>
      <c r="BO451">
        <v>226.25</v>
      </c>
      <c r="BR451" t="s">
        <v>84</v>
      </c>
      <c r="BS451" s="3">
        <v>45985</v>
      </c>
      <c r="BT451" s="4">
        <v>0.5</v>
      </c>
      <c r="BU451" t="s">
        <v>1394</v>
      </c>
      <c r="BV451" t="s">
        <v>86</v>
      </c>
      <c r="BY451">
        <v>59682.239999999998</v>
      </c>
      <c r="CA451" t="s">
        <v>1395</v>
      </c>
      <c r="CC451" t="s">
        <v>1392</v>
      </c>
      <c r="CD451">
        <v>3969</v>
      </c>
      <c r="CE451" t="s">
        <v>103</v>
      </c>
      <c r="CF451" s="3">
        <v>45987</v>
      </c>
      <c r="CI451">
        <v>7</v>
      </c>
      <c r="CJ451">
        <v>3</v>
      </c>
      <c r="CK451">
        <v>43</v>
      </c>
      <c r="CL451" t="s">
        <v>89</v>
      </c>
    </row>
    <row r="452" spans="1:90" x14ac:dyDescent="0.3">
      <c r="A452" t="s">
        <v>72</v>
      </c>
      <c r="B452" t="s">
        <v>73</v>
      </c>
      <c r="C452" t="s">
        <v>74</v>
      </c>
      <c r="E452" t="str">
        <f>"GAB2029975"</f>
        <v>GAB2029975</v>
      </c>
      <c r="F452" s="3">
        <v>45980</v>
      </c>
      <c r="G452">
        <v>202608</v>
      </c>
      <c r="H452" t="s">
        <v>75</v>
      </c>
      <c r="I452" t="s">
        <v>76</v>
      </c>
      <c r="J452" t="s">
        <v>77</v>
      </c>
      <c r="K452" t="s">
        <v>78</v>
      </c>
      <c r="L452" t="s">
        <v>75</v>
      </c>
      <c r="M452" t="s">
        <v>76</v>
      </c>
      <c r="N452" t="s">
        <v>1396</v>
      </c>
      <c r="O452" t="s">
        <v>82</v>
      </c>
      <c r="P452" t="str">
        <f>"INVOICE 00122918 CT098387     "</f>
        <v xml:space="preserve">INVOICE 00122918 CT098387     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5.87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44.04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2</v>
      </c>
      <c r="BI452">
        <v>8.3000000000000007</v>
      </c>
      <c r="BJ452">
        <v>27.2</v>
      </c>
      <c r="BK452">
        <v>28</v>
      </c>
      <c r="BL452">
        <v>149.99</v>
      </c>
      <c r="BM452">
        <v>22.5</v>
      </c>
      <c r="BN452">
        <v>172.49</v>
      </c>
      <c r="BO452">
        <v>172.49</v>
      </c>
      <c r="BQ452" t="s">
        <v>557</v>
      </c>
      <c r="BR452" t="s">
        <v>84</v>
      </c>
      <c r="BS452" s="3">
        <v>45981</v>
      </c>
      <c r="BT452" s="4">
        <v>0.44791666666666669</v>
      </c>
      <c r="BU452" t="s">
        <v>1397</v>
      </c>
      <c r="BV452" t="s">
        <v>86</v>
      </c>
      <c r="BY452">
        <v>135878.39999999999</v>
      </c>
      <c r="CA452" t="s">
        <v>1398</v>
      </c>
      <c r="CC452" t="s">
        <v>76</v>
      </c>
      <c r="CD452">
        <v>7550</v>
      </c>
      <c r="CE452" t="s">
        <v>108</v>
      </c>
      <c r="CF452" s="3">
        <v>45982</v>
      </c>
      <c r="CI452">
        <v>1</v>
      </c>
      <c r="CJ452">
        <v>1</v>
      </c>
      <c r="CK452">
        <v>42</v>
      </c>
      <c r="CL452" t="s">
        <v>89</v>
      </c>
    </row>
    <row r="453" spans="1:90" x14ac:dyDescent="0.3">
      <c r="A453" t="s">
        <v>72</v>
      </c>
      <c r="B453" t="s">
        <v>73</v>
      </c>
      <c r="C453" t="s">
        <v>74</v>
      </c>
      <c r="E453" t="str">
        <f>"GAB2029976"</f>
        <v>GAB2029976</v>
      </c>
      <c r="F453" s="3">
        <v>45980</v>
      </c>
      <c r="G453">
        <v>202608</v>
      </c>
      <c r="H453" t="s">
        <v>75</v>
      </c>
      <c r="I453" t="s">
        <v>76</v>
      </c>
      <c r="J453" t="s">
        <v>77</v>
      </c>
      <c r="K453" t="s">
        <v>78</v>
      </c>
      <c r="L453" t="s">
        <v>90</v>
      </c>
      <c r="M453" t="s">
        <v>91</v>
      </c>
      <c r="N453" t="s">
        <v>1399</v>
      </c>
      <c r="O453" t="s">
        <v>82</v>
      </c>
      <c r="P453" t="str">
        <f>"INVOICE 00122911 CT098327     "</f>
        <v xml:space="preserve">INVOICE 00122911 CT098327     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5.87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41.35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1</v>
      </c>
      <c r="BI453">
        <v>0.4</v>
      </c>
      <c r="BJ453">
        <v>2.4</v>
      </c>
      <c r="BK453">
        <v>3</v>
      </c>
      <c r="BL453">
        <v>141.19999999999999</v>
      </c>
      <c r="BM453">
        <v>21.18</v>
      </c>
      <c r="BN453">
        <v>162.38</v>
      </c>
      <c r="BO453">
        <v>162.38</v>
      </c>
      <c r="BQ453" t="s">
        <v>1400</v>
      </c>
      <c r="BR453" t="s">
        <v>84</v>
      </c>
      <c r="BS453" s="3">
        <v>45986</v>
      </c>
      <c r="BT453" s="4">
        <v>0.72430555555555554</v>
      </c>
      <c r="BU453" t="s">
        <v>1401</v>
      </c>
      <c r="BV453" t="s">
        <v>89</v>
      </c>
      <c r="BW453" t="s">
        <v>364</v>
      </c>
      <c r="BX453" t="s">
        <v>1402</v>
      </c>
      <c r="BY453">
        <v>11880</v>
      </c>
      <c r="CA453" t="s">
        <v>1403</v>
      </c>
      <c r="CC453" t="s">
        <v>91</v>
      </c>
      <c r="CD453">
        <v>4001</v>
      </c>
      <c r="CE453" t="s">
        <v>899</v>
      </c>
      <c r="CF453" s="3">
        <v>45987</v>
      </c>
      <c r="CI453">
        <v>3</v>
      </c>
      <c r="CJ453">
        <v>4</v>
      </c>
      <c r="CK453">
        <v>41</v>
      </c>
      <c r="CL453" t="s">
        <v>89</v>
      </c>
    </row>
    <row r="454" spans="1:90" x14ac:dyDescent="0.3">
      <c r="A454" t="s">
        <v>72</v>
      </c>
      <c r="B454" t="s">
        <v>73</v>
      </c>
      <c r="C454" t="s">
        <v>74</v>
      </c>
      <c r="E454" t="str">
        <f>"GAB2029979"</f>
        <v>GAB2029979</v>
      </c>
      <c r="F454" s="3">
        <v>45980</v>
      </c>
      <c r="G454">
        <v>202608</v>
      </c>
      <c r="H454" t="s">
        <v>75</v>
      </c>
      <c r="I454" t="s">
        <v>76</v>
      </c>
      <c r="J454" t="s">
        <v>77</v>
      </c>
      <c r="K454" t="s">
        <v>78</v>
      </c>
      <c r="L454" t="s">
        <v>394</v>
      </c>
      <c r="M454" t="s">
        <v>395</v>
      </c>
      <c r="N454" t="s">
        <v>1404</v>
      </c>
      <c r="O454" t="s">
        <v>82</v>
      </c>
      <c r="P454" t="str">
        <f>"INVOICE 00122917 CT098388     "</f>
        <v xml:space="preserve">INVOICE 00122917 CT098388     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5.87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79.17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2</v>
      </c>
      <c r="BI454">
        <v>6.1</v>
      </c>
      <c r="BJ454">
        <v>21.3</v>
      </c>
      <c r="BK454">
        <v>22</v>
      </c>
      <c r="BL454">
        <v>264.98</v>
      </c>
      <c r="BM454">
        <v>39.75</v>
      </c>
      <c r="BN454">
        <v>304.73</v>
      </c>
      <c r="BO454">
        <v>304.73</v>
      </c>
      <c r="BQ454" t="s">
        <v>1405</v>
      </c>
      <c r="BR454" t="s">
        <v>84</v>
      </c>
      <c r="BS454" s="3">
        <v>45985</v>
      </c>
      <c r="BT454" s="4">
        <v>0.63958333333333328</v>
      </c>
      <c r="BU454" t="s">
        <v>1406</v>
      </c>
      <c r="BV454" t="s">
        <v>86</v>
      </c>
      <c r="BY454">
        <v>106395.48</v>
      </c>
      <c r="CC454" t="s">
        <v>395</v>
      </c>
      <c r="CD454" s="5" t="s">
        <v>399</v>
      </c>
      <c r="CE454" t="s">
        <v>114</v>
      </c>
      <c r="CF454" s="3">
        <v>45986</v>
      </c>
      <c r="CI454">
        <v>3</v>
      </c>
      <c r="CJ454">
        <v>3</v>
      </c>
      <c r="CK454">
        <v>43</v>
      </c>
      <c r="CL454" t="s">
        <v>89</v>
      </c>
    </row>
    <row r="455" spans="1:90" x14ac:dyDescent="0.3">
      <c r="A455" t="s">
        <v>72</v>
      </c>
      <c r="B455" t="s">
        <v>73</v>
      </c>
      <c r="C455" t="s">
        <v>74</v>
      </c>
      <c r="E455" t="str">
        <f>"GAB2029983"</f>
        <v>GAB2029983</v>
      </c>
      <c r="F455" s="3">
        <v>45980</v>
      </c>
      <c r="G455">
        <v>202608</v>
      </c>
      <c r="H455" t="s">
        <v>75</v>
      </c>
      <c r="I455" t="s">
        <v>76</v>
      </c>
      <c r="J455" t="s">
        <v>77</v>
      </c>
      <c r="K455" t="s">
        <v>78</v>
      </c>
      <c r="L455" t="s">
        <v>79</v>
      </c>
      <c r="M455" t="s">
        <v>80</v>
      </c>
      <c r="N455" t="s">
        <v>303</v>
      </c>
      <c r="O455" t="s">
        <v>82</v>
      </c>
      <c r="P455" t="str">
        <f>"INVOICE 00122924 CT098389     "</f>
        <v xml:space="preserve">INVOICE 00122924 CT098389     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5.87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41.35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1</v>
      </c>
      <c r="BI455">
        <v>2</v>
      </c>
      <c r="BJ455">
        <v>6.4</v>
      </c>
      <c r="BK455">
        <v>7</v>
      </c>
      <c r="BL455">
        <v>141.19999999999999</v>
      </c>
      <c r="BM455">
        <v>21.18</v>
      </c>
      <c r="BN455">
        <v>162.38</v>
      </c>
      <c r="BO455">
        <v>162.38</v>
      </c>
      <c r="BQ455" t="s">
        <v>304</v>
      </c>
      <c r="BR455" t="s">
        <v>84</v>
      </c>
      <c r="BS455" s="3">
        <v>45985</v>
      </c>
      <c r="BT455" s="4">
        <v>0.43472222222222223</v>
      </c>
      <c r="BU455" t="s">
        <v>1407</v>
      </c>
      <c r="BV455" t="s">
        <v>86</v>
      </c>
      <c r="BY455">
        <v>32240</v>
      </c>
      <c r="CA455">
        <v>6801026122080</v>
      </c>
      <c r="CC455" t="s">
        <v>80</v>
      </c>
      <c r="CD455" s="5" t="s">
        <v>87</v>
      </c>
      <c r="CE455" t="s">
        <v>103</v>
      </c>
      <c r="CF455" s="3">
        <v>45985</v>
      </c>
      <c r="CI455">
        <v>3</v>
      </c>
      <c r="CJ455">
        <v>3</v>
      </c>
      <c r="CK455">
        <v>41</v>
      </c>
      <c r="CL455" t="s">
        <v>89</v>
      </c>
    </row>
    <row r="456" spans="1:90" x14ac:dyDescent="0.3">
      <c r="A456" t="s">
        <v>72</v>
      </c>
      <c r="B456" t="s">
        <v>73</v>
      </c>
      <c r="C456" t="s">
        <v>74</v>
      </c>
      <c r="E456" t="str">
        <f>"GAB2029986"</f>
        <v>GAB2029986</v>
      </c>
      <c r="F456" s="3">
        <v>45980</v>
      </c>
      <c r="G456">
        <v>202608</v>
      </c>
      <c r="H456" t="s">
        <v>75</v>
      </c>
      <c r="I456" t="s">
        <v>76</v>
      </c>
      <c r="J456" t="s">
        <v>77</v>
      </c>
      <c r="K456" t="s">
        <v>78</v>
      </c>
      <c r="L456" t="s">
        <v>1408</v>
      </c>
      <c r="M456" t="s">
        <v>1409</v>
      </c>
      <c r="N456" t="s">
        <v>1410</v>
      </c>
      <c r="O456" t="s">
        <v>82</v>
      </c>
      <c r="P456" t="str">
        <f>"INVOICES 00041688 00041689 000"</f>
        <v>INVOICES 00041688 00041689 000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5.87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58.32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1</v>
      </c>
      <c r="BI456">
        <v>2.9</v>
      </c>
      <c r="BJ456">
        <v>6.2</v>
      </c>
      <c r="BK456">
        <v>7</v>
      </c>
      <c r="BL456">
        <v>196.74</v>
      </c>
      <c r="BM456">
        <v>29.51</v>
      </c>
      <c r="BN456">
        <v>226.25</v>
      </c>
      <c r="BO456">
        <v>226.25</v>
      </c>
      <c r="BQ456" t="s">
        <v>185</v>
      </c>
      <c r="BR456" t="s">
        <v>84</v>
      </c>
      <c r="BS456" s="3">
        <v>45985</v>
      </c>
      <c r="BT456" s="4">
        <v>0.62430555555555556</v>
      </c>
      <c r="BU456" t="s">
        <v>1411</v>
      </c>
      <c r="BV456" t="s">
        <v>86</v>
      </c>
      <c r="BY456">
        <v>30752.19</v>
      </c>
      <c r="CA456" t="s">
        <v>1412</v>
      </c>
      <c r="CC456" t="s">
        <v>1409</v>
      </c>
      <c r="CD456" s="5" t="s">
        <v>1413</v>
      </c>
      <c r="CE456" t="s">
        <v>103</v>
      </c>
      <c r="CF456" s="3">
        <v>45985</v>
      </c>
      <c r="CI456">
        <v>2</v>
      </c>
      <c r="CJ456">
        <v>3</v>
      </c>
      <c r="CK456">
        <v>43</v>
      </c>
      <c r="CL456" t="s">
        <v>89</v>
      </c>
    </row>
    <row r="457" spans="1:90" x14ac:dyDescent="0.3">
      <c r="A457" t="s">
        <v>72</v>
      </c>
      <c r="B457" t="s">
        <v>73</v>
      </c>
      <c r="C457" t="s">
        <v>74</v>
      </c>
      <c r="E457" t="str">
        <f>"GAB2029991"</f>
        <v>GAB2029991</v>
      </c>
      <c r="F457" s="3">
        <v>45980</v>
      </c>
      <c r="G457">
        <v>202608</v>
      </c>
      <c r="H457" t="s">
        <v>75</v>
      </c>
      <c r="I457" t="s">
        <v>76</v>
      </c>
      <c r="J457" t="s">
        <v>77</v>
      </c>
      <c r="K457" t="s">
        <v>78</v>
      </c>
      <c r="L457" t="s">
        <v>429</v>
      </c>
      <c r="M457" t="s">
        <v>430</v>
      </c>
      <c r="N457" t="s">
        <v>1414</v>
      </c>
      <c r="O457" t="s">
        <v>82</v>
      </c>
      <c r="P457" t="str">
        <f>"INVOICE 00122912 CT098277     "</f>
        <v xml:space="preserve">INVOICE 00122912 CT098277     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5.87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44.77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1</v>
      </c>
      <c r="BI457">
        <v>8.6999999999999993</v>
      </c>
      <c r="BJ457">
        <v>16.899999999999999</v>
      </c>
      <c r="BK457">
        <v>17</v>
      </c>
      <c r="BL457">
        <v>152.38</v>
      </c>
      <c r="BM457">
        <v>22.86</v>
      </c>
      <c r="BN457">
        <v>175.24</v>
      </c>
      <c r="BO457">
        <v>175.24</v>
      </c>
      <c r="BQ457" t="s">
        <v>1415</v>
      </c>
      <c r="BR457" t="s">
        <v>84</v>
      </c>
      <c r="BS457" s="3">
        <v>45985</v>
      </c>
      <c r="BT457" s="4">
        <v>0.45069444444444445</v>
      </c>
      <c r="BU457" t="s">
        <v>1416</v>
      </c>
      <c r="BV457" t="s">
        <v>86</v>
      </c>
      <c r="BY457">
        <v>84614.399999999994</v>
      </c>
      <c r="CA457" t="s">
        <v>433</v>
      </c>
      <c r="CC457" t="s">
        <v>430</v>
      </c>
      <c r="CD457">
        <v>3201</v>
      </c>
      <c r="CE457" t="s">
        <v>611</v>
      </c>
      <c r="CF457" s="3">
        <v>45985</v>
      </c>
      <c r="CI457">
        <v>4</v>
      </c>
      <c r="CJ457">
        <v>3</v>
      </c>
      <c r="CK457">
        <v>41</v>
      </c>
      <c r="CL457" t="s">
        <v>89</v>
      </c>
    </row>
    <row r="458" spans="1:90" x14ac:dyDescent="0.3">
      <c r="A458" t="s">
        <v>72</v>
      </c>
      <c r="B458" t="s">
        <v>73</v>
      </c>
      <c r="C458" t="s">
        <v>74</v>
      </c>
      <c r="E458" t="str">
        <f>"009945158424"</f>
        <v>009945158424</v>
      </c>
      <c r="F458" s="3">
        <v>45980</v>
      </c>
      <c r="G458">
        <v>202608</v>
      </c>
      <c r="H458" t="s">
        <v>230</v>
      </c>
      <c r="I458" t="s">
        <v>231</v>
      </c>
      <c r="J458" t="s">
        <v>236</v>
      </c>
      <c r="K458" t="s">
        <v>78</v>
      </c>
      <c r="L458" t="s">
        <v>246</v>
      </c>
      <c r="M458" t="s">
        <v>247</v>
      </c>
      <c r="N458" t="s">
        <v>976</v>
      </c>
      <c r="O458" t="s">
        <v>82</v>
      </c>
      <c r="P458" t="str">
        <f>"NO REF                        "</f>
        <v xml:space="preserve">NO REF                        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5.87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41.35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1</v>
      </c>
      <c r="BI458">
        <v>1</v>
      </c>
      <c r="BJ458">
        <v>0.2</v>
      </c>
      <c r="BK458">
        <v>1</v>
      </c>
      <c r="BL458">
        <v>141.19999999999999</v>
      </c>
      <c r="BM458">
        <v>21.18</v>
      </c>
      <c r="BN458">
        <v>162.38</v>
      </c>
      <c r="BO458">
        <v>162.38</v>
      </c>
      <c r="BQ458" t="s">
        <v>1417</v>
      </c>
      <c r="BR458" t="s">
        <v>241</v>
      </c>
      <c r="BS458" s="3">
        <v>45981</v>
      </c>
      <c r="BT458" s="4">
        <v>0.58333333333333337</v>
      </c>
      <c r="BU458" t="s">
        <v>1345</v>
      </c>
      <c r="BV458" t="s">
        <v>86</v>
      </c>
      <c r="BY458">
        <v>1200</v>
      </c>
      <c r="BZ458" t="s">
        <v>505</v>
      </c>
      <c r="CC458" t="s">
        <v>247</v>
      </c>
      <c r="CD458">
        <v>9300</v>
      </c>
      <c r="CE458" t="s">
        <v>254</v>
      </c>
      <c r="CF458" s="3">
        <v>45985</v>
      </c>
      <c r="CI458">
        <v>1</v>
      </c>
      <c r="CJ458">
        <v>1</v>
      </c>
      <c r="CK458">
        <v>41</v>
      </c>
      <c r="CL458" t="s">
        <v>89</v>
      </c>
    </row>
    <row r="459" spans="1:90" x14ac:dyDescent="0.3">
      <c r="A459" t="s">
        <v>72</v>
      </c>
      <c r="B459" t="s">
        <v>73</v>
      </c>
      <c r="C459" t="s">
        <v>74</v>
      </c>
      <c r="E459" t="str">
        <f>"009945158426"</f>
        <v>009945158426</v>
      </c>
      <c r="F459" s="3">
        <v>45980</v>
      </c>
      <c r="G459">
        <v>202608</v>
      </c>
      <c r="H459" t="s">
        <v>230</v>
      </c>
      <c r="I459" t="s">
        <v>231</v>
      </c>
      <c r="J459" t="s">
        <v>236</v>
      </c>
      <c r="K459" t="s">
        <v>78</v>
      </c>
      <c r="L459" t="s">
        <v>1119</v>
      </c>
      <c r="M459" t="s">
        <v>1120</v>
      </c>
      <c r="N459" t="s">
        <v>1121</v>
      </c>
      <c r="O459" t="s">
        <v>124</v>
      </c>
      <c r="P459" t="str">
        <f>"NO REF                        "</f>
        <v xml:space="preserve">NO REF                        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41.43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1</v>
      </c>
      <c r="BI459">
        <v>1</v>
      </c>
      <c r="BJ459">
        <v>0.2</v>
      </c>
      <c r="BK459">
        <v>1</v>
      </c>
      <c r="BL459">
        <v>135.59</v>
      </c>
      <c r="BM459">
        <v>20.34</v>
      </c>
      <c r="BN459">
        <v>155.93</v>
      </c>
      <c r="BO459">
        <v>155.93</v>
      </c>
      <c r="BQ459" t="s">
        <v>1418</v>
      </c>
      <c r="BR459" t="s">
        <v>241</v>
      </c>
      <c r="BS459" s="3">
        <v>45981</v>
      </c>
      <c r="BT459" s="4">
        <v>0.41597222222222224</v>
      </c>
      <c r="BU459" t="s">
        <v>1419</v>
      </c>
      <c r="BV459" t="s">
        <v>86</v>
      </c>
      <c r="BY459">
        <v>1200</v>
      </c>
      <c r="BZ459" t="s">
        <v>126</v>
      </c>
      <c r="CA459" t="s">
        <v>1124</v>
      </c>
      <c r="CC459" t="s">
        <v>1120</v>
      </c>
      <c r="CD459">
        <v>2940</v>
      </c>
      <c r="CE459" t="s">
        <v>254</v>
      </c>
      <c r="CF459" s="3">
        <v>45982</v>
      </c>
      <c r="CI459">
        <v>1</v>
      </c>
      <c r="CJ459">
        <v>1</v>
      </c>
      <c r="CK459">
        <v>23</v>
      </c>
      <c r="CL459" t="s">
        <v>89</v>
      </c>
    </row>
    <row r="460" spans="1:90" x14ac:dyDescent="0.3">
      <c r="A460" t="s">
        <v>72</v>
      </c>
      <c r="B460" t="s">
        <v>73</v>
      </c>
      <c r="C460" t="s">
        <v>74</v>
      </c>
      <c r="E460" t="str">
        <f>"009940256363"</f>
        <v>009940256363</v>
      </c>
      <c r="F460" s="3">
        <v>45975</v>
      </c>
      <c r="G460">
        <v>202608</v>
      </c>
      <c r="H460" t="s">
        <v>75</v>
      </c>
      <c r="I460" t="s">
        <v>76</v>
      </c>
      <c r="J460" t="s">
        <v>236</v>
      </c>
      <c r="K460" t="s">
        <v>78</v>
      </c>
      <c r="L460" t="s">
        <v>852</v>
      </c>
      <c r="M460" t="s">
        <v>853</v>
      </c>
      <c r="N460" t="s">
        <v>236</v>
      </c>
      <c r="O460" t="s">
        <v>1420</v>
      </c>
      <c r="P460" t="str">
        <f>"                              "</f>
        <v xml:space="preserve">                              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172.03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1</v>
      </c>
      <c r="BI460">
        <v>1.8</v>
      </c>
      <c r="BJ460">
        <v>6.1</v>
      </c>
      <c r="BK460">
        <v>7</v>
      </c>
      <c r="BL460">
        <v>976.08</v>
      </c>
      <c r="BM460">
        <v>0</v>
      </c>
      <c r="BN460">
        <v>976.08</v>
      </c>
      <c r="BO460">
        <v>976.08</v>
      </c>
      <c r="BQ460" t="s">
        <v>1421</v>
      </c>
      <c r="BR460" t="s">
        <v>1422</v>
      </c>
      <c r="BS460" s="3">
        <v>45981</v>
      </c>
      <c r="BT460" s="4">
        <v>0.54513888888888884</v>
      </c>
      <c r="BU460" t="s">
        <v>1423</v>
      </c>
      <c r="BW460" t="s">
        <v>830</v>
      </c>
      <c r="BX460" t="s">
        <v>857</v>
      </c>
      <c r="BY460">
        <v>30370.39</v>
      </c>
      <c r="BZ460" t="s">
        <v>1424</v>
      </c>
      <c r="CC460" t="s">
        <v>853</v>
      </c>
      <c r="CD460" t="s">
        <v>859</v>
      </c>
      <c r="CE460" t="s">
        <v>245</v>
      </c>
      <c r="CF460" s="3">
        <v>45988</v>
      </c>
      <c r="CI460">
        <v>0</v>
      </c>
      <c r="CJ460">
        <v>0</v>
      </c>
      <c r="CK460">
        <v>303</v>
      </c>
      <c r="CL460" t="s">
        <v>89</v>
      </c>
    </row>
    <row r="461" spans="1:90" x14ac:dyDescent="0.3">
      <c r="A461" t="s">
        <v>72</v>
      </c>
      <c r="B461" t="s">
        <v>73</v>
      </c>
      <c r="C461" t="s">
        <v>74</v>
      </c>
      <c r="E461" t="str">
        <f>"RGAB2029907"</f>
        <v>RGAB2029907</v>
      </c>
      <c r="F461" s="3">
        <v>45981</v>
      </c>
      <c r="G461">
        <v>202608</v>
      </c>
      <c r="H461" t="s">
        <v>230</v>
      </c>
      <c r="I461" t="s">
        <v>231</v>
      </c>
      <c r="J461" t="s">
        <v>1273</v>
      </c>
      <c r="K461" t="s">
        <v>78</v>
      </c>
      <c r="L461" t="s">
        <v>75</v>
      </c>
      <c r="M461" t="s">
        <v>76</v>
      </c>
      <c r="N461" t="s">
        <v>77</v>
      </c>
      <c r="O461" t="s">
        <v>82</v>
      </c>
      <c r="P461" t="str">
        <f>"INVOICE00041598 ORDGS037914   "</f>
        <v xml:space="preserve">INVOICE00041598 ORDGS037914   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5.87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41.35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1</v>
      </c>
      <c r="BI461">
        <v>0.2</v>
      </c>
      <c r="BJ461">
        <v>2.2000000000000002</v>
      </c>
      <c r="BK461">
        <v>3</v>
      </c>
      <c r="BL461">
        <v>141.19999999999999</v>
      </c>
      <c r="BM461">
        <v>21.18</v>
      </c>
      <c r="BN461">
        <v>162.38</v>
      </c>
      <c r="BO461">
        <v>162.38</v>
      </c>
      <c r="BQ461" t="s">
        <v>84</v>
      </c>
      <c r="BR461" t="s">
        <v>1274</v>
      </c>
      <c r="BS461" s="3">
        <v>45985</v>
      </c>
      <c r="BT461" s="4">
        <v>0.58194444444444449</v>
      </c>
      <c r="BU461" t="s">
        <v>1425</v>
      </c>
      <c r="BV461" t="s">
        <v>86</v>
      </c>
      <c r="BY461">
        <v>11052.72</v>
      </c>
      <c r="CA461" t="s">
        <v>1426</v>
      </c>
      <c r="CC461" t="s">
        <v>76</v>
      </c>
      <c r="CD461">
        <v>8001</v>
      </c>
      <c r="CE461" t="s">
        <v>367</v>
      </c>
      <c r="CF461" s="3">
        <v>45986</v>
      </c>
      <c r="CI461">
        <v>3</v>
      </c>
      <c r="CJ461">
        <v>2</v>
      </c>
      <c r="CK461">
        <v>41</v>
      </c>
      <c r="CL461" t="s">
        <v>89</v>
      </c>
    </row>
    <row r="462" spans="1:90" x14ac:dyDescent="0.3">
      <c r="A462" t="s">
        <v>72</v>
      </c>
      <c r="B462" t="s">
        <v>73</v>
      </c>
      <c r="C462" t="s">
        <v>74</v>
      </c>
      <c r="E462" t="str">
        <f>"RGAB2029792"</f>
        <v>RGAB2029792</v>
      </c>
      <c r="F462" s="3">
        <v>45981</v>
      </c>
      <c r="G462">
        <v>202608</v>
      </c>
      <c r="H462" t="s">
        <v>230</v>
      </c>
      <c r="I462" t="s">
        <v>231</v>
      </c>
      <c r="J462" t="s">
        <v>1006</v>
      </c>
      <c r="K462" t="s">
        <v>78</v>
      </c>
      <c r="L462" t="s">
        <v>75</v>
      </c>
      <c r="M462" t="s">
        <v>76</v>
      </c>
      <c r="N462" t="s">
        <v>77</v>
      </c>
      <c r="O462" t="s">
        <v>82</v>
      </c>
      <c r="P462" t="str">
        <f>"INVOICES 00041403 OOO41401 ORD"</f>
        <v>INVOICES 00041403 OOO41401 ORD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5.87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61.84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1</v>
      </c>
      <c r="BI462">
        <v>11.3</v>
      </c>
      <c r="BJ462">
        <v>26.2</v>
      </c>
      <c r="BK462">
        <v>27</v>
      </c>
      <c r="BL462">
        <v>208.25</v>
      </c>
      <c r="BM462">
        <v>31.24</v>
      </c>
      <c r="BN462">
        <v>239.49</v>
      </c>
      <c r="BO462">
        <v>239.49</v>
      </c>
      <c r="BQ462" t="s">
        <v>84</v>
      </c>
      <c r="BS462" s="3">
        <v>45985</v>
      </c>
      <c r="BT462" s="4">
        <v>0.58194444444444449</v>
      </c>
      <c r="BU462" t="s">
        <v>1425</v>
      </c>
      <c r="BV462" t="s">
        <v>86</v>
      </c>
      <c r="BY462">
        <v>131143.95000000001</v>
      </c>
      <c r="CA462" t="s">
        <v>1426</v>
      </c>
      <c r="CC462" t="s">
        <v>76</v>
      </c>
      <c r="CD462">
        <v>8001</v>
      </c>
      <c r="CE462" t="s">
        <v>1427</v>
      </c>
      <c r="CF462" s="3">
        <v>45986</v>
      </c>
      <c r="CI462">
        <v>3</v>
      </c>
      <c r="CJ462">
        <v>2</v>
      </c>
      <c r="CK462">
        <v>41</v>
      </c>
      <c r="CL462" t="s">
        <v>89</v>
      </c>
    </row>
    <row r="463" spans="1:90" x14ac:dyDescent="0.3">
      <c r="A463" t="s">
        <v>72</v>
      </c>
      <c r="B463" t="s">
        <v>73</v>
      </c>
      <c r="C463" t="s">
        <v>74</v>
      </c>
      <c r="E463" t="str">
        <f>"009945158427"</f>
        <v>009945158427</v>
      </c>
      <c r="F463" s="3">
        <v>45981</v>
      </c>
      <c r="G463">
        <v>202608</v>
      </c>
      <c r="H463" t="s">
        <v>230</v>
      </c>
      <c r="I463" t="s">
        <v>231</v>
      </c>
      <c r="J463" t="s">
        <v>236</v>
      </c>
      <c r="K463" t="s">
        <v>78</v>
      </c>
      <c r="L463" t="s">
        <v>90</v>
      </c>
      <c r="M463" t="s">
        <v>91</v>
      </c>
      <c r="N463" t="s">
        <v>1428</v>
      </c>
      <c r="O463" t="s">
        <v>124</v>
      </c>
      <c r="P463" t="str">
        <f>"NO REF                        "</f>
        <v xml:space="preserve">NO REF                        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64.12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3</v>
      </c>
      <c r="BI463">
        <v>6</v>
      </c>
      <c r="BJ463">
        <v>0.7</v>
      </c>
      <c r="BK463">
        <v>6</v>
      </c>
      <c r="BL463">
        <v>209.84</v>
      </c>
      <c r="BM463">
        <v>31.48</v>
      </c>
      <c r="BN463">
        <v>241.32</v>
      </c>
      <c r="BO463">
        <v>241.32</v>
      </c>
      <c r="BQ463" t="s">
        <v>1429</v>
      </c>
      <c r="BR463" t="s">
        <v>1430</v>
      </c>
      <c r="BS463" s="3">
        <v>45981</v>
      </c>
      <c r="BT463" s="4">
        <v>0.40277777777777779</v>
      </c>
      <c r="BU463" t="s">
        <v>1332</v>
      </c>
      <c r="BV463" t="s">
        <v>86</v>
      </c>
      <c r="BY463">
        <v>1200</v>
      </c>
      <c r="BZ463" t="s">
        <v>126</v>
      </c>
      <c r="CC463" t="s">
        <v>91</v>
      </c>
      <c r="CD463">
        <v>4000</v>
      </c>
      <c r="CE463" t="s">
        <v>254</v>
      </c>
      <c r="CF463" s="3">
        <v>45983</v>
      </c>
      <c r="CI463">
        <v>1</v>
      </c>
      <c r="CJ463">
        <v>0</v>
      </c>
      <c r="CK463">
        <v>21</v>
      </c>
      <c r="CL463" t="s">
        <v>89</v>
      </c>
    </row>
    <row r="464" spans="1:90" x14ac:dyDescent="0.3">
      <c r="A464" t="s">
        <v>72</v>
      </c>
      <c r="B464" t="s">
        <v>73</v>
      </c>
      <c r="C464" t="s">
        <v>74</v>
      </c>
      <c r="E464" t="str">
        <f>"009945202353"</f>
        <v>009945202353</v>
      </c>
      <c r="F464" s="3">
        <v>45981</v>
      </c>
      <c r="G464">
        <v>202608</v>
      </c>
      <c r="H464" t="s">
        <v>90</v>
      </c>
      <c r="I464" t="s">
        <v>91</v>
      </c>
      <c r="J464" t="s">
        <v>236</v>
      </c>
      <c r="K464" t="s">
        <v>78</v>
      </c>
      <c r="L464" t="s">
        <v>75</v>
      </c>
      <c r="M464" t="s">
        <v>76</v>
      </c>
      <c r="N464" t="s">
        <v>236</v>
      </c>
      <c r="O464" t="s">
        <v>82</v>
      </c>
      <c r="P464" t="str">
        <f>"PREETHUIM                     "</f>
        <v xml:space="preserve">PREETHUIM                     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5.87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63.54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1</v>
      </c>
      <c r="BI464">
        <v>5.6</v>
      </c>
      <c r="BJ464">
        <v>27.5</v>
      </c>
      <c r="BK464">
        <v>28</v>
      </c>
      <c r="BL464">
        <v>213.83</v>
      </c>
      <c r="BM464">
        <v>32.07</v>
      </c>
      <c r="BN464">
        <v>245.9</v>
      </c>
      <c r="BO464">
        <v>245.9</v>
      </c>
      <c r="BQ464" t="s">
        <v>1431</v>
      </c>
      <c r="BR464" t="s">
        <v>978</v>
      </c>
      <c r="BS464" s="3">
        <v>45985</v>
      </c>
      <c r="BT464" s="4">
        <v>0.58194444444444449</v>
      </c>
      <c r="BU464" t="s">
        <v>988</v>
      </c>
      <c r="BV464" t="s">
        <v>86</v>
      </c>
      <c r="BY464">
        <v>137500</v>
      </c>
      <c r="BZ464" t="s">
        <v>505</v>
      </c>
      <c r="CA464" t="s">
        <v>508</v>
      </c>
      <c r="CC464" t="s">
        <v>76</v>
      </c>
      <c r="CD464">
        <v>7460</v>
      </c>
      <c r="CE464" t="s">
        <v>245</v>
      </c>
      <c r="CF464" s="3">
        <v>45986</v>
      </c>
      <c r="CI464">
        <v>3</v>
      </c>
      <c r="CJ464">
        <v>2</v>
      </c>
      <c r="CK464">
        <v>41</v>
      </c>
      <c r="CL464" t="s">
        <v>89</v>
      </c>
    </row>
    <row r="465" spans="1:90" x14ac:dyDescent="0.3">
      <c r="A465" t="s">
        <v>72</v>
      </c>
      <c r="B465" t="s">
        <v>73</v>
      </c>
      <c r="C465" t="s">
        <v>74</v>
      </c>
      <c r="E465" t="str">
        <f>"GAB2029994"</f>
        <v>GAB2029994</v>
      </c>
      <c r="F465" s="3">
        <v>45981</v>
      </c>
      <c r="G465">
        <v>202608</v>
      </c>
      <c r="H465" t="s">
        <v>75</v>
      </c>
      <c r="I465" t="s">
        <v>76</v>
      </c>
      <c r="J465" t="s">
        <v>77</v>
      </c>
      <c r="K465" t="s">
        <v>78</v>
      </c>
      <c r="L465" t="s">
        <v>1432</v>
      </c>
      <c r="M465" t="s">
        <v>1433</v>
      </c>
      <c r="N465" t="s">
        <v>1434</v>
      </c>
      <c r="O465" t="s">
        <v>124</v>
      </c>
      <c r="P465" t="str">
        <f>"INVOICE00122933 CT098401      "</f>
        <v xml:space="preserve">INVOICE00122933 CT098401      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60.14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16.739999999999998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1</v>
      </c>
      <c r="BI465">
        <v>0.3</v>
      </c>
      <c r="BJ465">
        <v>2.7</v>
      </c>
      <c r="BK465">
        <v>3</v>
      </c>
      <c r="BL465">
        <v>213.56</v>
      </c>
      <c r="BM465">
        <v>32.03</v>
      </c>
      <c r="BN465">
        <v>245.59</v>
      </c>
      <c r="BO465">
        <v>245.59</v>
      </c>
      <c r="BR465" t="s">
        <v>84</v>
      </c>
      <c r="BS465" s="3">
        <v>45982</v>
      </c>
      <c r="BT465" s="4">
        <v>0.34097222222222223</v>
      </c>
      <c r="BU465" t="s">
        <v>1435</v>
      </c>
      <c r="BV465" t="s">
        <v>86</v>
      </c>
      <c r="BY465">
        <v>13596.66</v>
      </c>
      <c r="BZ465" t="s">
        <v>180</v>
      </c>
      <c r="CC465" t="s">
        <v>1433</v>
      </c>
      <c r="CD465">
        <v>1983</v>
      </c>
      <c r="CE465" t="s">
        <v>912</v>
      </c>
      <c r="CF465" s="3">
        <v>45985</v>
      </c>
      <c r="CI465">
        <v>1</v>
      </c>
      <c r="CJ465">
        <v>1</v>
      </c>
      <c r="CK465">
        <v>23</v>
      </c>
      <c r="CL465" t="s">
        <v>89</v>
      </c>
    </row>
    <row r="466" spans="1:90" x14ac:dyDescent="0.3">
      <c r="A466" t="s">
        <v>72</v>
      </c>
      <c r="B466" t="s">
        <v>73</v>
      </c>
      <c r="C466" t="s">
        <v>74</v>
      </c>
      <c r="E466" t="str">
        <f>"GAB2029996"</f>
        <v>GAB2029996</v>
      </c>
      <c r="F466" s="3">
        <v>45981</v>
      </c>
      <c r="G466">
        <v>202608</v>
      </c>
      <c r="H466" t="s">
        <v>75</v>
      </c>
      <c r="I466" t="s">
        <v>76</v>
      </c>
      <c r="J466" t="s">
        <v>77</v>
      </c>
      <c r="K466" t="s">
        <v>78</v>
      </c>
      <c r="L466" t="s">
        <v>447</v>
      </c>
      <c r="M466" t="s">
        <v>448</v>
      </c>
      <c r="N466" t="s">
        <v>792</v>
      </c>
      <c r="O466" t="s">
        <v>124</v>
      </c>
      <c r="P466" t="str">
        <f>"ALEX                          "</f>
        <v xml:space="preserve">ALEX                          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26.73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1</v>
      </c>
      <c r="BI466">
        <v>0.1</v>
      </c>
      <c r="BJ466">
        <v>2.1</v>
      </c>
      <c r="BK466">
        <v>2.5</v>
      </c>
      <c r="BL466">
        <v>87.47</v>
      </c>
      <c r="BM466">
        <v>13.12</v>
      </c>
      <c r="BN466">
        <v>100.59</v>
      </c>
      <c r="BO466">
        <v>100.59</v>
      </c>
      <c r="BQ466" t="s">
        <v>1436</v>
      </c>
      <c r="BR466" t="s">
        <v>84</v>
      </c>
      <c r="BS466" s="3">
        <v>45982</v>
      </c>
      <c r="BT466" s="4">
        <v>0.42430555555555555</v>
      </c>
      <c r="BU466" t="s">
        <v>794</v>
      </c>
      <c r="BV466" t="s">
        <v>86</v>
      </c>
      <c r="BY466">
        <v>10262.700000000001</v>
      </c>
      <c r="BZ466" t="s">
        <v>126</v>
      </c>
      <c r="CA466" t="s">
        <v>451</v>
      </c>
      <c r="CC466" t="s">
        <v>448</v>
      </c>
      <c r="CD466">
        <v>1682</v>
      </c>
      <c r="CE466" t="s">
        <v>1437</v>
      </c>
      <c r="CF466" s="3">
        <v>45983</v>
      </c>
      <c r="CI466">
        <v>1</v>
      </c>
      <c r="CJ466">
        <v>1</v>
      </c>
      <c r="CK466">
        <v>21</v>
      </c>
      <c r="CL466" t="s">
        <v>89</v>
      </c>
    </row>
    <row r="467" spans="1:90" x14ac:dyDescent="0.3">
      <c r="A467" t="s">
        <v>72</v>
      </c>
      <c r="B467" t="s">
        <v>73</v>
      </c>
      <c r="C467" t="s">
        <v>74</v>
      </c>
      <c r="E467" t="str">
        <f>"GAB2029997"</f>
        <v>GAB2029997</v>
      </c>
      <c r="F467" s="3">
        <v>45981</v>
      </c>
      <c r="G467">
        <v>202608</v>
      </c>
      <c r="H467" t="s">
        <v>75</v>
      </c>
      <c r="I467" t="s">
        <v>76</v>
      </c>
      <c r="J467" t="s">
        <v>77</v>
      </c>
      <c r="K467" t="s">
        <v>78</v>
      </c>
      <c r="L467" t="s">
        <v>1382</v>
      </c>
      <c r="M467" t="s">
        <v>1383</v>
      </c>
      <c r="N467" t="s">
        <v>1384</v>
      </c>
      <c r="O467" t="s">
        <v>124</v>
      </c>
      <c r="P467" t="str">
        <f>"INVOICE00041704 ORDGS038343   "</f>
        <v xml:space="preserve">INVOICE00041704 ORDGS038343   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50.78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1</v>
      </c>
      <c r="BI467">
        <v>0.1</v>
      </c>
      <c r="BJ467">
        <v>2.1</v>
      </c>
      <c r="BK467">
        <v>2.5</v>
      </c>
      <c r="BL467">
        <v>166.2</v>
      </c>
      <c r="BM467">
        <v>24.93</v>
      </c>
      <c r="BN467">
        <v>191.13</v>
      </c>
      <c r="BO467">
        <v>191.13</v>
      </c>
      <c r="BQ467" t="s">
        <v>1385</v>
      </c>
      <c r="BR467" t="s">
        <v>84</v>
      </c>
      <c r="BS467" s="3">
        <v>45985</v>
      </c>
      <c r="BT467" s="4">
        <v>0.3576388888888889</v>
      </c>
      <c r="BU467" t="s">
        <v>1438</v>
      </c>
      <c r="BV467" t="s">
        <v>89</v>
      </c>
      <c r="BW467" t="s">
        <v>562</v>
      </c>
      <c r="BX467" t="s">
        <v>1439</v>
      </c>
      <c r="BY467">
        <v>10292.74</v>
      </c>
      <c r="BZ467" t="s">
        <v>126</v>
      </c>
      <c r="CA467" t="s">
        <v>1387</v>
      </c>
      <c r="CC467" t="s">
        <v>1383</v>
      </c>
      <c r="CD467">
        <v>1760</v>
      </c>
      <c r="CE467" t="s">
        <v>367</v>
      </c>
      <c r="CF467" s="3">
        <v>45985</v>
      </c>
      <c r="CI467">
        <v>1</v>
      </c>
      <c r="CJ467">
        <v>2</v>
      </c>
      <c r="CK467">
        <v>23</v>
      </c>
      <c r="CL467" t="s">
        <v>89</v>
      </c>
    </row>
    <row r="468" spans="1:90" x14ac:dyDescent="0.3">
      <c r="A468" t="s">
        <v>72</v>
      </c>
      <c r="B468" t="s">
        <v>73</v>
      </c>
      <c r="C468" t="s">
        <v>74</v>
      </c>
      <c r="E468" t="str">
        <f>"GAB2029998"</f>
        <v>GAB2029998</v>
      </c>
      <c r="F468" s="3">
        <v>45981</v>
      </c>
      <c r="G468">
        <v>202608</v>
      </c>
      <c r="H468" t="s">
        <v>75</v>
      </c>
      <c r="I468" t="s">
        <v>76</v>
      </c>
      <c r="J468" t="s">
        <v>77</v>
      </c>
      <c r="K468" t="s">
        <v>78</v>
      </c>
      <c r="L468" t="s">
        <v>1440</v>
      </c>
      <c r="M468" t="s">
        <v>1440</v>
      </c>
      <c r="N468" t="s">
        <v>1441</v>
      </c>
      <c r="O468" t="s">
        <v>124</v>
      </c>
      <c r="P468" t="str">
        <f>"INVOICE00122937 CT098400      "</f>
        <v xml:space="preserve">INVOICE00122937 CT098400      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30.07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1</v>
      </c>
      <c r="BI468">
        <v>0.7</v>
      </c>
      <c r="BJ468">
        <v>1.9</v>
      </c>
      <c r="BK468">
        <v>2</v>
      </c>
      <c r="BL468">
        <v>98.42</v>
      </c>
      <c r="BM468">
        <v>14.76</v>
      </c>
      <c r="BN468">
        <v>113.18</v>
      </c>
      <c r="BO468">
        <v>113.18</v>
      </c>
      <c r="BQ468" t="s">
        <v>1442</v>
      </c>
      <c r="BR468" t="s">
        <v>84</v>
      </c>
      <c r="BS468" s="3">
        <v>45982</v>
      </c>
      <c r="BT468" s="4">
        <v>0.72777777777777775</v>
      </c>
      <c r="BU468" t="s">
        <v>1443</v>
      </c>
      <c r="BV468" t="s">
        <v>86</v>
      </c>
      <c r="BY468">
        <v>9268.4</v>
      </c>
      <c r="BZ468" t="s">
        <v>126</v>
      </c>
      <c r="CA468" t="s">
        <v>1444</v>
      </c>
      <c r="CC468" t="s">
        <v>1440</v>
      </c>
      <c r="CD468">
        <v>6835</v>
      </c>
      <c r="CE468" t="s">
        <v>1139</v>
      </c>
      <c r="CF468" s="3">
        <v>45985</v>
      </c>
      <c r="CI468">
        <v>2</v>
      </c>
      <c r="CJ468">
        <v>1</v>
      </c>
      <c r="CK468">
        <v>24</v>
      </c>
      <c r="CL468" t="s">
        <v>89</v>
      </c>
    </row>
    <row r="469" spans="1:90" x14ac:dyDescent="0.3">
      <c r="A469" t="s">
        <v>72</v>
      </c>
      <c r="B469" t="s">
        <v>73</v>
      </c>
      <c r="C469" t="s">
        <v>74</v>
      </c>
      <c r="E469" t="str">
        <f>"GAB2029999"</f>
        <v>GAB2029999</v>
      </c>
      <c r="F469" s="3">
        <v>45981</v>
      </c>
      <c r="G469">
        <v>202608</v>
      </c>
      <c r="H469" t="s">
        <v>75</v>
      </c>
      <c r="I469" t="s">
        <v>76</v>
      </c>
      <c r="J469" t="s">
        <v>77</v>
      </c>
      <c r="K469" t="s">
        <v>78</v>
      </c>
      <c r="L469" t="s">
        <v>75</v>
      </c>
      <c r="M469" t="s">
        <v>76</v>
      </c>
      <c r="N469" t="s">
        <v>1445</v>
      </c>
      <c r="O469" t="s">
        <v>124</v>
      </c>
      <c r="P469" t="str">
        <f>"INVOICE00122938 CT098403      "</f>
        <v xml:space="preserve">INVOICE00122938 CT098403      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16.7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1</v>
      </c>
      <c r="BI469">
        <v>1</v>
      </c>
      <c r="BJ469">
        <v>2.4</v>
      </c>
      <c r="BK469">
        <v>3</v>
      </c>
      <c r="BL469">
        <v>54.66</v>
      </c>
      <c r="BM469">
        <v>8.1999999999999993</v>
      </c>
      <c r="BN469">
        <v>62.86</v>
      </c>
      <c r="BO469">
        <v>62.86</v>
      </c>
      <c r="BQ469" t="s">
        <v>1446</v>
      </c>
      <c r="BR469" t="s">
        <v>84</v>
      </c>
      <c r="BS469" t="s">
        <v>305</v>
      </c>
      <c r="BY469">
        <v>12000</v>
      </c>
      <c r="CC469" t="s">
        <v>76</v>
      </c>
      <c r="CD469">
        <v>7446</v>
      </c>
      <c r="CE469" t="s">
        <v>367</v>
      </c>
      <c r="CI469">
        <v>1</v>
      </c>
      <c r="CJ469" t="s">
        <v>305</v>
      </c>
      <c r="CK469">
        <v>22</v>
      </c>
      <c r="CL469" t="s">
        <v>89</v>
      </c>
    </row>
    <row r="470" spans="1:90" x14ac:dyDescent="0.3">
      <c r="A470" t="s">
        <v>72</v>
      </c>
      <c r="B470" t="s">
        <v>73</v>
      </c>
      <c r="C470" t="s">
        <v>74</v>
      </c>
      <c r="E470" t="str">
        <f>"GAB2030002"</f>
        <v>GAB2030002</v>
      </c>
      <c r="F470" s="3">
        <v>45981</v>
      </c>
      <c r="G470">
        <v>202608</v>
      </c>
      <c r="H470" t="s">
        <v>75</v>
      </c>
      <c r="I470" t="s">
        <v>76</v>
      </c>
      <c r="J470" t="s">
        <v>77</v>
      </c>
      <c r="K470" t="s">
        <v>78</v>
      </c>
      <c r="L470" t="s">
        <v>189</v>
      </c>
      <c r="M470" t="s">
        <v>190</v>
      </c>
      <c r="N470" t="s">
        <v>890</v>
      </c>
      <c r="O470" t="s">
        <v>124</v>
      </c>
      <c r="P470" t="str">
        <f>"INVOICE00041705 ORDGS038340   "</f>
        <v xml:space="preserve">INVOICE00041705 ORDGS038340   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50.78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1</v>
      </c>
      <c r="BI470">
        <v>0.3</v>
      </c>
      <c r="BJ470">
        <v>2.1</v>
      </c>
      <c r="BK470">
        <v>2.5</v>
      </c>
      <c r="BL470">
        <v>166.2</v>
      </c>
      <c r="BM470">
        <v>24.93</v>
      </c>
      <c r="BN470">
        <v>191.13</v>
      </c>
      <c r="BO470">
        <v>191.13</v>
      </c>
      <c r="BQ470" t="s">
        <v>1447</v>
      </c>
      <c r="BR470" t="s">
        <v>84</v>
      </c>
      <c r="BS470" s="3">
        <v>45982</v>
      </c>
      <c r="BT470" s="4">
        <v>0.625</v>
      </c>
      <c r="BU470" t="s">
        <v>1035</v>
      </c>
      <c r="BV470" t="s">
        <v>86</v>
      </c>
      <c r="BY470">
        <v>10452.959999999999</v>
      </c>
      <c r="BZ470" t="s">
        <v>126</v>
      </c>
      <c r="CA470">
        <v>7810105176080</v>
      </c>
      <c r="CC470" t="s">
        <v>190</v>
      </c>
      <c r="CD470">
        <v>6506</v>
      </c>
      <c r="CE470" t="s">
        <v>1448</v>
      </c>
      <c r="CF470" s="3">
        <v>45985</v>
      </c>
      <c r="CI470">
        <v>1</v>
      </c>
      <c r="CJ470">
        <v>1</v>
      </c>
      <c r="CK470">
        <v>23</v>
      </c>
      <c r="CL470" t="s">
        <v>89</v>
      </c>
    </row>
    <row r="471" spans="1:90" x14ac:dyDescent="0.3">
      <c r="A471" t="s">
        <v>72</v>
      </c>
      <c r="B471" t="s">
        <v>73</v>
      </c>
      <c r="C471" t="s">
        <v>74</v>
      </c>
      <c r="E471" t="str">
        <f>"GAB2030004"</f>
        <v>GAB2030004</v>
      </c>
      <c r="F471" s="3">
        <v>45981</v>
      </c>
      <c r="G471">
        <v>202608</v>
      </c>
      <c r="H471" t="s">
        <v>75</v>
      </c>
      <c r="I471" t="s">
        <v>76</v>
      </c>
      <c r="J471" t="s">
        <v>77</v>
      </c>
      <c r="K471" t="s">
        <v>78</v>
      </c>
      <c r="L471" t="s">
        <v>230</v>
      </c>
      <c r="M471" t="s">
        <v>231</v>
      </c>
      <c r="N471" t="s">
        <v>785</v>
      </c>
      <c r="O471" t="s">
        <v>124</v>
      </c>
      <c r="P471" t="str">
        <f>"INVOICE00041706 ORDGS038355   "</f>
        <v xml:space="preserve">INVOICE00041706 ORDGS038355   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32.07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1</v>
      </c>
      <c r="BI471">
        <v>0.2</v>
      </c>
      <c r="BJ471">
        <v>2.6</v>
      </c>
      <c r="BK471">
        <v>3</v>
      </c>
      <c r="BL471">
        <v>104.95</v>
      </c>
      <c r="BM471">
        <v>15.74</v>
      </c>
      <c r="BN471">
        <v>120.69</v>
      </c>
      <c r="BO471">
        <v>120.69</v>
      </c>
      <c r="BR471" t="s">
        <v>84</v>
      </c>
      <c r="BS471" s="3">
        <v>45985</v>
      </c>
      <c r="BT471" s="4">
        <v>0.43125000000000002</v>
      </c>
      <c r="BU471" t="s">
        <v>1449</v>
      </c>
      <c r="BV471" t="s">
        <v>89</v>
      </c>
      <c r="BW471" t="s">
        <v>562</v>
      </c>
      <c r="BX471" t="s">
        <v>1450</v>
      </c>
      <c r="BY471">
        <v>12927.6</v>
      </c>
      <c r="BZ471" t="s">
        <v>126</v>
      </c>
      <c r="CA471">
        <v>9102195591081</v>
      </c>
      <c r="CC471" t="s">
        <v>231</v>
      </c>
      <c r="CD471" s="5" t="s">
        <v>382</v>
      </c>
      <c r="CE471" t="s">
        <v>814</v>
      </c>
      <c r="CF471" s="3">
        <v>45985</v>
      </c>
      <c r="CI471">
        <v>1</v>
      </c>
      <c r="CJ471">
        <v>2</v>
      </c>
      <c r="CK471">
        <v>21</v>
      </c>
      <c r="CL471" t="s">
        <v>89</v>
      </c>
    </row>
    <row r="472" spans="1:90" x14ac:dyDescent="0.3">
      <c r="A472" t="s">
        <v>72</v>
      </c>
      <c r="B472" t="s">
        <v>73</v>
      </c>
      <c r="C472" t="s">
        <v>74</v>
      </c>
      <c r="E472" t="str">
        <f>"GAB2030005"</f>
        <v>GAB2030005</v>
      </c>
      <c r="F472" s="3">
        <v>45981</v>
      </c>
      <c r="G472">
        <v>202608</v>
      </c>
      <c r="H472" t="s">
        <v>75</v>
      </c>
      <c r="I472" t="s">
        <v>76</v>
      </c>
      <c r="J472" t="s">
        <v>77</v>
      </c>
      <c r="K472" t="s">
        <v>78</v>
      </c>
      <c r="L472" t="s">
        <v>230</v>
      </c>
      <c r="M472" t="s">
        <v>231</v>
      </c>
      <c r="N472" t="s">
        <v>1451</v>
      </c>
      <c r="O472" t="s">
        <v>124</v>
      </c>
      <c r="P472" t="str">
        <f>"INVOICE00122943 CT098374      "</f>
        <v xml:space="preserve">INVOICE00122943 CT098374      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21.38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1</v>
      </c>
      <c r="BI472">
        <v>0.7</v>
      </c>
      <c r="BJ472">
        <v>1.9</v>
      </c>
      <c r="BK472">
        <v>2</v>
      </c>
      <c r="BL472">
        <v>69.98</v>
      </c>
      <c r="BM472">
        <v>10.5</v>
      </c>
      <c r="BN472">
        <v>80.48</v>
      </c>
      <c r="BO472">
        <v>80.48</v>
      </c>
      <c r="BQ472" t="s">
        <v>1035</v>
      </c>
      <c r="BR472" t="s">
        <v>84</v>
      </c>
      <c r="BS472" s="3">
        <v>45982</v>
      </c>
      <c r="BT472" s="4">
        <v>0.42777777777777776</v>
      </c>
      <c r="BU472" t="s">
        <v>1452</v>
      </c>
      <c r="BV472" t="s">
        <v>86</v>
      </c>
      <c r="BY472">
        <v>9263.64</v>
      </c>
      <c r="BZ472" t="s">
        <v>126</v>
      </c>
      <c r="CA472" s="5" t="s">
        <v>750</v>
      </c>
      <c r="CC472" t="s">
        <v>231</v>
      </c>
      <c r="CD472" s="5" t="s">
        <v>751</v>
      </c>
      <c r="CE472" t="s">
        <v>929</v>
      </c>
      <c r="CF472" s="3">
        <v>45982</v>
      </c>
      <c r="CI472">
        <v>1</v>
      </c>
      <c r="CJ472">
        <v>1</v>
      </c>
      <c r="CK472">
        <v>21</v>
      </c>
      <c r="CL472" t="s">
        <v>89</v>
      </c>
    </row>
    <row r="473" spans="1:90" x14ac:dyDescent="0.3">
      <c r="A473" t="s">
        <v>72</v>
      </c>
      <c r="B473" t="s">
        <v>73</v>
      </c>
      <c r="C473" t="s">
        <v>74</v>
      </c>
      <c r="E473" t="str">
        <f>"GAB2030006"</f>
        <v>GAB2030006</v>
      </c>
      <c r="F473" s="3">
        <v>45981</v>
      </c>
      <c r="G473">
        <v>202608</v>
      </c>
      <c r="H473" t="s">
        <v>75</v>
      </c>
      <c r="I473" t="s">
        <v>76</v>
      </c>
      <c r="J473" t="s">
        <v>77</v>
      </c>
      <c r="K473" t="s">
        <v>78</v>
      </c>
      <c r="L473" t="s">
        <v>447</v>
      </c>
      <c r="M473" t="s">
        <v>448</v>
      </c>
      <c r="N473" t="s">
        <v>922</v>
      </c>
      <c r="O473" t="s">
        <v>124</v>
      </c>
      <c r="P473" t="str">
        <f>"INVOICE00122944 CT098405      "</f>
        <v xml:space="preserve">INVOICE00122944 CT098405      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32.07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1</v>
      </c>
      <c r="BI473">
        <v>0.4</v>
      </c>
      <c r="BJ473">
        <v>3</v>
      </c>
      <c r="BK473">
        <v>3</v>
      </c>
      <c r="BL473">
        <v>104.95</v>
      </c>
      <c r="BM473">
        <v>15.74</v>
      </c>
      <c r="BN473">
        <v>120.69</v>
      </c>
      <c r="BO473">
        <v>120.69</v>
      </c>
      <c r="BQ473" t="s">
        <v>923</v>
      </c>
      <c r="BR473" t="s">
        <v>84</v>
      </c>
      <c r="BS473" s="3">
        <v>45982</v>
      </c>
      <c r="BT473" s="4">
        <v>0.43055555555555558</v>
      </c>
      <c r="BU473" t="s">
        <v>1453</v>
      </c>
      <c r="BV473" t="s">
        <v>86</v>
      </c>
      <c r="BY473">
        <v>14887.44</v>
      </c>
      <c r="BZ473" t="s">
        <v>126</v>
      </c>
      <c r="CA473" t="s">
        <v>925</v>
      </c>
      <c r="CC473" t="s">
        <v>448</v>
      </c>
      <c r="CD473">
        <v>1684</v>
      </c>
      <c r="CE473" t="s">
        <v>807</v>
      </c>
      <c r="CF473" s="3">
        <v>45983</v>
      </c>
      <c r="CI473">
        <v>1</v>
      </c>
      <c r="CJ473">
        <v>1</v>
      </c>
      <c r="CK473">
        <v>21</v>
      </c>
      <c r="CL473" t="s">
        <v>89</v>
      </c>
    </row>
    <row r="474" spans="1:90" x14ac:dyDescent="0.3">
      <c r="A474" t="s">
        <v>72</v>
      </c>
      <c r="B474" t="s">
        <v>73</v>
      </c>
      <c r="C474" t="s">
        <v>74</v>
      </c>
      <c r="E474" t="str">
        <f>"GAB2030009"</f>
        <v>GAB2030009</v>
      </c>
      <c r="F474" s="3">
        <v>45981</v>
      </c>
      <c r="G474">
        <v>202608</v>
      </c>
      <c r="H474" t="s">
        <v>75</v>
      </c>
      <c r="I474" t="s">
        <v>76</v>
      </c>
      <c r="J474" t="s">
        <v>77</v>
      </c>
      <c r="K474" t="s">
        <v>78</v>
      </c>
      <c r="L474" t="s">
        <v>274</v>
      </c>
      <c r="M474" t="s">
        <v>275</v>
      </c>
      <c r="N474" t="s">
        <v>299</v>
      </c>
      <c r="O474" t="s">
        <v>124</v>
      </c>
      <c r="P474" t="str">
        <f>"INVOICE00122947 CT098408      "</f>
        <v xml:space="preserve">INVOICE00122947 CT098408      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41.43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1</v>
      </c>
      <c r="BI474">
        <v>0.2</v>
      </c>
      <c r="BJ474">
        <v>1.7</v>
      </c>
      <c r="BK474">
        <v>2</v>
      </c>
      <c r="BL474">
        <v>135.59</v>
      </c>
      <c r="BM474">
        <v>20.34</v>
      </c>
      <c r="BN474">
        <v>155.93</v>
      </c>
      <c r="BO474">
        <v>155.93</v>
      </c>
      <c r="BR474" t="s">
        <v>84</v>
      </c>
      <c r="BS474" s="3">
        <v>45982</v>
      </c>
      <c r="BT474" s="4">
        <v>0.42291666666666666</v>
      </c>
      <c r="BU474" t="s">
        <v>301</v>
      </c>
      <c r="BV474" t="s">
        <v>86</v>
      </c>
      <c r="BY474">
        <v>8713.35</v>
      </c>
      <c r="BZ474" t="s">
        <v>126</v>
      </c>
      <c r="CA474" t="s">
        <v>302</v>
      </c>
      <c r="CC474" t="s">
        <v>275</v>
      </c>
      <c r="CD474">
        <v>9459</v>
      </c>
      <c r="CE474" t="s">
        <v>367</v>
      </c>
      <c r="CF474" s="3">
        <v>45982</v>
      </c>
      <c r="CI474">
        <v>2</v>
      </c>
      <c r="CJ474">
        <v>1</v>
      </c>
      <c r="CK474">
        <v>23</v>
      </c>
      <c r="CL474" t="s">
        <v>89</v>
      </c>
    </row>
    <row r="475" spans="1:90" x14ac:dyDescent="0.3">
      <c r="A475" t="s">
        <v>72</v>
      </c>
      <c r="B475" t="s">
        <v>73</v>
      </c>
      <c r="C475" t="s">
        <v>74</v>
      </c>
      <c r="E475" t="str">
        <f>"GAB2030010"</f>
        <v>GAB2030010</v>
      </c>
      <c r="F475" s="3">
        <v>45981</v>
      </c>
      <c r="G475">
        <v>202608</v>
      </c>
      <c r="H475" t="s">
        <v>75</v>
      </c>
      <c r="I475" t="s">
        <v>76</v>
      </c>
      <c r="J475" t="s">
        <v>77</v>
      </c>
      <c r="K475" t="s">
        <v>78</v>
      </c>
      <c r="L475" t="s">
        <v>143</v>
      </c>
      <c r="M475" t="s">
        <v>144</v>
      </c>
      <c r="N475" t="s">
        <v>145</v>
      </c>
      <c r="O475" t="s">
        <v>124</v>
      </c>
      <c r="P475" t="str">
        <f>"INVOICE00122948 CT098409      "</f>
        <v xml:space="preserve">INVOICE00122948 CT098409      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16.7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1</v>
      </c>
      <c r="BI475">
        <v>0.1</v>
      </c>
      <c r="BJ475">
        <v>2.1</v>
      </c>
      <c r="BK475">
        <v>3</v>
      </c>
      <c r="BL475">
        <v>54.66</v>
      </c>
      <c r="BM475">
        <v>8.1999999999999993</v>
      </c>
      <c r="BN475">
        <v>62.86</v>
      </c>
      <c r="BO475">
        <v>62.86</v>
      </c>
      <c r="BR475" t="s">
        <v>84</v>
      </c>
      <c r="BS475" s="3">
        <v>45982</v>
      </c>
      <c r="BT475" s="4">
        <v>0.5</v>
      </c>
      <c r="BU475" t="s">
        <v>1454</v>
      </c>
      <c r="BV475" t="s">
        <v>86</v>
      </c>
      <c r="BY475">
        <v>10344.08</v>
      </c>
      <c r="BZ475" t="s">
        <v>126</v>
      </c>
      <c r="CA475" t="s">
        <v>1455</v>
      </c>
      <c r="CC475" t="s">
        <v>144</v>
      </c>
      <c r="CD475">
        <v>7600</v>
      </c>
      <c r="CE475" t="s">
        <v>843</v>
      </c>
      <c r="CF475" s="3">
        <v>45985</v>
      </c>
      <c r="CI475">
        <v>1</v>
      </c>
      <c r="CJ475">
        <v>1</v>
      </c>
      <c r="CK475">
        <v>22</v>
      </c>
      <c r="CL475" t="s">
        <v>89</v>
      </c>
    </row>
    <row r="476" spans="1:90" x14ac:dyDescent="0.3">
      <c r="A476" t="s">
        <v>72</v>
      </c>
      <c r="B476" t="s">
        <v>73</v>
      </c>
      <c r="C476" t="s">
        <v>74</v>
      </c>
      <c r="E476" t="str">
        <f>"GAB2030012"</f>
        <v>GAB2030012</v>
      </c>
      <c r="F476" s="3">
        <v>45981</v>
      </c>
      <c r="G476">
        <v>202608</v>
      </c>
      <c r="H476" t="s">
        <v>75</v>
      </c>
      <c r="I476" t="s">
        <v>76</v>
      </c>
      <c r="J476" t="s">
        <v>77</v>
      </c>
      <c r="K476" t="s">
        <v>78</v>
      </c>
      <c r="L476" t="s">
        <v>169</v>
      </c>
      <c r="M476" t="s">
        <v>170</v>
      </c>
      <c r="N476" t="s">
        <v>171</v>
      </c>
      <c r="O476" t="s">
        <v>124</v>
      </c>
      <c r="P476" t="str">
        <f>"INVOICE00041723 ORDGS038371   "</f>
        <v xml:space="preserve">INVOICE00041723 ORDGS038371   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26.73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1</v>
      </c>
      <c r="BI476">
        <v>0.2</v>
      </c>
      <c r="BJ476">
        <v>2.1</v>
      </c>
      <c r="BK476">
        <v>2.5</v>
      </c>
      <c r="BL476">
        <v>87.47</v>
      </c>
      <c r="BM476">
        <v>13.12</v>
      </c>
      <c r="BN476">
        <v>100.59</v>
      </c>
      <c r="BO476">
        <v>100.59</v>
      </c>
      <c r="BQ476" t="s">
        <v>952</v>
      </c>
      <c r="BR476" t="s">
        <v>84</v>
      </c>
      <c r="BS476" s="3">
        <v>45982</v>
      </c>
      <c r="BT476" s="4">
        <v>0.54166666666666663</v>
      </c>
      <c r="BU476" t="s">
        <v>1456</v>
      </c>
      <c r="BV476" t="s">
        <v>89</v>
      </c>
      <c r="BW476" t="s">
        <v>216</v>
      </c>
      <c r="BX476" t="s">
        <v>838</v>
      </c>
      <c r="BY476">
        <v>10498.83</v>
      </c>
      <c r="BZ476" t="s">
        <v>126</v>
      </c>
      <c r="CA476" t="s">
        <v>1457</v>
      </c>
      <c r="CC476" t="s">
        <v>170</v>
      </c>
      <c r="CD476">
        <v>2007</v>
      </c>
      <c r="CE476" t="s">
        <v>843</v>
      </c>
      <c r="CF476" s="3">
        <v>45982</v>
      </c>
      <c r="CI476">
        <v>1</v>
      </c>
      <c r="CJ476">
        <v>1</v>
      </c>
      <c r="CK476">
        <v>21</v>
      </c>
      <c r="CL476" t="s">
        <v>89</v>
      </c>
    </row>
    <row r="477" spans="1:90" x14ac:dyDescent="0.3">
      <c r="A477" t="s">
        <v>72</v>
      </c>
      <c r="B477" t="s">
        <v>73</v>
      </c>
      <c r="C477" t="s">
        <v>74</v>
      </c>
      <c r="E477" t="str">
        <f>"GAB2030013"</f>
        <v>GAB2030013</v>
      </c>
      <c r="F477" s="3">
        <v>45981</v>
      </c>
      <c r="G477">
        <v>202608</v>
      </c>
      <c r="H477" t="s">
        <v>75</v>
      </c>
      <c r="I477" t="s">
        <v>76</v>
      </c>
      <c r="J477" t="s">
        <v>77</v>
      </c>
      <c r="K477" t="s">
        <v>78</v>
      </c>
      <c r="L477" t="s">
        <v>175</v>
      </c>
      <c r="M477" t="s">
        <v>176</v>
      </c>
      <c r="N477" t="s">
        <v>177</v>
      </c>
      <c r="O477" t="s">
        <v>124</v>
      </c>
      <c r="P477" t="str">
        <f>"INVOICE00122953 CT098411      "</f>
        <v xml:space="preserve">INVOICE00122953 CT098411      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41.43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16.739999999999998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1</v>
      </c>
      <c r="BI477">
        <v>0.5</v>
      </c>
      <c r="BJ477">
        <v>1.7</v>
      </c>
      <c r="BK477">
        <v>2</v>
      </c>
      <c r="BL477">
        <v>152.33000000000001</v>
      </c>
      <c r="BM477">
        <v>22.85</v>
      </c>
      <c r="BN477">
        <v>175.18</v>
      </c>
      <c r="BO477">
        <v>175.18</v>
      </c>
      <c r="BQ477" t="s">
        <v>251</v>
      </c>
      <c r="BR477" t="s">
        <v>84</v>
      </c>
      <c r="BS477" s="3">
        <v>45985</v>
      </c>
      <c r="BT477" s="4">
        <v>0.38055555555555554</v>
      </c>
      <c r="BU477" t="s">
        <v>1458</v>
      </c>
      <c r="BV477" t="s">
        <v>86</v>
      </c>
      <c r="BY477">
        <v>8552.7000000000007</v>
      </c>
      <c r="BZ477" t="s">
        <v>180</v>
      </c>
      <c r="CA477" t="s">
        <v>594</v>
      </c>
      <c r="CC477" t="s">
        <v>176</v>
      </c>
      <c r="CD477">
        <v>2745</v>
      </c>
      <c r="CE477" t="s">
        <v>1134</v>
      </c>
      <c r="CF477" s="3">
        <v>45986</v>
      </c>
      <c r="CI477">
        <v>2</v>
      </c>
      <c r="CJ477">
        <v>2</v>
      </c>
      <c r="CK477">
        <v>23</v>
      </c>
      <c r="CL477" t="s">
        <v>89</v>
      </c>
    </row>
    <row r="478" spans="1:90" x14ac:dyDescent="0.3">
      <c r="A478" t="s">
        <v>72</v>
      </c>
      <c r="B478" t="s">
        <v>73</v>
      </c>
      <c r="C478" t="s">
        <v>74</v>
      </c>
      <c r="E478" t="str">
        <f>"GAB2030014"</f>
        <v>GAB2030014</v>
      </c>
      <c r="F478" s="3">
        <v>45981</v>
      </c>
      <c r="G478">
        <v>202608</v>
      </c>
      <c r="H478" t="s">
        <v>75</v>
      </c>
      <c r="I478" t="s">
        <v>76</v>
      </c>
      <c r="J478" t="s">
        <v>77</v>
      </c>
      <c r="K478" t="s">
        <v>78</v>
      </c>
      <c r="L478" t="s">
        <v>230</v>
      </c>
      <c r="M478" t="s">
        <v>231</v>
      </c>
      <c r="N478" t="s">
        <v>1459</v>
      </c>
      <c r="O478" t="s">
        <v>124</v>
      </c>
      <c r="P478" t="str">
        <f>"INVOICE00122952 CT098410      "</f>
        <v xml:space="preserve">INVOICE00122952 CT098410      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21.38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1</v>
      </c>
      <c r="BI478">
        <v>0.1</v>
      </c>
      <c r="BJ478">
        <v>1.9</v>
      </c>
      <c r="BK478">
        <v>2</v>
      </c>
      <c r="BL478">
        <v>69.98</v>
      </c>
      <c r="BM478">
        <v>10.5</v>
      </c>
      <c r="BN478">
        <v>80.48</v>
      </c>
      <c r="BO478">
        <v>80.48</v>
      </c>
      <c r="BQ478" t="s">
        <v>1460</v>
      </c>
      <c r="BR478" t="s">
        <v>84</v>
      </c>
      <c r="BS478" s="3">
        <v>45985</v>
      </c>
      <c r="BT478" s="4">
        <v>0.33194444444444443</v>
      </c>
      <c r="BU478" t="s">
        <v>1461</v>
      </c>
      <c r="BV478" t="s">
        <v>89</v>
      </c>
      <c r="BW478" t="s">
        <v>562</v>
      </c>
      <c r="BX478" t="s">
        <v>1462</v>
      </c>
      <c r="BY478">
        <v>9529.52</v>
      </c>
      <c r="BZ478" t="s">
        <v>126</v>
      </c>
      <c r="CA478" s="5" t="s">
        <v>1463</v>
      </c>
      <c r="CC478" t="s">
        <v>231</v>
      </c>
      <c r="CD478" s="5" t="s">
        <v>382</v>
      </c>
      <c r="CE478" t="s">
        <v>367</v>
      </c>
      <c r="CF478" s="3">
        <v>45985</v>
      </c>
      <c r="CI478">
        <v>1</v>
      </c>
      <c r="CJ478">
        <v>2</v>
      </c>
      <c r="CK478">
        <v>21</v>
      </c>
      <c r="CL478" t="s">
        <v>89</v>
      </c>
    </row>
    <row r="479" spans="1:90" x14ac:dyDescent="0.3">
      <c r="A479" t="s">
        <v>72</v>
      </c>
      <c r="B479" t="s">
        <v>73</v>
      </c>
      <c r="C479" t="s">
        <v>74</v>
      </c>
      <c r="E479" t="str">
        <f>"GAB2030015"</f>
        <v>GAB2030015</v>
      </c>
      <c r="F479" s="3">
        <v>45981</v>
      </c>
      <c r="G479">
        <v>202608</v>
      </c>
      <c r="H479" t="s">
        <v>75</v>
      </c>
      <c r="I479" t="s">
        <v>76</v>
      </c>
      <c r="J479" t="s">
        <v>77</v>
      </c>
      <c r="K479" t="s">
        <v>78</v>
      </c>
      <c r="L479" t="s">
        <v>75</v>
      </c>
      <c r="M479" t="s">
        <v>76</v>
      </c>
      <c r="N479" t="s">
        <v>481</v>
      </c>
      <c r="O479" t="s">
        <v>124</v>
      </c>
      <c r="P479" t="str">
        <f>"INVOICE00122957 CT098414      "</f>
        <v xml:space="preserve">INVOICE00122957 CT098414      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16.7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1</v>
      </c>
      <c r="BI479">
        <v>0.8</v>
      </c>
      <c r="BJ479">
        <v>2.5</v>
      </c>
      <c r="BK479">
        <v>3</v>
      </c>
      <c r="BL479">
        <v>54.66</v>
      </c>
      <c r="BM479">
        <v>8.1999999999999993</v>
      </c>
      <c r="BN479">
        <v>62.86</v>
      </c>
      <c r="BO479">
        <v>62.86</v>
      </c>
      <c r="BQ479" t="s">
        <v>482</v>
      </c>
      <c r="BR479" t="s">
        <v>84</v>
      </c>
      <c r="BS479" s="3">
        <v>45982</v>
      </c>
      <c r="BT479" s="4">
        <v>0.37569444444444444</v>
      </c>
      <c r="BU479" t="s">
        <v>1307</v>
      </c>
      <c r="BV479" t="s">
        <v>86</v>
      </c>
      <c r="BY479">
        <v>12525.6</v>
      </c>
      <c r="BZ479" t="s">
        <v>126</v>
      </c>
      <c r="CA479" t="s">
        <v>1308</v>
      </c>
      <c r="CC479" t="s">
        <v>76</v>
      </c>
      <c r="CD479">
        <v>7441</v>
      </c>
      <c r="CE479" t="s">
        <v>1464</v>
      </c>
      <c r="CF479" s="3">
        <v>45985</v>
      </c>
      <c r="CI479">
        <v>1</v>
      </c>
      <c r="CJ479">
        <v>1</v>
      </c>
      <c r="CK479">
        <v>22</v>
      </c>
      <c r="CL479" t="s">
        <v>89</v>
      </c>
    </row>
    <row r="480" spans="1:90" x14ac:dyDescent="0.3">
      <c r="A480" t="s">
        <v>72</v>
      </c>
      <c r="B480" t="s">
        <v>73</v>
      </c>
      <c r="C480" t="s">
        <v>74</v>
      </c>
      <c r="E480" t="str">
        <f>"GAB2030017"</f>
        <v>GAB2030017</v>
      </c>
      <c r="F480" s="3">
        <v>45981</v>
      </c>
      <c r="G480">
        <v>202608</v>
      </c>
      <c r="H480" t="s">
        <v>75</v>
      </c>
      <c r="I480" t="s">
        <v>76</v>
      </c>
      <c r="J480" t="s">
        <v>77</v>
      </c>
      <c r="K480" t="s">
        <v>78</v>
      </c>
      <c r="L480" t="s">
        <v>75</v>
      </c>
      <c r="M480" t="s">
        <v>76</v>
      </c>
      <c r="N480" t="s">
        <v>671</v>
      </c>
      <c r="O480" t="s">
        <v>124</v>
      </c>
      <c r="P480" t="str">
        <f>"INVOICE00122959 CT098415      "</f>
        <v xml:space="preserve">INVOICE00122959 CT098415      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16.7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1</v>
      </c>
      <c r="BI480">
        <v>0.2</v>
      </c>
      <c r="BJ480">
        <v>2.1</v>
      </c>
      <c r="BK480">
        <v>3</v>
      </c>
      <c r="BL480">
        <v>54.66</v>
      </c>
      <c r="BM480">
        <v>8.1999999999999993</v>
      </c>
      <c r="BN480">
        <v>62.86</v>
      </c>
      <c r="BO480">
        <v>62.86</v>
      </c>
      <c r="BQ480" t="s">
        <v>1465</v>
      </c>
      <c r="BR480" t="s">
        <v>84</v>
      </c>
      <c r="BS480" s="3">
        <v>45982</v>
      </c>
      <c r="BT480" s="4">
        <v>0.39583333333333331</v>
      </c>
      <c r="BU480" t="s">
        <v>1466</v>
      </c>
      <c r="BV480" t="s">
        <v>86</v>
      </c>
      <c r="BY480">
        <v>10486.77</v>
      </c>
      <c r="BZ480" t="s">
        <v>126</v>
      </c>
      <c r="CA480" t="s">
        <v>1104</v>
      </c>
      <c r="CC480" t="s">
        <v>76</v>
      </c>
      <c r="CD480">
        <v>7800</v>
      </c>
      <c r="CE480" t="s">
        <v>843</v>
      </c>
      <c r="CF480" s="3">
        <v>45985</v>
      </c>
      <c r="CI480">
        <v>1</v>
      </c>
      <c r="CJ480">
        <v>1</v>
      </c>
      <c r="CK480">
        <v>22</v>
      </c>
      <c r="CL480" t="s">
        <v>89</v>
      </c>
    </row>
    <row r="481" spans="1:90" x14ac:dyDescent="0.3">
      <c r="A481" t="s">
        <v>72</v>
      </c>
      <c r="B481" t="s">
        <v>73</v>
      </c>
      <c r="C481" t="s">
        <v>74</v>
      </c>
      <c r="E481" t="str">
        <f>"GAB2030018"</f>
        <v>GAB2030018</v>
      </c>
      <c r="F481" s="3">
        <v>45981</v>
      </c>
      <c r="G481">
        <v>202608</v>
      </c>
      <c r="H481" t="s">
        <v>75</v>
      </c>
      <c r="I481" t="s">
        <v>76</v>
      </c>
      <c r="J481" t="s">
        <v>77</v>
      </c>
      <c r="K481" t="s">
        <v>78</v>
      </c>
      <c r="L481" t="s">
        <v>75</v>
      </c>
      <c r="M481" t="s">
        <v>76</v>
      </c>
      <c r="N481" t="s">
        <v>743</v>
      </c>
      <c r="O481" t="s">
        <v>124</v>
      </c>
      <c r="P481" t="str">
        <f>"INVOICE001232960 CT098416     "</f>
        <v xml:space="preserve">INVOICE001232960 CT098416     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16.7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1</v>
      </c>
      <c r="BI481">
        <v>0.2</v>
      </c>
      <c r="BJ481">
        <v>2.4</v>
      </c>
      <c r="BK481">
        <v>3</v>
      </c>
      <c r="BL481">
        <v>54.66</v>
      </c>
      <c r="BM481">
        <v>8.1999999999999993</v>
      </c>
      <c r="BN481">
        <v>62.86</v>
      </c>
      <c r="BO481">
        <v>62.86</v>
      </c>
      <c r="BQ481" t="s">
        <v>458</v>
      </c>
      <c r="BR481" t="s">
        <v>84</v>
      </c>
      <c r="BS481" s="3">
        <v>45982</v>
      </c>
      <c r="BT481" s="4">
        <v>0.3840277777777778</v>
      </c>
      <c r="BU481" t="s">
        <v>1227</v>
      </c>
      <c r="BV481" t="s">
        <v>86</v>
      </c>
      <c r="BY481">
        <v>11894.12</v>
      </c>
      <c r="BZ481" t="s">
        <v>126</v>
      </c>
      <c r="CC481" t="s">
        <v>76</v>
      </c>
      <c r="CD481">
        <v>7700</v>
      </c>
      <c r="CE481" t="s">
        <v>814</v>
      </c>
      <c r="CF481" s="3">
        <v>45985</v>
      </c>
      <c r="CI481">
        <v>1</v>
      </c>
      <c r="CJ481">
        <v>1</v>
      </c>
      <c r="CK481">
        <v>22</v>
      </c>
      <c r="CL481" t="s">
        <v>89</v>
      </c>
    </row>
    <row r="482" spans="1:90" x14ac:dyDescent="0.3">
      <c r="A482" t="s">
        <v>72</v>
      </c>
      <c r="B482" t="s">
        <v>73</v>
      </c>
      <c r="C482" t="s">
        <v>74</v>
      </c>
      <c r="E482" t="str">
        <f>"GAB2030019"</f>
        <v>GAB2030019</v>
      </c>
      <c r="F482" s="3">
        <v>45981</v>
      </c>
      <c r="G482">
        <v>202608</v>
      </c>
      <c r="H482" t="s">
        <v>75</v>
      </c>
      <c r="I482" t="s">
        <v>76</v>
      </c>
      <c r="J482" t="s">
        <v>77</v>
      </c>
      <c r="K482" t="s">
        <v>78</v>
      </c>
      <c r="L482" t="s">
        <v>759</v>
      </c>
      <c r="M482" t="s">
        <v>760</v>
      </c>
      <c r="N482" t="s">
        <v>1193</v>
      </c>
      <c r="O482" t="s">
        <v>124</v>
      </c>
      <c r="P482" t="str">
        <f>"INVOICE00122951 00122958 CT098"</f>
        <v>INVOICE00122951 00122958 CT098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50.78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1</v>
      </c>
      <c r="BI482">
        <v>0.4</v>
      </c>
      <c r="BJ482">
        <v>2.2999999999999998</v>
      </c>
      <c r="BK482">
        <v>2.5</v>
      </c>
      <c r="BL482">
        <v>166.2</v>
      </c>
      <c r="BM482">
        <v>24.93</v>
      </c>
      <c r="BN482">
        <v>191.13</v>
      </c>
      <c r="BO482">
        <v>191.13</v>
      </c>
      <c r="BQ482" t="s">
        <v>762</v>
      </c>
      <c r="BR482" t="s">
        <v>84</v>
      </c>
      <c r="BS482" s="3">
        <v>45982</v>
      </c>
      <c r="BT482" s="4">
        <v>0.41666666666666669</v>
      </c>
      <c r="BU482" t="s">
        <v>763</v>
      </c>
      <c r="BV482" t="s">
        <v>86</v>
      </c>
      <c r="BY482">
        <v>11698.2</v>
      </c>
      <c r="BZ482" t="s">
        <v>126</v>
      </c>
      <c r="CA482" t="s">
        <v>764</v>
      </c>
      <c r="CC482" t="s">
        <v>760</v>
      </c>
      <c r="CD482" s="5" t="s">
        <v>765</v>
      </c>
      <c r="CE482" t="s">
        <v>807</v>
      </c>
      <c r="CF482" s="3">
        <v>45985</v>
      </c>
      <c r="CI482">
        <v>2</v>
      </c>
      <c r="CJ482">
        <v>1</v>
      </c>
      <c r="CK482">
        <v>23</v>
      </c>
      <c r="CL482" t="s">
        <v>89</v>
      </c>
    </row>
    <row r="483" spans="1:90" x14ac:dyDescent="0.3">
      <c r="A483" t="s">
        <v>72</v>
      </c>
      <c r="B483" t="s">
        <v>73</v>
      </c>
      <c r="C483" t="s">
        <v>74</v>
      </c>
      <c r="E483" t="str">
        <f>"GAB2030021"</f>
        <v>GAB2030021</v>
      </c>
      <c r="F483" s="3">
        <v>45981</v>
      </c>
      <c r="G483">
        <v>202608</v>
      </c>
      <c r="H483" t="s">
        <v>75</v>
      </c>
      <c r="I483" t="s">
        <v>76</v>
      </c>
      <c r="J483" t="s">
        <v>77</v>
      </c>
      <c r="K483" t="s">
        <v>78</v>
      </c>
      <c r="L483" t="s">
        <v>1467</v>
      </c>
      <c r="M483" t="s">
        <v>1468</v>
      </c>
      <c r="N483" t="s">
        <v>1469</v>
      </c>
      <c r="O483" t="s">
        <v>124</v>
      </c>
      <c r="P483" t="str">
        <f>"INVOICE 00041721 ORDGS038349  "</f>
        <v xml:space="preserve">INVOICE 00041721 ORDGS038349  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50.78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1</v>
      </c>
      <c r="BI483">
        <v>0.2</v>
      </c>
      <c r="BJ483">
        <v>2.1</v>
      </c>
      <c r="BK483">
        <v>2.5</v>
      </c>
      <c r="BL483">
        <v>166.2</v>
      </c>
      <c r="BM483">
        <v>24.93</v>
      </c>
      <c r="BN483">
        <v>191.13</v>
      </c>
      <c r="BO483">
        <v>191.13</v>
      </c>
      <c r="BQ483" t="s">
        <v>1470</v>
      </c>
      <c r="BR483" t="s">
        <v>84</v>
      </c>
      <c r="BS483" s="3">
        <v>45983</v>
      </c>
      <c r="BT483" s="4">
        <v>0.39305555555555555</v>
      </c>
      <c r="BU483" t="s">
        <v>1471</v>
      </c>
      <c r="BV483" t="s">
        <v>86</v>
      </c>
      <c r="BY483">
        <v>10250.58</v>
      </c>
      <c r="BZ483" t="s">
        <v>126</v>
      </c>
      <c r="CA483" t="s">
        <v>328</v>
      </c>
      <c r="CC483" t="s">
        <v>1468</v>
      </c>
      <c r="CD483">
        <v>5319</v>
      </c>
      <c r="CE483" t="s">
        <v>149</v>
      </c>
      <c r="CF483" s="3">
        <v>45985</v>
      </c>
      <c r="CI483">
        <v>5</v>
      </c>
      <c r="CJ483">
        <v>1</v>
      </c>
      <c r="CK483">
        <v>23</v>
      </c>
      <c r="CL483" t="s">
        <v>89</v>
      </c>
    </row>
    <row r="484" spans="1:90" x14ac:dyDescent="0.3">
      <c r="A484" t="s">
        <v>72</v>
      </c>
      <c r="B484" t="s">
        <v>73</v>
      </c>
      <c r="C484" t="s">
        <v>74</v>
      </c>
      <c r="E484" t="str">
        <f>"GAB2030023"</f>
        <v>GAB2030023</v>
      </c>
      <c r="F484" s="3">
        <v>45981</v>
      </c>
      <c r="G484">
        <v>202608</v>
      </c>
      <c r="H484" t="s">
        <v>75</v>
      </c>
      <c r="I484" t="s">
        <v>76</v>
      </c>
      <c r="J484" t="s">
        <v>77</v>
      </c>
      <c r="K484" t="s">
        <v>78</v>
      </c>
      <c r="L484" t="s">
        <v>162</v>
      </c>
      <c r="M484" t="s">
        <v>163</v>
      </c>
      <c r="N484" t="s">
        <v>546</v>
      </c>
      <c r="O484" t="s">
        <v>124</v>
      </c>
      <c r="P484" t="str">
        <f>"INVOICE00041724 ORDGS038356   "</f>
        <v xml:space="preserve">INVOICE00041724 ORDGS038356   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26.73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1</v>
      </c>
      <c r="BI484">
        <v>0.1</v>
      </c>
      <c r="BJ484">
        <v>2.2000000000000002</v>
      </c>
      <c r="BK484">
        <v>2.5</v>
      </c>
      <c r="BL484">
        <v>87.47</v>
      </c>
      <c r="BM484">
        <v>13.12</v>
      </c>
      <c r="BN484">
        <v>100.59</v>
      </c>
      <c r="BO484">
        <v>100.59</v>
      </c>
      <c r="BQ484" t="s">
        <v>934</v>
      </c>
      <c r="BR484" t="s">
        <v>84</v>
      </c>
      <c r="BS484" s="3">
        <v>45982</v>
      </c>
      <c r="BT484" s="4">
        <v>0.39583333333333331</v>
      </c>
      <c r="BU484" t="s">
        <v>935</v>
      </c>
      <c r="BV484" t="s">
        <v>86</v>
      </c>
      <c r="BY484">
        <v>10822.14</v>
      </c>
      <c r="BZ484" t="s">
        <v>126</v>
      </c>
      <c r="CA484" t="s">
        <v>288</v>
      </c>
      <c r="CC484" t="s">
        <v>163</v>
      </c>
      <c r="CD484">
        <v>6001</v>
      </c>
      <c r="CE484" t="s">
        <v>367</v>
      </c>
      <c r="CF484" s="3">
        <v>45982</v>
      </c>
      <c r="CI484">
        <v>2</v>
      </c>
      <c r="CJ484">
        <v>1</v>
      </c>
      <c r="CK484">
        <v>21</v>
      </c>
      <c r="CL484" t="s">
        <v>89</v>
      </c>
    </row>
    <row r="485" spans="1:90" x14ac:dyDescent="0.3">
      <c r="A485" t="s">
        <v>72</v>
      </c>
      <c r="B485" t="s">
        <v>73</v>
      </c>
      <c r="C485" t="s">
        <v>74</v>
      </c>
      <c r="E485" t="str">
        <f>"GAB2030024"</f>
        <v>GAB2030024</v>
      </c>
      <c r="F485" s="3">
        <v>45981</v>
      </c>
      <c r="G485">
        <v>202608</v>
      </c>
      <c r="H485" t="s">
        <v>75</v>
      </c>
      <c r="I485" t="s">
        <v>76</v>
      </c>
      <c r="J485" t="s">
        <v>77</v>
      </c>
      <c r="K485" t="s">
        <v>78</v>
      </c>
      <c r="L485" t="s">
        <v>447</v>
      </c>
      <c r="M485" t="s">
        <v>448</v>
      </c>
      <c r="N485" t="s">
        <v>1472</v>
      </c>
      <c r="O485" t="s">
        <v>124</v>
      </c>
      <c r="P485" t="str">
        <f>"INVOICE00122964 CT098421      "</f>
        <v xml:space="preserve">INVOICE00122964 CT098421      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26.73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1</v>
      </c>
      <c r="BI485">
        <v>0.1</v>
      </c>
      <c r="BJ485">
        <v>2.1</v>
      </c>
      <c r="BK485">
        <v>2.5</v>
      </c>
      <c r="BL485">
        <v>87.47</v>
      </c>
      <c r="BM485">
        <v>13.12</v>
      </c>
      <c r="BN485">
        <v>100.59</v>
      </c>
      <c r="BO485">
        <v>100.59</v>
      </c>
      <c r="BR485" t="s">
        <v>84</v>
      </c>
      <c r="BS485" s="3">
        <v>45982</v>
      </c>
      <c r="BT485" s="4">
        <v>0.42291666666666666</v>
      </c>
      <c r="BU485" t="s">
        <v>1473</v>
      </c>
      <c r="BV485" t="s">
        <v>86</v>
      </c>
      <c r="BY485">
        <v>10314.9</v>
      </c>
      <c r="BZ485" t="s">
        <v>126</v>
      </c>
      <c r="CA485" t="s">
        <v>451</v>
      </c>
      <c r="CC485" t="s">
        <v>448</v>
      </c>
      <c r="CD485">
        <v>1682</v>
      </c>
      <c r="CE485" t="s">
        <v>367</v>
      </c>
      <c r="CF485" s="3">
        <v>45983</v>
      </c>
      <c r="CI485">
        <v>1</v>
      </c>
      <c r="CJ485">
        <v>1</v>
      </c>
      <c r="CK485">
        <v>21</v>
      </c>
      <c r="CL485" t="s">
        <v>89</v>
      </c>
    </row>
    <row r="486" spans="1:90" x14ac:dyDescent="0.3">
      <c r="A486" t="s">
        <v>72</v>
      </c>
      <c r="B486" t="s">
        <v>73</v>
      </c>
      <c r="C486" t="s">
        <v>74</v>
      </c>
      <c r="E486" t="str">
        <f>"GAB2030028"</f>
        <v>GAB2030028</v>
      </c>
      <c r="F486" s="3">
        <v>45981</v>
      </c>
      <c r="G486">
        <v>202608</v>
      </c>
      <c r="H486" t="s">
        <v>75</v>
      </c>
      <c r="I486" t="s">
        <v>76</v>
      </c>
      <c r="J486" t="s">
        <v>77</v>
      </c>
      <c r="K486" t="s">
        <v>78</v>
      </c>
      <c r="L486" t="s">
        <v>169</v>
      </c>
      <c r="M486" t="s">
        <v>170</v>
      </c>
      <c r="N486" t="s">
        <v>551</v>
      </c>
      <c r="O486" t="s">
        <v>124</v>
      </c>
      <c r="P486" t="str">
        <f>"invoice 00041726 ordgs038348  "</f>
        <v xml:space="preserve">invoice 00041726 ordgs038348  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32.07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1</v>
      </c>
      <c r="BI486">
        <v>0.3</v>
      </c>
      <c r="BJ486">
        <v>2.7</v>
      </c>
      <c r="BK486">
        <v>3</v>
      </c>
      <c r="BL486">
        <v>104.95</v>
      </c>
      <c r="BM486">
        <v>15.74</v>
      </c>
      <c r="BN486">
        <v>120.69</v>
      </c>
      <c r="BO486">
        <v>120.69</v>
      </c>
      <c r="BQ486" t="s">
        <v>1474</v>
      </c>
      <c r="BR486" t="s">
        <v>84</v>
      </c>
      <c r="BS486" s="3">
        <v>45982</v>
      </c>
      <c r="BT486" s="4">
        <v>0.33333333333333331</v>
      </c>
      <c r="BU486" t="s">
        <v>553</v>
      </c>
      <c r="BV486" t="s">
        <v>86</v>
      </c>
      <c r="BY486">
        <v>13271.85</v>
      </c>
      <c r="BZ486" t="s">
        <v>126</v>
      </c>
      <c r="CA486" t="s">
        <v>480</v>
      </c>
      <c r="CC486" t="s">
        <v>170</v>
      </c>
      <c r="CD486">
        <v>2001</v>
      </c>
      <c r="CE486" t="s">
        <v>329</v>
      </c>
      <c r="CF486" s="3">
        <v>45983</v>
      </c>
      <c r="CI486">
        <v>1</v>
      </c>
      <c r="CJ486">
        <v>1</v>
      </c>
      <c r="CK486">
        <v>21</v>
      </c>
      <c r="CL486" t="s">
        <v>89</v>
      </c>
    </row>
    <row r="487" spans="1:90" x14ac:dyDescent="0.3">
      <c r="A487" t="s">
        <v>72</v>
      </c>
      <c r="B487" t="s">
        <v>73</v>
      </c>
      <c r="C487" t="s">
        <v>74</v>
      </c>
      <c r="E487" t="str">
        <f>"GAB2030029"</f>
        <v>GAB2030029</v>
      </c>
      <c r="F487" s="3">
        <v>45981</v>
      </c>
      <c r="G487">
        <v>202608</v>
      </c>
      <c r="H487" t="s">
        <v>75</v>
      </c>
      <c r="I487" t="s">
        <v>76</v>
      </c>
      <c r="J487" t="s">
        <v>77</v>
      </c>
      <c r="K487" t="s">
        <v>78</v>
      </c>
      <c r="L487" t="s">
        <v>230</v>
      </c>
      <c r="M487" t="s">
        <v>231</v>
      </c>
      <c r="N487" t="s">
        <v>1475</v>
      </c>
      <c r="O487" t="s">
        <v>124</v>
      </c>
      <c r="P487" t="str">
        <f>"invoice 00122962 CT098368     "</f>
        <v xml:space="preserve">invoice 00122962 CT098368     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32.07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1</v>
      </c>
      <c r="BI487">
        <v>0.4</v>
      </c>
      <c r="BJ487">
        <v>2.6</v>
      </c>
      <c r="BK487">
        <v>3</v>
      </c>
      <c r="BL487">
        <v>104.95</v>
      </c>
      <c r="BM487">
        <v>15.74</v>
      </c>
      <c r="BN487">
        <v>120.69</v>
      </c>
      <c r="BO487">
        <v>120.69</v>
      </c>
      <c r="BR487" t="s">
        <v>84</v>
      </c>
      <c r="BS487" s="3">
        <v>45983</v>
      </c>
      <c r="BT487" s="4">
        <v>0.45069444444444445</v>
      </c>
      <c r="BU487" t="s">
        <v>1476</v>
      </c>
      <c r="BV487" t="s">
        <v>89</v>
      </c>
      <c r="BW487" t="s">
        <v>562</v>
      </c>
      <c r="BX487" t="s">
        <v>1477</v>
      </c>
      <c r="BY487">
        <v>12844.35</v>
      </c>
      <c r="BZ487" t="s">
        <v>126</v>
      </c>
      <c r="CA487">
        <v>8102155384080</v>
      </c>
      <c r="CC487" t="s">
        <v>231</v>
      </c>
      <c r="CD487" s="5" t="s">
        <v>1478</v>
      </c>
      <c r="CE487" t="s">
        <v>1479</v>
      </c>
      <c r="CF487" s="3">
        <v>45983</v>
      </c>
      <c r="CI487">
        <v>1</v>
      </c>
      <c r="CJ487">
        <v>1</v>
      </c>
      <c r="CK487">
        <v>21</v>
      </c>
      <c r="CL487" t="s">
        <v>89</v>
      </c>
    </row>
    <row r="488" spans="1:90" x14ac:dyDescent="0.3">
      <c r="A488" t="s">
        <v>72</v>
      </c>
      <c r="B488" t="s">
        <v>73</v>
      </c>
      <c r="C488" t="s">
        <v>74</v>
      </c>
      <c r="E488" t="str">
        <f>"GAB2030033"</f>
        <v>GAB2030033</v>
      </c>
      <c r="F488" s="3">
        <v>45981</v>
      </c>
      <c r="G488">
        <v>202608</v>
      </c>
      <c r="H488" t="s">
        <v>75</v>
      </c>
      <c r="I488" t="s">
        <v>76</v>
      </c>
      <c r="J488" t="s">
        <v>77</v>
      </c>
      <c r="K488" t="s">
        <v>78</v>
      </c>
      <c r="L488" t="s">
        <v>1217</v>
      </c>
      <c r="M488" t="s">
        <v>1218</v>
      </c>
      <c r="N488" t="s">
        <v>1219</v>
      </c>
      <c r="O488" t="s">
        <v>124</v>
      </c>
      <c r="P488" t="str">
        <f>"INVOICE 00041748 ORDGS038384  "</f>
        <v xml:space="preserve">INVOICE 00041748 ORDGS038384  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50.78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1</v>
      </c>
      <c r="BI488">
        <v>0.2</v>
      </c>
      <c r="BJ488">
        <v>2.2000000000000002</v>
      </c>
      <c r="BK488">
        <v>2.5</v>
      </c>
      <c r="BL488">
        <v>166.2</v>
      </c>
      <c r="BM488">
        <v>24.93</v>
      </c>
      <c r="BN488">
        <v>191.13</v>
      </c>
      <c r="BO488">
        <v>191.13</v>
      </c>
      <c r="BQ488" t="s">
        <v>1220</v>
      </c>
      <c r="BR488" t="s">
        <v>84</v>
      </c>
      <c r="BS488" s="3">
        <v>45982</v>
      </c>
      <c r="BT488" s="4">
        <v>0.41458333333333336</v>
      </c>
      <c r="BU488" t="s">
        <v>1480</v>
      </c>
      <c r="BV488" t="s">
        <v>86</v>
      </c>
      <c r="BY488">
        <v>10852.8</v>
      </c>
      <c r="BZ488" t="s">
        <v>126</v>
      </c>
      <c r="CA488" t="s">
        <v>1222</v>
      </c>
      <c r="CC488" t="s">
        <v>1218</v>
      </c>
      <c r="CD488">
        <v>1438</v>
      </c>
      <c r="CE488" t="s">
        <v>1481</v>
      </c>
      <c r="CF488" s="3">
        <v>45983</v>
      </c>
      <c r="CI488">
        <v>1</v>
      </c>
      <c r="CJ488">
        <v>1</v>
      </c>
      <c r="CK488">
        <v>23</v>
      </c>
      <c r="CL488" t="s">
        <v>89</v>
      </c>
    </row>
    <row r="489" spans="1:90" x14ac:dyDescent="0.3">
      <c r="A489" t="s">
        <v>72</v>
      </c>
      <c r="B489" t="s">
        <v>73</v>
      </c>
      <c r="C489" t="s">
        <v>74</v>
      </c>
      <c r="E489" t="str">
        <f>"GAB2029993"</f>
        <v>GAB2029993</v>
      </c>
      <c r="F489" s="3">
        <v>45981</v>
      </c>
      <c r="G489">
        <v>202608</v>
      </c>
      <c r="H489" t="s">
        <v>75</v>
      </c>
      <c r="I489" t="s">
        <v>76</v>
      </c>
      <c r="J489" t="s">
        <v>77</v>
      </c>
      <c r="K489" t="s">
        <v>78</v>
      </c>
      <c r="L489" t="s">
        <v>1408</v>
      </c>
      <c r="M489" t="s">
        <v>1409</v>
      </c>
      <c r="N489" t="s">
        <v>1410</v>
      </c>
      <c r="O489" t="s">
        <v>82</v>
      </c>
      <c r="P489" t="str">
        <f>"INVOICE00041702 00041701 ORDGS"</f>
        <v>INVOICE00041702 00041701 ORDGS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5.87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58.32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1</v>
      </c>
      <c r="BI489">
        <v>4.2</v>
      </c>
      <c r="BJ489">
        <v>13.1</v>
      </c>
      <c r="BK489">
        <v>14</v>
      </c>
      <c r="BL489">
        <v>196.74</v>
      </c>
      <c r="BM489">
        <v>29.51</v>
      </c>
      <c r="BN489">
        <v>226.25</v>
      </c>
      <c r="BO489">
        <v>226.25</v>
      </c>
      <c r="BQ489" t="s">
        <v>185</v>
      </c>
      <c r="BR489" t="s">
        <v>84</v>
      </c>
      <c r="BS489" s="3">
        <v>45985</v>
      </c>
      <c r="BT489" s="4">
        <v>0.62361111111111112</v>
      </c>
      <c r="BU489" t="s">
        <v>1482</v>
      </c>
      <c r="BV489" t="s">
        <v>86</v>
      </c>
      <c r="BY489">
        <v>65673.399999999994</v>
      </c>
      <c r="CA489" t="s">
        <v>1412</v>
      </c>
      <c r="CC489" t="s">
        <v>1409</v>
      </c>
      <c r="CD489" s="5" t="s">
        <v>1413</v>
      </c>
      <c r="CE489" t="s">
        <v>103</v>
      </c>
      <c r="CF489" s="3">
        <v>45985</v>
      </c>
      <c r="CI489">
        <v>2</v>
      </c>
      <c r="CJ489">
        <v>2</v>
      </c>
      <c r="CK489">
        <v>43</v>
      </c>
      <c r="CL489" t="s">
        <v>89</v>
      </c>
    </row>
    <row r="490" spans="1:90" x14ac:dyDescent="0.3">
      <c r="A490" t="s">
        <v>72</v>
      </c>
      <c r="B490" t="s">
        <v>73</v>
      </c>
      <c r="C490" t="s">
        <v>74</v>
      </c>
      <c r="E490" t="str">
        <f>"GAB2029995"</f>
        <v>GAB2029995</v>
      </c>
      <c r="F490" s="3">
        <v>45981</v>
      </c>
      <c r="G490">
        <v>202608</v>
      </c>
      <c r="H490" t="s">
        <v>75</v>
      </c>
      <c r="I490" t="s">
        <v>76</v>
      </c>
      <c r="J490" t="s">
        <v>77</v>
      </c>
      <c r="K490" t="s">
        <v>78</v>
      </c>
      <c r="L490" t="s">
        <v>1173</v>
      </c>
      <c r="M490" t="s">
        <v>1174</v>
      </c>
      <c r="N490" t="s">
        <v>1175</v>
      </c>
      <c r="O490" t="s">
        <v>82</v>
      </c>
      <c r="P490" t="str">
        <f>"INVOICE00041703 ORDGS038345   "</f>
        <v xml:space="preserve">INVOICE00041703 ORDGS038345   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5.87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72.08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3</v>
      </c>
      <c r="BI490">
        <v>13.3</v>
      </c>
      <c r="BJ490">
        <v>32.700000000000003</v>
      </c>
      <c r="BK490">
        <v>33</v>
      </c>
      <c r="BL490">
        <v>241.77</v>
      </c>
      <c r="BM490">
        <v>36.270000000000003</v>
      </c>
      <c r="BN490">
        <v>278.04000000000002</v>
      </c>
      <c r="BO490">
        <v>278.04000000000002</v>
      </c>
      <c r="BR490" t="s">
        <v>84</v>
      </c>
      <c r="BS490" s="3">
        <v>45985</v>
      </c>
      <c r="BT490" s="4">
        <v>0.34305555555555556</v>
      </c>
      <c r="BU490" t="s">
        <v>1176</v>
      </c>
      <c r="BV490" t="s">
        <v>86</v>
      </c>
      <c r="BY490">
        <v>163544.07999999999</v>
      </c>
      <c r="CA490" t="s">
        <v>1483</v>
      </c>
      <c r="CC490" t="s">
        <v>1174</v>
      </c>
      <c r="CD490">
        <v>1559</v>
      </c>
      <c r="CE490" t="s">
        <v>103</v>
      </c>
      <c r="CF490" s="3">
        <v>45986</v>
      </c>
      <c r="CI490">
        <v>2</v>
      </c>
      <c r="CJ490">
        <v>2</v>
      </c>
      <c r="CK490">
        <v>41</v>
      </c>
      <c r="CL490" t="s">
        <v>89</v>
      </c>
    </row>
    <row r="491" spans="1:90" x14ac:dyDescent="0.3">
      <c r="A491" t="s">
        <v>72</v>
      </c>
      <c r="B491" t="s">
        <v>73</v>
      </c>
      <c r="C491" t="s">
        <v>74</v>
      </c>
      <c r="E491" t="str">
        <f>"GAB2030000"</f>
        <v>GAB2030000</v>
      </c>
      <c r="F491" s="3">
        <v>45981</v>
      </c>
      <c r="G491">
        <v>202608</v>
      </c>
      <c r="H491" t="s">
        <v>75</v>
      </c>
      <c r="I491" t="s">
        <v>76</v>
      </c>
      <c r="J491" t="s">
        <v>77</v>
      </c>
      <c r="K491" t="s">
        <v>78</v>
      </c>
      <c r="L491" t="s">
        <v>230</v>
      </c>
      <c r="M491" t="s">
        <v>231</v>
      </c>
      <c r="N491" t="s">
        <v>1484</v>
      </c>
      <c r="O491" t="s">
        <v>82</v>
      </c>
      <c r="P491" t="str">
        <f>"INVOICE00122936 CT098391      "</f>
        <v xml:space="preserve">INVOICE00122936 CT098391      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5.87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41.35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1</v>
      </c>
      <c r="BI491">
        <v>0.8</v>
      </c>
      <c r="BJ491">
        <v>2.2999999999999998</v>
      </c>
      <c r="BK491">
        <v>3</v>
      </c>
      <c r="BL491">
        <v>141.19999999999999</v>
      </c>
      <c r="BM491">
        <v>21.18</v>
      </c>
      <c r="BN491">
        <v>162.38</v>
      </c>
      <c r="BO491">
        <v>162.38</v>
      </c>
      <c r="BR491" t="s">
        <v>84</v>
      </c>
      <c r="BS491" s="3">
        <v>45985</v>
      </c>
      <c r="BT491" s="4">
        <v>0.35902777777777778</v>
      </c>
      <c r="BU491" t="s">
        <v>1485</v>
      </c>
      <c r="BV491" t="s">
        <v>86</v>
      </c>
      <c r="BY491">
        <v>11414.4</v>
      </c>
      <c r="CA491">
        <v>9102195591081</v>
      </c>
      <c r="CC491" t="s">
        <v>231</v>
      </c>
      <c r="CD491" s="5" t="s">
        <v>455</v>
      </c>
      <c r="CE491" t="s">
        <v>889</v>
      </c>
      <c r="CF491" s="3">
        <v>45985</v>
      </c>
      <c r="CI491">
        <v>3</v>
      </c>
      <c r="CJ491">
        <v>2</v>
      </c>
      <c r="CK491">
        <v>41</v>
      </c>
      <c r="CL491" t="s">
        <v>89</v>
      </c>
    </row>
    <row r="492" spans="1:90" x14ac:dyDescent="0.3">
      <c r="A492" t="s">
        <v>72</v>
      </c>
      <c r="B492" t="s">
        <v>73</v>
      </c>
      <c r="C492" t="s">
        <v>74</v>
      </c>
      <c r="E492" t="str">
        <f>"GAB2030003"</f>
        <v>GAB2030003</v>
      </c>
      <c r="F492" s="3">
        <v>45981</v>
      </c>
      <c r="G492">
        <v>202608</v>
      </c>
      <c r="H492" t="s">
        <v>75</v>
      </c>
      <c r="I492" t="s">
        <v>76</v>
      </c>
      <c r="J492" t="s">
        <v>77</v>
      </c>
      <c r="K492" t="s">
        <v>78</v>
      </c>
      <c r="L492" t="s">
        <v>1486</v>
      </c>
      <c r="M492" t="s">
        <v>1487</v>
      </c>
      <c r="N492" t="s">
        <v>1488</v>
      </c>
      <c r="O492" t="s">
        <v>82</v>
      </c>
      <c r="P492" t="str">
        <f>"INVOICE00122940 CT098402      "</f>
        <v xml:space="preserve">INVOICE00122940 CT098402      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5.87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58.32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1</v>
      </c>
      <c r="BI492">
        <v>2.5</v>
      </c>
      <c r="BJ492">
        <v>6.5</v>
      </c>
      <c r="BK492">
        <v>7</v>
      </c>
      <c r="BL492">
        <v>196.74</v>
      </c>
      <c r="BM492">
        <v>29.51</v>
      </c>
      <c r="BN492">
        <v>226.25</v>
      </c>
      <c r="BO492">
        <v>226.25</v>
      </c>
      <c r="BR492" t="s">
        <v>84</v>
      </c>
      <c r="BS492" s="3">
        <v>45987</v>
      </c>
      <c r="BT492" s="4">
        <v>0.5444444444444444</v>
      </c>
      <c r="BU492" t="s">
        <v>1489</v>
      </c>
      <c r="BV492" t="s">
        <v>86</v>
      </c>
      <c r="BY492">
        <v>32743.75</v>
      </c>
      <c r="CC492" t="s">
        <v>1487</v>
      </c>
      <c r="CD492">
        <v>5099</v>
      </c>
      <c r="CE492" t="s">
        <v>103</v>
      </c>
      <c r="CF492" s="3">
        <v>45988</v>
      </c>
      <c r="CI492">
        <v>4</v>
      </c>
      <c r="CJ492">
        <v>4</v>
      </c>
      <c r="CK492">
        <v>43</v>
      </c>
      <c r="CL492" t="s">
        <v>89</v>
      </c>
    </row>
    <row r="493" spans="1:90" x14ac:dyDescent="0.3">
      <c r="A493" t="s">
        <v>72</v>
      </c>
      <c r="B493" t="s">
        <v>73</v>
      </c>
      <c r="C493" t="s">
        <v>74</v>
      </c>
      <c r="E493" t="str">
        <f>"GAB2030008"</f>
        <v>GAB2030008</v>
      </c>
      <c r="F493" s="3">
        <v>45981</v>
      </c>
      <c r="G493">
        <v>202608</v>
      </c>
      <c r="H493" t="s">
        <v>75</v>
      </c>
      <c r="I493" t="s">
        <v>76</v>
      </c>
      <c r="J493" t="s">
        <v>77</v>
      </c>
      <c r="K493" t="s">
        <v>78</v>
      </c>
      <c r="L493" t="s">
        <v>75</v>
      </c>
      <c r="M493" t="s">
        <v>76</v>
      </c>
      <c r="N493" t="s">
        <v>1031</v>
      </c>
      <c r="O493" t="s">
        <v>82</v>
      </c>
      <c r="P493" t="str">
        <f>"INVOICE00122946 CT098404      "</f>
        <v xml:space="preserve">INVOICE00122946 CT098404      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5.87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31.91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1</v>
      </c>
      <c r="BI493">
        <v>1.6</v>
      </c>
      <c r="BJ493">
        <v>6.9</v>
      </c>
      <c r="BK493">
        <v>7</v>
      </c>
      <c r="BL493">
        <v>110.3</v>
      </c>
      <c r="BM493">
        <v>16.55</v>
      </c>
      <c r="BN493">
        <v>126.85</v>
      </c>
      <c r="BO493">
        <v>126.85</v>
      </c>
      <c r="BR493" t="s">
        <v>84</v>
      </c>
      <c r="BS493" s="3">
        <v>45982</v>
      </c>
      <c r="BT493" s="4">
        <v>0.59375</v>
      </c>
      <c r="BU493" t="s">
        <v>1490</v>
      </c>
      <c r="BV493" t="s">
        <v>86</v>
      </c>
      <c r="BY493">
        <v>34602.75</v>
      </c>
      <c r="CC493" t="s">
        <v>76</v>
      </c>
      <c r="CD493">
        <v>7700</v>
      </c>
      <c r="CE493" t="s">
        <v>103</v>
      </c>
      <c r="CF493" s="3">
        <v>45985</v>
      </c>
      <c r="CI493">
        <v>1</v>
      </c>
      <c r="CJ493">
        <v>1</v>
      </c>
      <c r="CK493">
        <v>42</v>
      </c>
      <c r="CL493" t="s">
        <v>89</v>
      </c>
    </row>
    <row r="494" spans="1:90" x14ac:dyDescent="0.3">
      <c r="A494" t="s">
        <v>72</v>
      </c>
      <c r="B494" t="s">
        <v>73</v>
      </c>
      <c r="C494" t="s">
        <v>74</v>
      </c>
      <c r="E494" t="str">
        <f>"GAB2030011"</f>
        <v>GAB2030011</v>
      </c>
      <c r="F494" s="3">
        <v>45981</v>
      </c>
      <c r="G494">
        <v>202608</v>
      </c>
      <c r="H494" t="s">
        <v>75</v>
      </c>
      <c r="I494" t="s">
        <v>76</v>
      </c>
      <c r="J494" t="s">
        <v>77</v>
      </c>
      <c r="K494" t="s">
        <v>78</v>
      </c>
      <c r="L494" t="s">
        <v>79</v>
      </c>
      <c r="M494" t="s">
        <v>80</v>
      </c>
      <c r="N494" t="s">
        <v>81</v>
      </c>
      <c r="O494" t="s">
        <v>82</v>
      </c>
      <c r="P494" t="str">
        <f>"INVOICE00122950 CT098399      "</f>
        <v xml:space="preserve">INVOICE00122950 CT098399      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5.87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107.93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3</v>
      </c>
      <c r="BI494">
        <v>21.2</v>
      </c>
      <c r="BJ494">
        <v>53.5</v>
      </c>
      <c r="BK494">
        <v>54</v>
      </c>
      <c r="BL494">
        <v>359.1</v>
      </c>
      <c r="BM494">
        <v>53.87</v>
      </c>
      <c r="BN494">
        <v>412.97</v>
      </c>
      <c r="BO494">
        <v>412.97</v>
      </c>
      <c r="BQ494" t="s">
        <v>974</v>
      </c>
      <c r="BR494" t="s">
        <v>84</v>
      </c>
      <c r="BS494" s="3">
        <v>45985</v>
      </c>
      <c r="BT494" s="4">
        <v>0.4375</v>
      </c>
      <c r="BU494" t="s">
        <v>1491</v>
      </c>
      <c r="BV494" t="s">
        <v>86</v>
      </c>
      <c r="BY494">
        <v>267651.23</v>
      </c>
      <c r="CA494" t="s">
        <v>328</v>
      </c>
      <c r="CC494" t="s">
        <v>80</v>
      </c>
      <c r="CD494" s="5" t="s">
        <v>87</v>
      </c>
      <c r="CE494" t="s">
        <v>315</v>
      </c>
      <c r="CF494" s="3">
        <v>45985</v>
      </c>
      <c r="CI494">
        <v>3</v>
      </c>
      <c r="CJ494">
        <v>2</v>
      </c>
      <c r="CK494">
        <v>41</v>
      </c>
      <c r="CL494" t="s">
        <v>89</v>
      </c>
    </row>
    <row r="495" spans="1:90" x14ac:dyDescent="0.3">
      <c r="A495" t="s">
        <v>72</v>
      </c>
      <c r="B495" t="s">
        <v>73</v>
      </c>
      <c r="C495" t="s">
        <v>74</v>
      </c>
      <c r="E495" t="str">
        <f>"GAB2030020"</f>
        <v>GAB2030020</v>
      </c>
      <c r="F495" s="3">
        <v>45981</v>
      </c>
      <c r="G495">
        <v>202608</v>
      </c>
      <c r="H495" t="s">
        <v>75</v>
      </c>
      <c r="I495" t="s">
        <v>76</v>
      </c>
      <c r="J495" t="s">
        <v>77</v>
      </c>
      <c r="K495" t="s">
        <v>78</v>
      </c>
      <c r="L495" t="s">
        <v>1262</v>
      </c>
      <c r="M495" t="s">
        <v>1263</v>
      </c>
      <c r="N495" t="s">
        <v>1264</v>
      </c>
      <c r="O495" t="s">
        <v>82</v>
      </c>
      <c r="P495" t="str">
        <f>"INVOICE00041714 00041722 ORDGS"</f>
        <v>INVOICE00041714 00041722 ORDGS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5.87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58.32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1</v>
      </c>
      <c r="BI495">
        <v>6.6</v>
      </c>
      <c r="BJ495">
        <v>11.7</v>
      </c>
      <c r="BK495">
        <v>12</v>
      </c>
      <c r="BL495">
        <v>196.74</v>
      </c>
      <c r="BM495">
        <v>29.51</v>
      </c>
      <c r="BN495">
        <v>226.25</v>
      </c>
      <c r="BO495">
        <v>226.25</v>
      </c>
      <c r="BR495" t="s">
        <v>84</v>
      </c>
      <c r="BS495" s="3">
        <v>45987</v>
      </c>
      <c r="BT495" s="4">
        <v>0.64236111111111116</v>
      </c>
      <c r="BU495" t="s">
        <v>1492</v>
      </c>
      <c r="BV495" t="s">
        <v>86</v>
      </c>
      <c r="BY495">
        <v>58736.02</v>
      </c>
      <c r="CA495" t="s">
        <v>607</v>
      </c>
      <c r="CC495" t="s">
        <v>1263</v>
      </c>
      <c r="CD495">
        <v>3282</v>
      </c>
      <c r="CE495" t="s">
        <v>103</v>
      </c>
      <c r="CF495" s="3">
        <v>45988</v>
      </c>
      <c r="CI495">
        <v>7</v>
      </c>
      <c r="CJ495">
        <v>4</v>
      </c>
      <c r="CK495">
        <v>43</v>
      </c>
      <c r="CL495" t="s">
        <v>89</v>
      </c>
    </row>
    <row r="496" spans="1:90" x14ac:dyDescent="0.3">
      <c r="A496" t="s">
        <v>72</v>
      </c>
      <c r="B496" t="s">
        <v>73</v>
      </c>
      <c r="C496" t="s">
        <v>74</v>
      </c>
      <c r="E496" t="str">
        <f>"GAB2030030"</f>
        <v>GAB2030030</v>
      </c>
      <c r="F496" s="3">
        <v>45981</v>
      </c>
      <c r="G496">
        <v>202608</v>
      </c>
      <c r="H496" t="s">
        <v>75</v>
      </c>
      <c r="I496" t="s">
        <v>76</v>
      </c>
      <c r="J496" t="s">
        <v>77</v>
      </c>
      <c r="K496" t="s">
        <v>78</v>
      </c>
      <c r="L496" t="s">
        <v>509</v>
      </c>
      <c r="M496" t="s">
        <v>510</v>
      </c>
      <c r="N496" t="s">
        <v>1493</v>
      </c>
      <c r="O496" t="s">
        <v>82</v>
      </c>
      <c r="P496" t="str">
        <f>"invoice 00122969 CT098255     "</f>
        <v xml:space="preserve">invoice 00122969 CT098255     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5.87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41.35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1</v>
      </c>
      <c r="BI496">
        <v>3.2</v>
      </c>
      <c r="BJ496">
        <v>7.7</v>
      </c>
      <c r="BK496">
        <v>8</v>
      </c>
      <c r="BL496">
        <v>141.19999999999999</v>
      </c>
      <c r="BM496">
        <v>21.18</v>
      </c>
      <c r="BN496">
        <v>162.38</v>
      </c>
      <c r="BO496">
        <v>162.38</v>
      </c>
      <c r="BQ496" t="s">
        <v>1494</v>
      </c>
      <c r="BR496" t="s">
        <v>84</v>
      </c>
      <c r="BS496" s="3">
        <v>45985</v>
      </c>
      <c r="BT496" s="4">
        <v>0.68194444444444446</v>
      </c>
      <c r="BU496" t="s">
        <v>1495</v>
      </c>
      <c r="BV496" t="s">
        <v>86</v>
      </c>
      <c r="BY496">
        <v>38448.93</v>
      </c>
      <c r="CA496" t="s">
        <v>1496</v>
      </c>
      <c r="CC496" t="s">
        <v>510</v>
      </c>
      <c r="CD496">
        <v>1619</v>
      </c>
      <c r="CE496" t="s">
        <v>1497</v>
      </c>
      <c r="CF496" s="3">
        <v>45985</v>
      </c>
      <c r="CI496">
        <v>2</v>
      </c>
      <c r="CJ496">
        <v>2</v>
      </c>
      <c r="CK496">
        <v>41</v>
      </c>
      <c r="CL496" t="s">
        <v>89</v>
      </c>
    </row>
    <row r="497" spans="1:90" x14ac:dyDescent="0.3">
      <c r="A497" t="s">
        <v>72</v>
      </c>
      <c r="B497" t="s">
        <v>73</v>
      </c>
      <c r="C497" t="s">
        <v>74</v>
      </c>
      <c r="E497" t="str">
        <f>"GAB2030031"</f>
        <v>GAB2030031</v>
      </c>
      <c r="F497" s="3">
        <v>45981</v>
      </c>
      <c r="G497">
        <v>202608</v>
      </c>
      <c r="H497" t="s">
        <v>75</v>
      </c>
      <c r="I497" t="s">
        <v>76</v>
      </c>
      <c r="J497" t="s">
        <v>77</v>
      </c>
      <c r="K497" t="s">
        <v>78</v>
      </c>
      <c r="L497" t="s">
        <v>230</v>
      </c>
      <c r="M497" t="s">
        <v>231</v>
      </c>
      <c r="N497" t="s">
        <v>1498</v>
      </c>
      <c r="O497" t="s">
        <v>82</v>
      </c>
      <c r="P497" t="str">
        <f>"INVOICE 00122970 CT098160     "</f>
        <v xml:space="preserve">INVOICE 00122970 CT098160     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5.87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41.35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1</v>
      </c>
      <c r="BI497">
        <v>4.2</v>
      </c>
      <c r="BJ497">
        <v>8.1</v>
      </c>
      <c r="BK497">
        <v>9</v>
      </c>
      <c r="BL497">
        <v>141.19999999999999</v>
      </c>
      <c r="BM497">
        <v>21.18</v>
      </c>
      <c r="BN497">
        <v>162.38</v>
      </c>
      <c r="BO497">
        <v>162.38</v>
      </c>
      <c r="BQ497" t="s">
        <v>1499</v>
      </c>
      <c r="BR497" t="s">
        <v>84</v>
      </c>
      <c r="BS497" s="3">
        <v>45985</v>
      </c>
      <c r="BT497" s="4">
        <v>0.44027777777777777</v>
      </c>
      <c r="BU497" t="s">
        <v>1500</v>
      </c>
      <c r="BV497" t="s">
        <v>86</v>
      </c>
      <c r="BY497">
        <v>40609.949999999997</v>
      </c>
      <c r="CA497" s="5" t="s">
        <v>906</v>
      </c>
      <c r="CC497" t="s">
        <v>231</v>
      </c>
      <c r="CD497" s="5" t="s">
        <v>1501</v>
      </c>
      <c r="CE497" t="s">
        <v>611</v>
      </c>
      <c r="CF497" s="3">
        <v>45985</v>
      </c>
      <c r="CI497">
        <v>3</v>
      </c>
      <c r="CJ497">
        <v>2</v>
      </c>
      <c r="CK497">
        <v>41</v>
      </c>
      <c r="CL497" t="s">
        <v>89</v>
      </c>
    </row>
    <row r="498" spans="1:90" x14ac:dyDescent="0.3">
      <c r="A498" t="s">
        <v>72</v>
      </c>
      <c r="B498" t="s">
        <v>73</v>
      </c>
      <c r="C498" t="s">
        <v>74</v>
      </c>
      <c r="E498" t="str">
        <f>"GAB2030032"</f>
        <v>GAB2030032</v>
      </c>
      <c r="F498" s="3">
        <v>45981</v>
      </c>
      <c r="G498">
        <v>202608</v>
      </c>
      <c r="H498" t="s">
        <v>75</v>
      </c>
      <c r="I498" t="s">
        <v>76</v>
      </c>
      <c r="J498" t="s">
        <v>77</v>
      </c>
      <c r="K498" t="s">
        <v>78</v>
      </c>
      <c r="L498" t="s">
        <v>169</v>
      </c>
      <c r="M498" t="s">
        <v>170</v>
      </c>
      <c r="N498" t="s">
        <v>1502</v>
      </c>
      <c r="O498" t="s">
        <v>82</v>
      </c>
      <c r="P498" t="str">
        <f>"INVOICE 00122971 CT098363     "</f>
        <v xml:space="preserve">INVOICE 00122971 CT098363     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5.87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41.35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1</v>
      </c>
      <c r="BI498">
        <v>2.4</v>
      </c>
      <c r="BJ498">
        <v>6.7</v>
      </c>
      <c r="BK498">
        <v>7</v>
      </c>
      <c r="BL498">
        <v>141.19999999999999</v>
      </c>
      <c r="BM498">
        <v>21.18</v>
      </c>
      <c r="BN498">
        <v>162.38</v>
      </c>
      <c r="BO498">
        <v>162.38</v>
      </c>
      <c r="BQ498" t="s">
        <v>1503</v>
      </c>
      <c r="BR498" t="s">
        <v>84</v>
      </c>
      <c r="BS498" s="3">
        <v>45985</v>
      </c>
      <c r="BT498" s="4">
        <v>0.38263888888888886</v>
      </c>
      <c r="BU498" t="s">
        <v>1504</v>
      </c>
      <c r="BV498" t="s">
        <v>86</v>
      </c>
      <c r="BY498">
        <v>33264</v>
      </c>
      <c r="CA498" t="s">
        <v>1505</v>
      </c>
      <c r="CC498" t="s">
        <v>170</v>
      </c>
      <c r="CD498">
        <v>2196</v>
      </c>
      <c r="CE498" t="s">
        <v>611</v>
      </c>
      <c r="CF498" s="3">
        <v>45986</v>
      </c>
      <c r="CI498">
        <v>2</v>
      </c>
      <c r="CJ498">
        <v>2</v>
      </c>
      <c r="CK498">
        <v>41</v>
      </c>
      <c r="CL498" t="s">
        <v>89</v>
      </c>
    </row>
    <row r="499" spans="1:90" x14ac:dyDescent="0.3">
      <c r="A499" t="s">
        <v>72</v>
      </c>
      <c r="B499" t="s">
        <v>73</v>
      </c>
      <c r="C499" t="s">
        <v>74</v>
      </c>
      <c r="E499" t="str">
        <f>"009944868268"</f>
        <v>009944868268</v>
      </c>
      <c r="F499" s="3">
        <v>45981</v>
      </c>
      <c r="G499">
        <v>202608</v>
      </c>
      <c r="H499" t="s">
        <v>246</v>
      </c>
      <c r="I499" t="s">
        <v>247</v>
      </c>
      <c r="J499" t="s">
        <v>236</v>
      </c>
      <c r="K499" t="s">
        <v>78</v>
      </c>
      <c r="L499" t="s">
        <v>79</v>
      </c>
      <c r="M499" t="s">
        <v>80</v>
      </c>
      <c r="N499" t="s">
        <v>236</v>
      </c>
      <c r="O499" t="s">
        <v>124</v>
      </c>
      <c r="P499" t="str">
        <f>"                              "</f>
        <v xml:space="preserve">                              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208.34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1</v>
      </c>
      <c r="BI499">
        <v>6</v>
      </c>
      <c r="BJ499">
        <v>19.2</v>
      </c>
      <c r="BK499">
        <v>19.5</v>
      </c>
      <c r="BL499">
        <v>681.84</v>
      </c>
      <c r="BM499">
        <v>102.28</v>
      </c>
      <c r="BN499">
        <v>784.12</v>
      </c>
      <c r="BO499">
        <v>784.12</v>
      </c>
      <c r="BQ499" t="s">
        <v>1062</v>
      </c>
      <c r="BR499" t="s">
        <v>248</v>
      </c>
      <c r="BS499" s="3">
        <v>45982</v>
      </c>
      <c r="BT499" s="4">
        <v>0.37777777777777777</v>
      </c>
      <c r="BU499" t="s">
        <v>1335</v>
      </c>
      <c r="BV499" t="s">
        <v>86</v>
      </c>
      <c r="BY499">
        <v>96000</v>
      </c>
      <c r="BZ499" t="s">
        <v>126</v>
      </c>
      <c r="CA499">
        <v>8909235965088</v>
      </c>
      <c r="CC499" t="s">
        <v>80</v>
      </c>
      <c r="CD499" s="5" t="s">
        <v>1125</v>
      </c>
      <c r="CE499" t="s">
        <v>245</v>
      </c>
      <c r="CF499" s="3">
        <v>45982</v>
      </c>
      <c r="CI499">
        <v>1</v>
      </c>
      <c r="CJ499">
        <v>1</v>
      </c>
      <c r="CK499">
        <v>21</v>
      </c>
      <c r="CL499" t="s">
        <v>89</v>
      </c>
    </row>
    <row r="500" spans="1:90" x14ac:dyDescent="0.3">
      <c r="A500" t="s">
        <v>72</v>
      </c>
      <c r="B500" t="s">
        <v>73</v>
      </c>
      <c r="C500" t="s">
        <v>74</v>
      </c>
      <c r="E500" t="str">
        <f>"GAB2029968"</f>
        <v>GAB2029968</v>
      </c>
      <c r="F500" s="3">
        <v>45980</v>
      </c>
      <c r="G500">
        <v>202608</v>
      </c>
      <c r="H500" t="s">
        <v>75</v>
      </c>
      <c r="I500" t="s">
        <v>76</v>
      </c>
      <c r="J500" t="s">
        <v>77</v>
      </c>
      <c r="K500" t="s">
        <v>78</v>
      </c>
      <c r="L500" t="s">
        <v>169</v>
      </c>
      <c r="M500" t="s">
        <v>170</v>
      </c>
      <c r="N500" t="s">
        <v>1252</v>
      </c>
      <c r="O500" t="s">
        <v>82</v>
      </c>
      <c r="P500" t="str">
        <f>"INVOICE00041665 ORDGS037949   "</f>
        <v xml:space="preserve">INVOICE00041665 ORDGS037949   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5.87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107.93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3</v>
      </c>
      <c r="BI500">
        <v>22</v>
      </c>
      <c r="BJ500">
        <v>53.9</v>
      </c>
      <c r="BK500">
        <v>54</v>
      </c>
      <c r="BL500">
        <v>359.1</v>
      </c>
      <c r="BM500">
        <v>53.87</v>
      </c>
      <c r="BN500">
        <v>412.97</v>
      </c>
      <c r="BO500">
        <v>412.97</v>
      </c>
      <c r="BR500" t="s">
        <v>84</v>
      </c>
      <c r="BS500" s="3">
        <v>45985</v>
      </c>
      <c r="BT500" s="4">
        <v>0.50555555555555554</v>
      </c>
      <c r="BU500" t="s">
        <v>1506</v>
      </c>
      <c r="BV500" t="s">
        <v>86</v>
      </c>
      <c r="BY500">
        <v>269569.18</v>
      </c>
      <c r="CA500" t="s">
        <v>1507</v>
      </c>
      <c r="CC500" t="s">
        <v>170</v>
      </c>
      <c r="CD500">
        <v>2001</v>
      </c>
      <c r="CE500" t="s">
        <v>315</v>
      </c>
      <c r="CF500" s="3">
        <v>45985</v>
      </c>
      <c r="CI500">
        <v>2</v>
      </c>
      <c r="CJ500">
        <v>3</v>
      </c>
      <c r="CK500">
        <v>41</v>
      </c>
      <c r="CL500" t="s">
        <v>89</v>
      </c>
    </row>
    <row r="501" spans="1:90" x14ac:dyDescent="0.3">
      <c r="A501" t="s">
        <v>72</v>
      </c>
      <c r="B501" t="s">
        <v>73</v>
      </c>
      <c r="C501" t="s">
        <v>74</v>
      </c>
      <c r="E501" t="str">
        <f>"080011682381"</f>
        <v>080011682381</v>
      </c>
      <c r="F501" s="3">
        <v>45982</v>
      </c>
      <c r="G501">
        <v>202608</v>
      </c>
      <c r="H501" t="s">
        <v>1119</v>
      </c>
      <c r="I501" t="s">
        <v>1120</v>
      </c>
      <c r="J501" t="s">
        <v>1508</v>
      </c>
      <c r="K501" t="s">
        <v>78</v>
      </c>
      <c r="L501" t="s">
        <v>230</v>
      </c>
      <c r="M501" t="s">
        <v>231</v>
      </c>
      <c r="N501" t="s">
        <v>236</v>
      </c>
      <c r="O501" t="s">
        <v>82</v>
      </c>
      <c r="P501" t="str">
        <f>"-                             "</f>
        <v xml:space="preserve">-                             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5.87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58.32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1</v>
      </c>
      <c r="BI501">
        <v>5</v>
      </c>
      <c r="BJ501">
        <v>4.8</v>
      </c>
      <c r="BK501">
        <v>5</v>
      </c>
      <c r="BL501">
        <v>196.74</v>
      </c>
      <c r="BM501">
        <v>29.51</v>
      </c>
      <c r="BN501">
        <v>226.25</v>
      </c>
      <c r="BO501">
        <v>226.25</v>
      </c>
      <c r="BQ501" t="s">
        <v>1509</v>
      </c>
      <c r="BR501" t="s">
        <v>1510</v>
      </c>
      <c r="BS501" s="3">
        <v>45985</v>
      </c>
      <c r="BT501" s="4">
        <v>0.37847222222222221</v>
      </c>
      <c r="BU501" t="s">
        <v>322</v>
      </c>
      <c r="BV501" t="s">
        <v>86</v>
      </c>
      <c r="BY501">
        <v>24000</v>
      </c>
      <c r="BZ501" t="s">
        <v>505</v>
      </c>
      <c r="CA501">
        <v>8909235965088</v>
      </c>
      <c r="CC501" t="s">
        <v>231</v>
      </c>
      <c r="CD501" s="5" t="s">
        <v>1511</v>
      </c>
      <c r="CE501" t="s">
        <v>245</v>
      </c>
      <c r="CF501" s="3">
        <v>45985</v>
      </c>
      <c r="CI501">
        <v>1</v>
      </c>
      <c r="CJ501">
        <v>1</v>
      </c>
      <c r="CK501">
        <v>43</v>
      </c>
      <c r="CL501" t="s">
        <v>89</v>
      </c>
    </row>
    <row r="502" spans="1:90" x14ac:dyDescent="0.3">
      <c r="A502" t="s">
        <v>72</v>
      </c>
      <c r="B502" t="s">
        <v>73</v>
      </c>
      <c r="C502" t="s">
        <v>74</v>
      </c>
      <c r="E502" t="str">
        <f>"GAB2030034"</f>
        <v>GAB2030034</v>
      </c>
      <c r="F502" s="3">
        <v>45982</v>
      </c>
      <c r="G502">
        <v>202608</v>
      </c>
      <c r="H502" t="s">
        <v>75</v>
      </c>
      <c r="I502" t="s">
        <v>76</v>
      </c>
      <c r="J502" t="s">
        <v>77</v>
      </c>
      <c r="K502" t="s">
        <v>78</v>
      </c>
      <c r="L502" t="s">
        <v>90</v>
      </c>
      <c r="M502" t="s">
        <v>91</v>
      </c>
      <c r="N502" t="s">
        <v>1512</v>
      </c>
      <c r="O502" t="s">
        <v>82</v>
      </c>
      <c r="P502" t="str">
        <f>"INVOICE00041746 ORDGS037507   "</f>
        <v xml:space="preserve">INVOICE00041746 ORDGS037507   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5.87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41.35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1</v>
      </c>
      <c r="BI502">
        <v>7.3</v>
      </c>
      <c r="BJ502">
        <v>12</v>
      </c>
      <c r="BK502">
        <v>12</v>
      </c>
      <c r="BL502">
        <v>141.19999999999999</v>
      </c>
      <c r="BM502">
        <v>21.18</v>
      </c>
      <c r="BN502">
        <v>162.38</v>
      </c>
      <c r="BO502">
        <v>162.38</v>
      </c>
      <c r="BQ502" t="s">
        <v>1513</v>
      </c>
      <c r="BR502" t="s">
        <v>84</v>
      </c>
      <c r="BS502" s="3">
        <v>45986</v>
      </c>
      <c r="BT502" s="4">
        <v>0.54097222222222219</v>
      </c>
      <c r="BU502" t="s">
        <v>1514</v>
      </c>
      <c r="BV502" t="s">
        <v>86</v>
      </c>
      <c r="BY502">
        <v>59774.400000000001</v>
      </c>
      <c r="CA502" t="s">
        <v>370</v>
      </c>
      <c r="CC502" t="s">
        <v>91</v>
      </c>
      <c r="CD502">
        <v>4001</v>
      </c>
      <c r="CE502" t="s">
        <v>103</v>
      </c>
      <c r="CF502" s="3">
        <v>45986</v>
      </c>
      <c r="CI502">
        <v>3</v>
      </c>
      <c r="CJ502">
        <v>2</v>
      </c>
      <c r="CK502">
        <v>41</v>
      </c>
      <c r="CL502" t="s">
        <v>89</v>
      </c>
    </row>
    <row r="503" spans="1:90" x14ac:dyDescent="0.3">
      <c r="A503" t="s">
        <v>72</v>
      </c>
      <c r="B503" t="s">
        <v>73</v>
      </c>
      <c r="C503" t="s">
        <v>74</v>
      </c>
      <c r="E503" t="str">
        <f>"GAB2030035"</f>
        <v>GAB2030035</v>
      </c>
      <c r="F503" s="3">
        <v>45982</v>
      </c>
      <c r="G503">
        <v>202608</v>
      </c>
      <c r="H503" t="s">
        <v>75</v>
      </c>
      <c r="I503" t="s">
        <v>76</v>
      </c>
      <c r="J503" t="s">
        <v>77</v>
      </c>
      <c r="K503" t="s">
        <v>78</v>
      </c>
      <c r="L503" t="s">
        <v>90</v>
      </c>
      <c r="M503" t="s">
        <v>91</v>
      </c>
      <c r="N503" t="s">
        <v>1515</v>
      </c>
      <c r="O503" t="s">
        <v>82</v>
      </c>
      <c r="P503" t="str">
        <f>"INVOICE00041747 ORDGS038081   "</f>
        <v xml:space="preserve">INVOICE00041747 ORDGS038081   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5.87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41.35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1</v>
      </c>
      <c r="BI503">
        <v>6.6</v>
      </c>
      <c r="BJ503">
        <v>12.6</v>
      </c>
      <c r="BK503">
        <v>13</v>
      </c>
      <c r="BL503">
        <v>141.19999999999999</v>
      </c>
      <c r="BM503">
        <v>21.18</v>
      </c>
      <c r="BN503">
        <v>162.38</v>
      </c>
      <c r="BO503">
        <v>162.38</v>
      </c>
      <c r="BQ503" t="s">
        <v>185</v>
      </c>
      <c r="BR503" t="s">
        <v>84</v>
      </c>
      <c r="BS503" s="3">
        <v>45986</v>
      </c>
      <c r="BT503" s="4">
        <v>0.43472222222222223</v>
      </c>
      <c r="BU503" t="s">
        <v>1516</v>
      </c>
      <c r="BV503" t="s">
        <v>86</v>
      </c>
      <c r="BY503">
        <v>63033.599999999999</v>
      </c>
      <c r="CC503" t="s">
        <v>91</v>
      </c>
      <c r="CD503">
        <v>4001</v>
      </c>
      <c r="CE503" t="s">
        <v>103</v>
      </c>
      <c r="CF503" s="3">
        <v>45986</v>
      </c>
      <c r="CI503">
        <v>3</v>
      </c>
      <c r="CJ503">
        <v>2</v>
      </c>
      <c r="CK503">
        <v>41</v>
      </c>
      <c r="CL503" t="s">
        <v>89</v>
      </c>
    </row>
    <row r="504" spans="1:90" x14ac:dyDescent="0.3">
      <c r="A504" t="s">
        <v>72</v>
      </c>
      <c r="B504" t="s">
        <v>73</v>
      </c>
      <c r="C504" t="s">
        <v>74</v>
      </c>
      <c r="E504" t="str">
        <f>"GAB2030045"</f>
        <v>GAB2030045</v>
      </c>
      <c r="F504" s="3">
        <v>45982</v>
      </c>
      <c r="G504">
        <v>202608</v>
      </c>
      <c r="H504" t="s">
        <v>75</v>
      </c>
      <c r="I504" t="s">
        <v>76</v>
      </c>
      <c r="J504" t="s">
        <v>77</v>
      </c>
      <c r="K504" t="s">
        <v>78</v>
      </c>
      <c r="L504" t="s">
        <v>169</v>
      </c>
      <c r="M504" t="s">
        <v>170</v>
      </c>
      <c r="N504" t="s">
        <v>1252</v>
      </c>
      <c r="O504" t="s">
        <v>82</v>
      </c>
      <c r="P504" t="str">
        <f>"INVOICE00041755 ORDGS037949   "</f>
        <v xml:space="preserve">INVOICE00041755 ORDGS037949   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5.87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61.84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2</v>
      </c>
      <c r="BI504">
        <v>12.8</v>
      </c>
      <c r="BJ504">
        <v>26.7</v>
      </c>
      <c r="BK504">
        <v>27</v>
      </c>
      <c r="BL504">
        <v>208.25</v>
      </c>
      <c r="BM504">
        <v>31.24</v>
      </c>
      <c r="BN504">
        <v>239.49</v>
      </c>
      <c r="BO504">
        <v>239.49</v>
      </c>
      <c r="BR504" t="s">
        <v>84</v>
      </c>
      <c r="BS504" s="3">
        <v>45985</v>
      </c>
      <c r="BT504" s="4">
        <v>0.44027777777777777</v>
      </c>
      <c r="BU504" t="s">
        <v>1506</v>
      </c>
      <c r="BV504" t="s">
        <v>86</v>
      </c>
      <c r="BY504">
        <v>133502.70000000001</v>
      </c>
      <c r="CA504" t="s">
        <v>1507</v>
      </c>
      <c r="CC504" t="s">
        <v>170</v>
      </c>
      <c r="CD504">
        <v>2001</v>
      </c>
      <c r="CE504" t="s">
        <v>103</v>
      </c>
      <c r="CF504" s="3">
        <v>45985</v>
      </c>
      <c r="CI504">
        <v>2</v>
      </c>
      <c r="CJ504">
        <v>1</v>
      </c>
      <c r="CK504">
        <v>41</v>
      </c>
      <c r="CL504" t="s">
        <v>89</v>
      </c>
    </row>
    <row r="505" spans="1:90" x14ac:dyDescent="0.3">
      <c r="A505" t="s">
        <v>72</v>
      </c>
      <c r="B505" t="s">
        <v>73</v>
      </c>
      <c r="C505" t="s">
        <v>74</v>
      </c>
      <c r="E505" t="str">
        <f>"GAB2030049"</f>
        <v>GAB2030049</v>
      </c>
      <c r="F505" s="3">
        <v>45982</v>
      </c>
      <c r="G505">
        <v>202608</v>
      </c>
      <c r="H505" t="s">
        <v>75</v>
      </c>
      <c r="I505" t="s">
        <v>76</v>
      </c>
      <c r="J505" t="s">
        <v>77</v>
      </c>
      <c r="K505" t="s">
        <v>78</v>
      </c>
      <c r="L505" t="s">
        <v>79</v>
      </c>
      <c r="M505" t="s">
        <v>80</v>
      </c>
      <c r="N505" t="s">
        <v>1517</v>
      </c>
      <c r="O505" t="s">
        <v>82</v>
      </c>
      <c r="P505" t="str">
        <f>"INVOICE00122995 CT098393      "</f>
        <v xml:space="preserve">INVOICE00122995 CT098393      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5.87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41.35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1</v>
      </c>
      <c r="BI505">
        <v>1.6</v>
      </c>
      <c r="BJ505">
        <v>6.4</v>
      </c>
      <c r="BK505">
        <v>7</v>
      </c>
      <c r="BL505">
        <v>141.19999999999999</v>
      </c>
      <c r="BM505">
        <v>21.18</v>
      </c>
      <c r="BN505">
        <v>162.38</v>
      </c>
      <c r="BO505">
        <v>162.38</v>
      </c>
      <c r="BR505" t="s">
        <v>84</v>
      </c>
      <c r="BS505" s="3">
        <v>45985</v>
      </c>
      <c r="BT505" s="4">
        <v>0.38055555555555554</v>
      </c>
      <c r="BU505" t="s">
        <v>1518</v>
      </c>
      <c r="BV505" t="s">
        <v>86</v>
      </c>
      <c r="BY505">
        <v>31838.63</v>
      </c>
      <c r="CA505">
        <v>7712195338085</v>
      </c>
      <c r="CC505" t="s">
        <v>80</v>
      </c>
      <c r="CD505" s="5" t="s">
        <v>87</v>
      </c>
      <c r="CE505" t="s">
        <v>1519</v>
      </c>
      <c r="CF505" s="3">
        <v>45985</v>
      </c>
      <c r="CI505">
        <v>3</v>
      </c>
      <c r="CJ505">
        <v>1</v>
      </c>
      <c r="CK505">
        <v>41</v>
      </c>
      <c r="CL505" t="s">
        <v>89</v>
      </c>
    </row>
    <row r="506" spans="1:90" x14ac:dyDescent="0.3">
      <c r="A506" t="s">
        <v>72</v>
      </c>
      <c r="B506" t="s">
        <v>73</v>
      </c>
      <c r="C506" t="s">
        <v>74</v>
      </c>
      <c r="E506" t="str">
        <f>"GAB2030053"</f>
        <v>GAB2030053</v>
      </c>
      <c r="F506" s="3">
        <v>45982</v>
      </c>
      <c r="G506">
        <v>202608</v>
      </c>
      <c r="H506" t="s">
        <v>75</v>
      </c>
      <c r="I506" t="s">
        <v>76</v>
      </c>
      <c r="J506" t="s">
        <v>77</v>
      </c>
      <c r="K506" t="s">
        <v>78</v>
      </c>
      <c r="L506" t="s">
        <v>137</v>
      </c>
      <c r="M506" t="s">
        <v>138</v>
      </c>
      <c r="N506" t="s">
        <v>139</v>
      </c>
      <c r="O506" t="s">
        <v>82</v>
      </c>
      <c r="P506" t="str">
        <f>"INVOICE00122998 CT098438      "</f>
        <v xml:space="preserve">INVOICE00122998 CT098438      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5.87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88.11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2</v>
      </c>
      <c r="BI506">
        <v>8.1</v>
      </c>
      <c r="BJ506">
        <v>25</v>
      </c>
      <c r="BK506">
        <v>25</v>
      </c>
      <c r="BL506">
        <v>294.23</v>
      </c>
      <c r="BM506">
        <v>44.13</v>
      </c>
      <c r="BN506">
        <v>338.36</v>
      </c>
      <c r="BO506">
        <v>338.36</v>
      </c>
      <c r="BR506" t="s">
        <v>84</v>
      </c>
      <c r="BS506" s="3">
        <v>45985</v>
      </c>
      <c r="BT506" s="4">
        <v>0.51944444444444449</v>
      </c>
      <c r="BU506" t="s">
        <v>1520</v>
      </c>
      <c r="BV506" t="s">
        <v>86</v>
      </c>
      <c r="BY506">
        <v>125167.05</v>
      </c>
      <c r="CA506" t="s">
        <v>1521</v>
      </c>
      <c r="CC506" t="s">
        <v>138</v>
      </c>
      <c r="CD506" s="5" t="s">
        <v>142</v>
      </c>
      <c r="CE506" t="s">
        <v>114</v>
      </c>
      <c r="CF506" s="3">
        <v>45987</v>
      </c>
      <c r="CI506">
        <v>2</v>
      </c>
      <c r="CJ506">
        <v>1</v>
      </c>
      <c r="CK506">
        <v>43</v>
      </c>
      <c r="CL506" t="s">
        <v>89</v>
      </c>
    </row>
    <row r="507" spans="1:90" x14ac:dyDescent="0.3">
      <c r="A507" t="s">
        <v>72</v>
      </c>
      <c r="B507" t="s">
        <v>73</v>
      </c>
      <c r="C507" t="s">
        <v>74</v>
      </c>
      <c r="E507" t="str">
        <f>"GAB2030059"</f>
        <v>GAB2030059</v>
      </c>
      <c r="F507" s="3">
        <v>45982</v>
      </c>
      <c r="G507">
        <v>202608</v>
      </c>
      <c r="H507" t="s">
        <v>75</v>
      </c>
      <c r="I507" t="s">
        <v>76</v>
      </c>
      <c r="J507" t="s">
        <v>77</v>
      </c>
      <c r="K507" t="s">
        <v>78</v>
      </c>
      <c r="L507" t="s">
        <v>270</v>
      </c>
      <c r="M507" t="s">
        <v>271</v>
      </c>
      <c r="N507" t="s">
        <v>1522</v>
      </c>
      <c r="O507" t="s">
        <v>82</v>
      </c>
      <c r="P507" t="str">
        <f>"INVOICE00041775 ORDGS038410   "</f>
        <v xml:space="preserve">INVOICE00041775 ORDGS038410   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5.87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58.32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1</v>
      </c>
      <c r="BI507">
        <v>4.8</v>
      </c>
      <c r="BJ507">
        <v>12.1</v>
      </c>
      <c r="BK507">
        <v>13</v>
      </c>
      <c r="BL507">
        <v>196.74</v>
      </c>
      <c r="BM507">
        <v>29.51</v>
      </c>
      <c r="BN507">
        <v>226.25</v>
      </c>
      <c r="BO507">
        <v>226.25</v>
      </c>
      <c r="BQ507" t="s">
        <v>1523</v>
      </c>
      <c r="BR507" t="s">
        <v>84</v>
      </c>
      <c r="BS507" s="3">
        <v>45986</v>
      </c>
      <c r="BT507" s="4">
        <v>0.51041666666666663</v>
      </c>
      <c r="BU507" t="s">
        <v>1524</v>
      </c>
      <c r="BV507" t="s">
        <v>89</v>
      </c>
      <c r="BY507">
        <v>60494.080000000002</v>
      </c>
      <c r="CA507" t="s">
        <v>1525</v>
      </c>
      <c r="CC507" t="s">
        <v>271</v>
      </c>
      <c r="CD507">
        <v>4244</v>
      </c>
      <c r="CE507" t="s">
        <v>103</v>
      </c>
      <c r="CF507" s="3">
        <v>45986</v>
      </c>
      <c r="CI507">
        <v>4</v>
      </c>
      <c r="CJ507">
        <v>2</v>
      </c>
      <c r="CK507">
        <v>43</v>
      </c>
      <c r="CL507" t="s">
        <v>89</v>
      </c>
    </row>
    <row r="508" spans="1:90" x14ac:dyDescent="0.3">
      <c r="A508" t="s">
        <v>72</v>
      </c>
      <c r="B508" t="s">
        <v>73</v>
      </c>
      <c r="C508" t="s">
        <v>74</v>
      </c>
      <c r="E508" t="str">
        <f>"GAB2030062"</f>
        <v>GAB2030062</v>
      </c>
      <c r="F508" s="3">
        <v>45982</v>
      </c>
      <c r="G508">
        <v>202608</v>
      </c>
      <c r="H508" t="s">
        <v>75</v>
      </c>
      <c r="I508" t="s">
        <v>76</v>
      </c>
      <c r="J508" t="s">
        <v>77</v>
      </c>
      <c r="K508" t="s">
        <v>78</v>
      </c>
      <c r="L508" t="s">
        <v>75</v>
      </c>
      <c r="M508" t="s">
        <v>76</v>
      </c>
      <c r="N508" t="s">
        <v>1526</v>
      </c>
      <c r="O508" t="s">
        <v>82</v>
      </c>
      <c r="P508" t="str">
        <f>"INVOICE00123010 CT098440      "</f>
        <v xml:space="preserve">INVOICE00123010 CT098440      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5.87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35.64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2</v>
      </c>
      <c r="BI508">
        <v>8.5</v>
      </c>
      <c r="BJ508">
        <v>18.3</v>
      </c>
      <c r="BK508">
        <v>19</v>
      </c>
      <c r="BL508">
        <v>122.51</v>
      </c>
      <c r="BM508">
        <v>18.38</v>
      </c>
      <c r="BN508">
        <v>140.88999999999999</v>
      </c>
      <c r="BO508">
        <v>140.88999999999999</v>
      </c>
      <c r="BQ508" t="s">
        <v>1527</v>
      </c>
      <c r="BR508" t="s">
        <v>84</v>
      </c>
      <c r="BS508" s="3">
        <v>45985</v>
      </c>
      <c r="BT508" s="4">
        <v>0.64166666666666672</v>
      </c>
      <c r="BU508" t="s">
        <v>875</v>
      </c>
      <c r="BV508" t="s">
        <v>86</v>
      </c>
      <c r="BY508">
        <v>91662.53</v>
      </c>
      <c r="CA508" t="s">
        <v>876</v>
      </c>
      <c r="CC508" t="s">
        <v>76</v>
      </c>
      <c r="CD508">
        <v>7550</v>
      </c>
      <c r="CE508" t="s">
        <v>103</v>
      </c>
      <c r="CF508" s="3">
        <v>45986</v>
      </c>
      <c r="CI508">
        <v>1</v>
      </c>
      <c r="CJ508">
        <v>1</v>
      </c>
      <c r="CK508">
        <v>42</v>
      </c>
      <c r="CL508" t="s">
        <v>89</v>
      </c>
    </row>
    <row r="509" spans="1:90" x14ac:dyDescent="0.3">
      <c r="A509" t="s">
        <v>72</v>
      </c>
      <c r="B509" t="s">
        <v>73</v>
      </c>
      <c r="C509" t="s">
        <v>74</v>
      </c>
      <c r="E509" t="str">
        <f>"GAB2030036"</f>
        <v>GAB2030036</v>
      </c>
      <c r="F509" s="3">
        <v>45982</v>
      </c>
      <c r="G509">
        <v>202608</v>
      </c>
      <c r="H509" t="s">
        <v>75</v>
      </c>
      <c r="I509" t="s">
        <v>76</v>
      </c>
      <c r="J509" t="s">
        <v>77</v>
      </c>
      <c r="K509" t="s">
        <v>78</v>
      </c>
      <c r="L509" t="s">
        <v>169</v>
      </c>
      <c r="M509" t="s">
        <v>170</v>
      </c>
      <c r="N509" t="s">
        <v>171</v>
      </c>
      <c r="O509" t="s">
        <v>124</v>
      </c>
      <c r="P509" t="str">
        <f>"INVOICE00041752 ORDGS038366   "</f>
        <v xml:space="preserve">INVOICE00041752 ORDGS038366   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21.38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1</v>
      </c>
      <c r="BI509">
        <v>0.3</v>
      </c>
      <c r="BJ509">
        <v>1.8</v>
      </c>
      <c r="BK509">
        <v>2</v>
      </c>
      <c r="BL509">
        <v>69.98</v>
      </c>
      <c r="BM509">
        <v>10.5</v>
      </c>
      <c r="BN509">
        <v>80.48</v>
      </c>
      <c r="BO509">
        <v>80.48</v>
      </c>
      <c r="BQ509" t="s">
        <v>1528</v>
      </c>
      <c r="BR509" t="s">
        <v>84</v>
      </c>
      <c r="BS509" s="3">
        <v>45985</v>
      </c>
      <c r="BT509" s="4">
        <v>0.49791666666666667</v>
      </c>
      <c r="BU509" t="s">
        <v>1529</v>
      </c>
      <c r="BV509" t="s">
        <v>89</v>
      </c>
      <c r="BW509" t="s">
        <v>562</v>
      </c>
      <c r="BX509" t="s">
        <v>1530</v>
      </c>
      <c r="BY509">
        <v>8785.2800000000007</v>
      </c>
      <c r="BZ509" t="s">
        <v>126</v>
      </c>
      <c r="CA509" t="s">
        <v>1531</v>
      </c>
      <c r="CC509" t="s">
        <v>170</v>
      </c>
      <c r="CD509">
        <v>2007</v>
      </c>
      <c r="CE509" t="s">
        <v>149</v>
      </c>
      <c r="CF509" s="3">
        <v>45986</v>
      </c>
      <c r="CI509">
        <v>1</v>
      </c>
      <c r="CJ509">
        <v>1</v>
      </c>
      <c r="CK509">
        <v>21</v>
      </c>
      <c r="CL509" t="s">
        <v>89</v>
      </c>
    </row>
    <row r="510" spans="1:90" x14ac:dyDescent="0.3">
      <c r="A510" t="s">
        <v>72</v>
      </c>
      <c r="B510" t="s">
        <v>73</v>
      </c>
      <c r="C510" t="s">
        <v>74</v>
      </c>
      <c r="E510" t="str">
        <f>"GAB2030037"</f>
        <v>GAB2030037</v>
      </c>
      <c r="F510" s="3">
        <v>45982</v>
      </c>
      <c r="G510">
        <v>202608</v>
      </c>
      <c r="H510" t="s">
        <v>75</v>
      </c>
      <c r="I510" t="s">
        <v>76</v>
      </c>
      <c r="J510" t="s">
        <v>77</v>
      </c>
      <c r="K510" t="s">
        <v>78</v>
      </c>
      <c r="L510" t="s">
        <v>1382</v>
      </c>
      <c r="M510" t="s">
        <v>1383</v>
      </c>
      <c r="N510" t="s">
        <v>1384</v>
      </c>
      <c r="O510" t="s">
        <v>124</v>
      </c>
      <c r="P510" t="str">
        <f>"INVOICE00041751 ORDGS037695   "</f>
        <v xml:space="preserve">INVOICE00041751 ORDGS037695   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41.43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1</v>
      </c>
      <c r="BI510">
        <v>0.2</v>
      </c>
      <c r="BJ510">
        <v>2</v>
      </c>
      <c r="BK510">
        <v>2</v>
      </c>
      <c r="BL510">
        <v>135.59</v>
      </c>
      <c r="BM510">
        <v>20.34</v>
      </c>
      <c r="BN510">
        <v>155.93</v>
      </c>
      <c r="BO510">
        <v>155.93</v>
      </c>
      <c r="BQ510" t="s">
        <v>1532</v>
      </c>
      <c r="BR510" t="s">
        <v>84</v>
      </c>
      <c r="BS510" s="3">
        <v>45985</v>
      </c>
      <c r="BT510" s="4">
        <v>0.3576388888888889</v>
      </c>
      <c r="BU510" t="s">
        <v>1438</v>
      </c>
      <c r="BV510" t="s">
        <v>86</v>
      </c>
      <c r="BY510">
        <v>10240.02</v>
      </c>
      <c r="BZ510" t="s">
        <v>126</v>
      </c>
      <c r="CA510" t="s">
        <v>1387</v>
      </c>
      <c r="CC510" t="s">
        <v>1383</v>
      </c>
      <c r="CD510">
        <v>1760</v>
      </c>
      <c r="CE510" t="s">
        <v>128</v>
      </c>
      <c r="CF510" s="3">
        <v>45985</v>
      </c>
      <c r="CI510">
        <v>1</v>
      </c>
      <c r="CJ510">
        <v>1</v>
      </c>
      <c r="CK510">
        <v>23</v>
      </c>
      <c r="CL510" t="s">
        <v>89</v>
      </c>
    </row>
    <row r="511" spans="1:90" x14ac:dyDescent="0.3">
      <c r="A511" t="s">
        <v>72</v>
      </c>
      <c r="B511" t="s">
        <v>73</v>
      </c>
      <c r="C511" t="s">
        <v>74</v>
      </c>
      <c r="E511" t="str">
        <f>"GAB2030038"</f>
        <v>GAB2030038</v>
      </c>
      <c r="F511" s="3">
        <v>45982</v>
      </c>
      <c r="G511">
        <v>202608</v>
      </c>
      <c r="H511" t="s">
        <v>75</v>
      </c>
      <c r="I511" t="s">
        <v>76</v>
      </c>
      <c r="J511" t="s">
        <v>77</v>
      </c>
      <c r="K511" t="s">
        <v>78</v>
      </c>
      <c r="L511" t="s">
        <v>75</v>
      </c>
      <c r="M511" t="s">
        <v>76</v>
      </c>
      <c r="N511" t="s">
        <v>874</v>
      </c>
      <c r="O511" t="s">
        <v>124</v>
      </c>
      <c r="P511" t="str">
        <f>"INVOICE00122976 CT098186      "</f>
        <v xml:space="preserve">INVOICE00122976 CT098186      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16.7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1</v>
      </c>
      <c r="BI511">
        <v>0.3</v>
      </c>
      <c r="BJ511">
        <v>2</v>
      </c>
      <c r="BK511">
        <v>2</v>
      </c>
      <c r="BL511">
        <v>54.66</v>
      </c>
      <c r="BM511">
        <v>8.1999999999999993</v>
      </c>
      <c r="BN511">
        <v>62.86</v>
      </c>
      <c r="BO511">
        <v>62.86</v>
      </c>
      <c r="BQ511" t="s">
        <v>1527</v>
      </c>
      <c r="BR511" t="s">
        <v>84</v>
      </c>
      <c r="BS511" s="3">
        <v>45985</v>
      </c>
      <c r="BT511" s="4">
        <v>0.41666666666666669</v>
      </c>
      <c r="BU511" t="s">
        <v>1533</v>
      </c>
      <c r="BV511" t="s">
        <v>86</v>
      </c>
      <c r="BY511">
        <v>10188.57</v>
      </c>
      <c r="BZ511" t="s">
        <v>126</v>
      </c>
      <c r="CC511" t="s">
        <v>76</v>
      </c>
      <c r="CD511">
        <v>7550</v>
      </c>
      <c r="CE511" t="s">
        <v>383</v>
      </c>
      <c r="CF511" s="3">
        <v>45986</v>
      </c>
      <c r="CI511">
        <v>1</v>
      </c>
      <c r="CJ511">
        <v>1</v>
      </c>
      <c r="CK511">
        <v>22</v>
      </c>
      <c r="CL511" t="s">
        <v>89</v>
      </c>
    </row>
    <row r="512" spans="1:90" x14ac:dyDescent="0.3">
      <c r="A512" t="s">
        <v>72</v>
      </c>
      <c r="B512" t="s">
        <v>73</v>
      </c>
      <c r="C512" t="s">
        <v>74</v>
      </c>
      <c r="E512" t="str">
        <f>"GAB2030039"</f>
        <v>GAB2030039</v>
      </c>
      <c r="F512" s="3">
        <v>45982</v>
      </c>
      <c r="G512">
        <v>202608</v>
      </c>
      <c r="H512" t="s">
        <v>75</v>
      </c>
      <c r="I512" t="s">
        <v>76</v>
      </c>
      <c r="J512" t="s">
        <v>77</v>
      </c>
      <c r="K512" t="s">
        <v>78</v>
      </c>
      <c r="L512" t="s">
        <v>200</v>
      </c>
      <c r="M512" t="s">
        <v>201</v>
      </c>
      <c r="N512" t="s">
        <v>202</v>
      </c>
      <c r="O512" t="s">
        <v>124</v>
      </c>
      <c r="P512" t="str">
        <f>"INVOICE00122977 CT098311      "</f>
        <v xml:space="preserve">INVOICE00122977 CT098311      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50.78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1</v>
      </c>
      <c r="BI512">
        <v>0.3</v>
      </c>
      <c r="BJ512">
        <v>2.4</v>
      </c>
      <c r="BK512">
        <v>2.5</v>
      </c>
      <c r="BL512">
        <v>166.2</v>
      </c>
      <c r="BM512">
        <v>24.93</v>
      </c>
      <c r="BN512">
        <v>191.13</v>
      </c>
      <c r="BO512">
        <v>191.13</v>
      </c>
      <c r="BQ512" t="s">
        <v>828</v>
      </c>
      <c r="BR512" t="s">
        <v>84</v>
      </c>
      <c r="BS512" s="3">
        <v>45985</v>
      </c>
      <c r="BT512" s="4">
        <v>0.37222222222222223</v>
      </c>
      <c r="BU512" t="s">
        <v>1534</v>
      </c>
      <c r="BV512" t="s">
        <v>86</v>
      </c>
      <c r="BY512">
        <v>11850.3</v>
      </c>
      <c r="BZ512" t="s">
        <v>126</v>
      </c>
      <c r="CA512">
        <v>9608125162082</v>
      </c>
      <c r="CC512" t="s">
        <v>201</v>
      </c>
      <c r="CD512">
        <v>1900</v>
      </c>
      <c r="CE512" t="s">
        <v>149</v>
      </c>
      <c r="CF512" s="3">
        <v>45986</v>
      </c>
      <c r="CI512">
        <v>1</v>
      </c>
      <c r="CJ512">
        <v>1</v>
      </c>
      <c r="CK512">
        <v>23</v>
      </c>
      <c r="CL512" t="s">
        <v>89</v>
      </c>
    </row>
    <row r="513" spans="1:90" x14ac:dyDescent="0.3">
      <c r="A513" t="s">
        <v>72</v>
      </c>
      <c r="B513" t="s">
        <v>73</v>
      </c>
      <c r="C513" t="s">
        <v>74</v>
      </c>
      <c r="E513" t="str">
        <f>"GAB2030040"</f>
        <v>GAB2030040</v>
      </c>
      <c r="F513" s="3">
        <v>45982</v>
      </c>
      <c r="G513">
        <v>202608</v>
      </c>
      <c r="H513" t="s">
        <v>75</v>
      </c>
      <c r="I513" t="s">
        <v>76</v>
      </c>
      <c r="J513" t="s">
        <v>77</v>
      </c>
      <c r="K513" t="s">
        <v>78</v>
      </c>
      <c r="L513" t="s">
        <v>97</v>
      </c>
      <c r="M513" t="s">
        <v>98</v>
      </c>
      <c r="N513" t="s">
        <v>1535</v>
      </c>
      <c r="O513" t="s">
        <v>124</v>
      </c>
      <c r="P513" t="str">
        <f>"INVOICE00122978 CT098424      "</f>
        <v xml:space="preserve">INVOICE00122978 CT098424      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26.73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1</v>
      </c>
      <c r="BI513">
        <v>0.3</v>
      </c>
      <c r="BJ513">
        <v>2.1</v>
      </c>
      <c r="BK513">
        <v>2.5</v>
      </c>
      <c r="BL513">
        <v>87.47</v>
      </c>
      <c r="BM513">
        <v>13.12</v>
      </c>
      <c r="BN513">
        <v>100.59</v>
      </c>
      <c r="BO513">
        <v>100.59</v>
      </c>
      <c r="BQ513" t="s">
        <v>1536</v>
      </c>
      <c r="BR513" t="s">
        <v>84</v>
      </c>
      <c r="BS513" s="3">
        <v>45985</v>
      </c>
      <c r="BT513" s="4">
        <v>0.39374999999999999</v>
      </c>
      <c r="BU513" t="s">
        <v>1537</v>
      </c>
      <c r="BV513" t="s">
        <v>86</v>
      </c>
      <c r="BY513">
        <v>10350.959999999999</v>
      </c>
      <c r="BZ513" t="s">
        <v>126</v>
      </c>
      <c r="CA513" t="s">
        <v>1538</v>
      </c>
      <c r="CC513" t="s">
        <v>98</v>
      </c>
      <c r="CD513">
        <v>3610</v>
      </c>
      <c r="CE513" t="s">
        <v>149</v>
      </c>
      <c r="CF513" s="3">
        <v>45985</v>
      </c>
      <c r="CI513">
        <v>2</v>
      </c>
      <c r="CJ513">
        <v>1</v>
      </c>
      <c r="CK513">
        <v>21</v>
      </c>
      <c r="CL513" t="s">
        <v>89</v>
      </c>
    </row>
    <row r="514" spans="1:90" x14ac:dyDescent="0.3">
      <c r="A514" t="s">
        <v>72</v>
      </c>
      <c r="B514" t="s">
        <v>73</v>
      </c>
      <c r="C514" t="s">
        <v>74</v>
      </c>
      <c r="E514" t="str">
        <f>"GAB2030041"</f>
        <v>GAB2030041</v>
      </c>
      <c r="F514" s="3">
        <v>45982</v>
      </c>
      <c r="G514">
        <v>202608</v>
      </c>
      <c r="H514" t="s">
        <v>75</v>
      </c>
      <c r="I514" t="s">
        <v>76</v>
      </c>
      <c r="J514" t="s">
        <v>77</v>
      </c>
      <c r="K514" t="s">
        <v>78</v>
      </c>
      <c r="L514" t="s">
        <v>1432</v>
      </c>
      <c r="M514" t="s">
        <v>1433</v>
      </c>
      <c r="N514" t="s">
        <v>1434</v>
      </c>
      <c r="O514" t="s">
        <v>124</v>
      </c>
      <c r="P514" t="str">
        <f>"INVOICE00122979 CT098422      "</f>
        <v xml:space="preserve">INVOICE00122979 CT098422      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60.14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16.739999999999998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1</v>
      </c>
      <c r="BI514">
        <v>0.1</v>
      </c>
      <c r="BJ514">
        <v>2.9</v>
      </c>
      <c r="BK514">
        <v>3</v>
      </c>
      <c r="BL514">
        <v>213.56</v>
      </c>
      <c r="BM514">
        <v>32.03</v>
      </c>
      <c r="BN514">
        <v>245.59</v>
      </c>
      <c r="BO514">
        <v>245.59</v>
      </c>
      <c r="BR514" t="s">
        <v>84</v>
      </c>
      <c r="BS514" s="3">
        <v>45985</v>
      </c>
      <c r="BT514" s="4">
        <v>0.55069444444444449</v>
      </c>
      <c r="BU514" t="s">
        <v>1539</v>
      </c>
      <c r="BV514" t="s">
        <v>89</v>
      </c>
      <c r="BY514">
        <v>14550.25</v>
      </c>
      <c r="BZ514" t="s">
        <v>180</v>
      </c>
      <c r="CA514">
        <v>9509096951084</v>
      </c>
      <c r="CC514" t="s">
        <v>1433</v>
      </c>
      <c r="CD514">
        <v>1983</v>
      </c>
      <c r="CE514" t="s">
        <v>367</v>
      </c>
      <c r="CF514" s="3">
        <v>45986</v>
      </c>
      <c r="CI514">
        <v>1</v>
      </c>
      <c r="CJ514">
        <v>1</v>
      </c>
      <c r="CK514">
        <v>23</v>
      </c>
      <c r="CL514" t="s">
        <v>89</v>
      </c>
    </row>
    <row r="515" spans="1:90" x14ac:dyDescent="0.3">
      <c r="A515" t="s">
        <v>72</v>
      </c>
      <c r="B515" t="s">
        <v>73</v>
      </c>
      <c r="C515" t="s">
        <v>74</v>
      </c>
      <c r="E515" t="str">
        <f>"GAB2030042"</f>
        <v>GAB2030042</v>
      </c>
      <c r="F515" s="3">
        <v>45982</v>
      </c>
      <c r="G515">
        <v>202608</v>
      </c>
      <c r="H515" t="s">
        <v>75</v>
      </c>
      <c r="I515" t="s">
        <v>76</v>
      </c>
      <c r="J515" t="s">
        <v>77</v>
      </c>
      <c r="K515" t="s">
        <v>78</v>
      </c>
      <c r="L515" t="s">
        <v>212</v>
      </c>
      <c r="M515" t="s">
        <v>213</v>
      </c>
      <c r="N515" t="s">
        <v>410</v>
      </c>
      <c r="O515" t="s">
        <v>124</v>
      </c>
      <c r="P515" t="str">
        <f>"INVOICE00041753 ORDGS038362   "</f>
        <v xml:space="preserve">INVOICE00041753 ORDGS038362   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21.38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1</v>
      </c>
      <c r="BI515">
        <v>0.2</v>
      </c>
      <c r="BJ515">
        <v>1.7</v>
      </c>
      <c r="BK515">
        <v>2</v>
      </c>
      <c r="BL515">
        <v>69.98</v>
      </c>
      <c r="BM515">
        <v>10.5</v>
      </c>
      <c r="BN515">
        <v>80.48</v>
      </c>
      <c r="BO515">
        <v>80.48</v>
      </c>
      <c r="BQ515" t="s">
        <v>411</v>
      </c>
      <c r="BR515" t="s">
        <v>84</v>
      </c>
      <c r="BS515" s="3">
        <v>45985</v>
      </c>
      <c r="BT515" s="4">
        <v>0.54861111111111116</v>
      </c>
      <c r="BU515" t="s">
        <v>1540</v>
      </c>
      <c r="BV515" t="s">
        <v>89</v>
      </c>
      <c r="BW515" t="s">
        <v>216</v>
      </c>
      <c r="BX515" t="s">
        <v>217</v>
      </c>
      <c r="BY515">
        <v>8377.6</v>
      </c>
      <c r="BZ515" t="s">
        <v>126</v>
      </c>
      <c r="CA515" t="s">
        <v>414</v>
      </c>
      <c r="CC515" t="s">
        <v>213</v>
      </c>
      <c r="CD515">
        <v>5201</v>
      </c>
      <c r="CE515" t="s">
        <v>128</v>
      </c>
      <c r="CF515" s="3">
        <v>45986</v>
      </c>
      <c r="CI515">
        <v>1</v>
      </c>
      <c r="CJ515">
        <v>1</v>
      </c>
      <c r="CK515">
        <v>21</v>
      </c>
      <c r="CL515" t="s">
        <v>89</v>
      </c>
    </row>
    <row r="516" spans="1:90" x14ac:dyDescent="0.3">
      <c r="A516" t="s">
        <v>72</v>
      </c>
      <c r="B516" t="s">
        <v>73</v>
      </c>
      <c r="C516" t="s">
        <v>74</v>
      </c>
      <c r="E516" t="str">
        <f>"GAB2030044"</f>
        <v>GAB2030044</v>
      </c>
      <c r="F516" s="3">
        <v>45982</v>
      </c>
      <c r="G516">
        <v>202608</v>
      </c>
      <c r="H516" t="s">
        <v>75</v>
      </c>
      <c r="I516" t="s">
        <v>76</v>
      </c>
      <c r="J516" t="s">
        <v>77</v>
      </c>
      <c r="K516" t="s">
        <v>78</v>
      </c>
      <c r="L516" t="s">
        <v>938</v>
      </c>
      <c r="M516" t="s">
        <v>939</v>
      </c>
      <c r="N516" t="s">
        <v>1541</v>
      </c>
      <c r="O516" t="s">
        <v>124</v>
      </c>
      <c r="P516" t="str">
        <f>"INVOICE00122985 CT098425      "</f>
        <v xml:space="preserve">INVOICE00122985 CT098425      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21.38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1</v>
      </c>
      <c r="BI516">
        <v>0.2</v>
      </c>
      <c r="BJ516">
        <v>1.9</v>
      </c>
      <c r="BK516">
        <v>2</v>
      </c>
      <c r="BL516">
        <v>69.98</v>
      </c>
      <c r="BM516">
        <v>10.5</v>
      </c>
      <c r="BN516">
        <v>80.48</v>
      </c>
      <c r="BO516">
        <v>80.48</v>
      </c>
      <c r="BQ516" t="s">
        <v>1035</v>
      </c>
      <c r="BR516" t="s">
        <v>84</v>
      </c>
      <c r="BS516" s="3">
        <v>45985</v>
      </c>
      <c r="BT516" s="4">
        <v>0.31041666666666667</v>
      </c>
      <c r="BU516" t="s">
        <v>1542</v>
      </c>
      <c r="BV516" t="s">
        <v>86</v>
      </c>
      <c r="BY516">
        <v>9296.1</v>
      </c>
      <c r="BZ516" t="s">
        <v>126</v>
      </c>
      <c r="CA516" t="s">
        <v>1543</v>
      </c>
      <c r="CC516" t="s">
        <v>939</v>
      </c>
      <c r="CD516">
        <v>2194</v>
      </c>
      <c r="CE516" t="s">
        <v>843</v>
      </c>
      <c r="CF516" s="3">
        <v>45985</v>
      </c>
      <c r="CI516">
        <v>1</v>
      </c>
      <c r="CJ516">
        <v>1</v>
      </c>
      <c r="CK516">
        <v>21</v>
      </c>
      <c r="CL516" t="s">
        <v>89</v>
      </c>
    </row>
    <row r="517" spans="1:90" x14ac:dyDescent="0.3">
      <c r="A517" t="s">
        <v>72</v>
      </c>
      <c r="B517" t="s">
        <v>73</v>
      </c>
      <c r="C517" t="s">
        <v>74</v>
      </c>
      <c r="E517" t="str">
        <f>"GAB2030046"</f>
        <v>GAB2030046</v>
      </c>
      <c r="F517" s="3">
        <v>45982</v>
      </c>
      <c r="G517">
        <v>202608</v>
      </c>
      <c r="H517" t="s">
        <v>75</v>
      </c>
      <c r="I517" t="s">
        <v>76</v>
      </c>
      <c r="J517" t="s">
        <v>77</v>
      </c>
      <c r="K517" t="s">
        <v>78</v>
      </c>
      <c r="L517" t="s">
        <v>394</v>
      </c>
      <c r="M517" t="s">
        <v>395</v>
      </c>
      <c r="N517" t="s">
        <v>634</v>
      </c>
      <c r="O517" t="s">
        <v>124</v>
      </c>
      <c r="P517" t="str">
        <f>"INVOICE00041756 ORDGS038367   "</f>
        <v xml:space="preserve">INVOICE00041756 ORDGS038367   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41.43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1</v>
      </c>
      <c r="BI517">
        <v>0.5</v>
      </c>
      <c r="BJ517">
        <v>1.7</v>
      </c>
      <c r="BK517">
        <v>2</v>
      </c>
      <c r="BL517">
        <v>135.59</v>
      </c>
      <c r="BM517">
        <v>20.34</v>
      </c>
      <c r="BN517">
        <v>155.93</v>
      </c>
      <c r="BO517">
        <v>155.93</v>
      </c>
      <c r="BQ517" t="s">
        <v>118</v>
      </c>
      <c r="BR517" t="s">
        <v>84</v>
      </c>
      <c r="BS517" s="3">
        <v>45986</v>
      </c>
      <c r="BT517" s="4">
        <v>0.4236111111111111</v>
      </c>
      <c r="BU517" t="s">
        <v>1544</v>
      </c>
      <c r="BV517" t="s">
        <v>86</v>
      </c>
      <c r="BY517">
        <v>8367.4</v>
      </c>
      <c r="BZ517" t="s">
        <v>126</v>
      </c>
      <c r="CA517" t="s">
        <v>636</v>
      </c>
      <c r="CC517" t="s">
        <v>395</v>
      </c>
      <c r="CD517" s="5" t="s">
        <v>399</v>
      </c>
      <c r="CE517" t="s">
        <v>1134</v>
      </c>
      <c r="CF517" s="3">
        <v>45987</v>
      </c>
      <c r="CI517">
        <v>2</v>
      </c>
      <c r="CJ517">
        <v>2</v>
      </c>
      <c r="CK517">
        <v>23</v>
      </c>
      <c r="CL517" t="s">
        <v>89</v>
      </c>
    </row>
    <row r="518" spans="1:90" x14ac:dyDescent="0.3">
      <c r="A518" t="s">
        <v>72</v>
      </c>
      <c r="B518" t="s">
        <v>73</v>
      </c>
      <c r="C518" t="s">
        <v>74</v>
      </c>
      <c r="E518" t="str">
        <f>"GAB2030047"</f>
        <v>GAB2030047</v>
      </c>
      <c r="F518" s="3">
        <v>45982</v>
      </c>
      <c r="G518">
        <v>202608</v>
      </c>
      <c r="H518" t="s">
        <v>75</v>
      </c>
      <c r="I518" t="s">
        <v>76</v>
      </c>
      <c r="J518" t="s">
        <v>77</v>
      </c>
      <c r="K518" t="s">
        <v>78</v>
      </c>
      <c r="L518" t="s">
        <v>75</v>
      </c>
      <c r="M518" t="s">
        <v>76</v>
      </c>
      <c r="N518" t="s">
        <v>1545</v>
      </c>
      <c r="O518" t="s">
        <v>124</v>
      </c>
      <c r="P518" t="str">
        <f>"INVOICE00122992 CT098427      "</f>
        <v xml:space="preserve">INVOICE00122992 CT098427      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16.7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1</v>
      </c>
      <c r="BI518">
        <v>0.2</v>
      </c>
      <c r="BJ518">
        <v>1.9</v>
      </c>
      <c r="BK518">
        <v>2</v>
      </c>
      <c r="BL518">
        <v>54.66</v>
      </c>
      <c r="BM518">
        <v>8.1999999999999993</v>
      </c>
      <c r="BN518">
        <v>62.86</v>
      </c>
      <c r="BO518">
        <v>62.86</v>
      </c>
      <c r="BQ518" t="s">
        <v>1204</v>
      </c>
      <c r="BR518" t="s">
        <v>84</v>
      </c>
      <c r="BS518" s="3">
        <v>45985</v>
      </c>
      <c r="BT518" s="4">
        <v>0.4201388888888889</v>
      </c>
      <c r="BU518" t="s">
        <v>1546</v>
      </c>
      <c r="BV518" t="s">
        <v>86</v>
      </c>
      <c r="BY518">
        <v>9566.1200000000008</v>
      </c>
      <c r="BZ518" t="s">
        <v>126</v>
      </c>
      <c r="CA518" t="s">
        <v>876</v>
      </c>
      <c r="CC518" t="s">
        <v>76</v>
      </c>
      <c r="CD518">
        <v>7460</v>
      </c>
      <c r="CE518" t="s">
        <v>367</v>
      </c>
      <c r="CF518" s="3">
        <v>45986</v>
      </c>
      <c r="CI518">
        <v>1</v>
      </c>
      <c r="CJ518">
        <v>1</v>
      </c>
      <c r="CK518">
        <v>22</v>
      </c>
      <c r="CL518" t="s">
        <v>89</v>
      </c>
    </row>
    <row r="519" spans="1:90" x14ac:dyDescent="0.3">
      <c r="A519" t="s">
        <v>72</v>
      </c>
      <c r="B519" t="s">
        <v>73</v>
      </c>
      <c r="C519" t="s">
        <v>74</v>
      </c>
      <c r="E519" t="str">
        <f>"GAB2030048"</f>
        <v>GAB2030048</v>
      </c>
      <c r="F519" s="3">
        <v>45982</v>
      </c>
      <c r="G519">
        <v>202608</v>
      </c>
      <c r="H519" t="s">
        <v>75</v>
      </c>
      <c r="I519" t="s">
        <v>76</v>
      </c>
      <c r="J519" t="s">
        <v>77</v>
      </c>
      <c r="K519" t="s">
        <v>78</v>
      </c>
      <c r="L519" t="s">
        <v>129</v>
      </c>
      <c r="M519" t="s">
        <v>130</v>
      </c>
      <c r="N519" t="s">
        <v>131</v>
      </c>
      <c r="O519" t="s">
        <v>124</v>
      </c>
      <c r="P519" t="str">
        <f>"INVOICE00122994 CT098433      "</f>
        <v xml:space="preserve">INVOICE00122994 CT098433      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26.73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1</v>
      </c>
      <c r="BI519">
        <v>0.4</v>
      </c>
      <c r="BJ519">
        <v>2.5</v>
      </c>
      <c r="BK519">
        <v>2.5</v>
      </c>
      <c r="BL519">
        <v>87.47</v>
      </c>
      <c r="BM519">
        <v>13.12</v>
      </c>
      <c r="BN519">
        <v>100.59</v>
      </c>
      <c r="BO519">
        <v>100.59</v>
      </c>
      <c r="BQ519" t="s">
        <v>1547</v>
      </c>
      <c r="BR519" t="s">
        <v>84</v>
      </c>
      <c r="BS519" s="3">
        <v>45985</v>
      </c>
      <c r="BT519" s="4">
        <v>0.40277777777777779</v>
      </c>
      <c r="BU519" t="s">
        <v>1548</v>
      </c>
      <c r="BV519" t="s">
        <v>86</v>
      </c>
      <c r="BY519">
        <v>12525.24</v>
      </c>
      <c r="BZ519" t="s">
        <v>126</v>
      </c>
      <c r="CA519" t="s">
        <v>1080</v>
      </c>
      <c r="CC519" t="s">
        <v>130</v>
      </c>
      <c r="CD519" s="5" t="s">
        <v>135</v>
      </c>
      <c r="CE519" t="s">
        <v>912</v>
      </c>
      <c r="CF519" s="3">
        <v>45985</v>
      </c>
      <c r="CI519">
        <v>2</v>
      </c>
      <c r="CJ519">
        <v>1</v>
      </c>
      <c r="CK519">
        <v>21</v>
      </c>
      <c r="CL519" t="s">
        <v>89</v>
      </c>
    </row>
    <row r="520" spans="1:90" x14ac:dyDescent="0.3">
      <c r="A520" t="s">
        <v>72</v>
      </c>
      <c r="B520" t="s">
        <v>73</v>
      </c>
      <c r="C520" t="s">
        <v>74</v>
      </c>
      <c r="E520" t="str">
        <f>"GAB2030050"</f>
        <v>GAB2030050</v>
      </c>
      <c r="F520" s="3">
        <v>45982</v>
      </c>
      <c r="G520">
        <v>202608</v>
      </c>
      <c r="H520" t="s">
        <v>75</v>
      </c>
      <c r="I520" t="s">
        <v>76</v>
      </c>
      <c r="J520" t="s">
        <v>77</v>
      </c>
      <c r="K520" t="s">
        <v>78</v>
      </c>
      <c r="L520" t="s">
        <v>169</v>
      </c>
      <c r="M520" t="s">
        <v>170</v>
      </c>
      <c r="N520" t="s">
        <v>1549</v>
      </c>
      <c r="O520" t="s">
        <v>124</v>
      </c>
      <c r="P520" t="str">
        <f>"INVOICE00122993 CT098432      "</f>
        <v xml:space="preserve">INVOICE00122993 CT098432      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21.38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1</v>
      </c>
      <c r="BI520">
        <v>0.7</v>
      </c>
      <c r="BJ520">
        <v>1.7</v>
      </c>
      <c r="BK520">
        <v>2</v>
      </c>
      <c r="BL520">
        <v>69.98</v>
      </c>
      <c r="BM520">
        <v>10.5</v>
      </c>
      <c r="BN520">
        <v>80.48</v>
      </c>
      <c r="BO520">
        <v>80.48</v>
      </c>
      <c r="BQ520" t="s">
        <v>1550</v>
      </c>
      <c r="BR520" t="s">
        <v>84</v>
      </c>
      <c r="BS520" s="3">
        <v>45985</v>
      </c>
      <c r="BT520" s="4">
        <v>0.3659722222222222</v>
      </c>
      <c r="BU520" t="s">
        <v>1551</v>
      </c>
      <c r="BV520" t="s">
        <v>86</v>
      </c>
      <c r="BY520">
        <v>8446.68</v>
      </c>
      <c r="BZ520" t="s">
        <v>126</v>
      </c>
      <c r="CA520" t="s">
        <v>1552</v>
      </c>
      <c r="CC520" t="s">
        <v>170</v>
      </c>
      <c r="CD520">
        <v>2193</v>
      </c>
      <c r="CE520" t="s">
        <v>1046</v>
      </c>
      <c r="CF520" s="3">
        <v>45986</v>
      </c>
      <c r="CI520">
        <v>1</v>
      </c>
      <c r="CJ520">
        <v>1</v>
      </c>
      <c r="CK520">
        <v>21</v>
      </c>
      <c r="CL520" t="s">
        <v>89</v>
      </c>
    </row>
    <row r="521" spans="1:90" x14ac:dyDescent="0.3">
      <c r="A521" t="s">
        <v>72</v>
      </c>
      <c r="B521" t="s">
        <v>73</v>
      </c>
      <c r="C521" t="s">
        <v>74</v>
      </c>
      <c r="E521" t="str">
        <f>"GAB2030051"</f>
        <v>GAB2030051</v>
      </c>
      <c r="F521" s="3">
        <v>45982</v>
      </c>
      <c r="G521">
        <v>202608</v>
      </c>
      <c r="H521" t="s">
        <v>75</v>
      </c>
      <c r="I521" t="s">
        <v>76</v>
      </c>
      <c r="J521" t="s">
        <v>77</v>
      </c>
      <c r="K521" t="s">
        <v>78</v>
      </c>
      <c r="L521" t="s">
        <v>230</v>
      </c>
      <c r="M521" t="s">
        <v>231</v>
      </c>
      <c r="N521" t="s">
        <v>1553</v>
      </c>
      <c r="O521" t="s">
        <v>124</v>
      </c>
      <c r="P521" t="str">
        <f>"INVOICE00122989 CT098428      "</f>
        <v xml:space="preserve">INVOICE00122989 CT098428      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26.73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1</v>
      </c>
      <c r="BI521">
        <v>0.1</v>
      </c>
      <c r="BJ521">
        <v>2.2000000000000002</v>
      </c>
      <c r="BK521">
        <v>2.5</v>
      </c>
      <c r="BL521">
        <v>87.47</v>
      </c>
      <c r="BM521">
        <v>13.12</v>
      </c>
      <c r="BN521">
        <v>100.59</v>
      </c>
      <c r="BO521">
        <v>100.59</v>
      </c>
      <c r="BR521" t="s">
        <v>84</v>
      </c>
      <c r="BS521" s="3">
        <v>45985</v>
      </c>
      <c r="BT521" s="4">
        <v>0.44791666666666669</v>
      </c>
      <c r="BU521" t="s">
        <v>1554</v>
      </c>
      <c r="BV521" t="s">
        <v>89</v>
      </c>
      <c r="BW521" t="s">
        <v>562</v>
      </c>
      <c r="BX521" t="s">
        <v>1450</v>
      </c>
      <c r="BY521">
        <v>10966.2</v>
      </c>
      <c r="BZ521" t="s">
        <v>126</v>
      </c>
      <c r="CA521">
        <v>8801165859086</v>
      </c>
      <c r="CC521" t="s">
        <v>231</v>
      </c>
      <c r="CD521" s="5" t="s">
        <v>1555</v>
      </c>
      <c r="CE521" t="s">
        <v>367</v>
      </c>
      <c r="CF521" s="3">
        <v>45985</v>
      </c>
      <c r="CI521">
        <v>1</v>
      </c>
      <c r="CJ521">
        <v>1</v>
      </c>
      <c r="CK521">
        <v>21</v>
      </c>
      <c r="CL521" t="s">
        <v>89</v>
      </c>
    </row>
    <row r="522" spans="1:90" x14ac:dyDescent="0.3">
      <c r="A522" t="s">
        <v>72</v>
      </c>
      <c r="B522" t="s">
        <v>73</v>
      </c>
      <c r="C522" t="s">
        <v>74</v>
      </c>
      <c r="E522" t="str">
        <f>"GAB2030052"</f>
        <v>GAB2030052</v>
      </c>
      <c r="F522" s="3">
        <v>45982</v>
      </c>
      <c r="G522">
        <v>202608</v>
      </c>
      <c r="H522" t="s">
        <v>75</v>
      </c>
      <c r="I522" t="s">
        <v>76</v>
      </c>
      <c r="J522" t="s">
        <v>77</v>
      </c>
      <c r="K522" t="s">
        <v>78</v>
      </c>
      <c r="L522" t="s">
        <v>75</v>
      </c>
      <c r="M522" t="s">
        <v>76</v>
      </c>
      <c r="N522" t="s">
        <v>1556</v>
      </c>
      <c r="O522" t="s">
        <v>124</v>
      </c>
      <c r="P522" t="str">
        <f>"INVOICE00122996 CT098434      "</f>
        <v xml:space="preserve">INVOICE00122996 CT098434      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16.7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1</v>
      </c>
      <c r="BI522">
        <v>0.4</v>
      </c>
      <c r="BJ522">
        <v>2.2000000000000002</v>
      </c>
      <c r="BK522">
        <v>3</v>
      </c>
      <c r="BL522">
        <v>54.66</v>
      </c>
      <c r="BM522">
        <v>8.1999999999999993</v>
      </c>
      <c r="BN522">
        <v>62.86</v>
      </c>
      <c r="BO522">
        <v>62.86</v>
      </c>
      <c r="BQ522" t="s">
        <v>1557</v>
      </c>
      <c r="BR522" t="s">
        <v>84</v>
      </c>
      <c r="BS522" s="3">
        <v>45985</v>
      </c>
      <c r="BT522" s="4">
        <v>0.42499999999999999</v>
      </c>
      <c r="BU522" t="s">
        <v>1558</v>
      </c>
      <c r="BV522" t="s">
        <v>86</v>
      </c>
      <c r="BY522">
        <v>11192.72</v>
      </c>
      <c r="BZ522" t="s">
        <v>126</v>
      </c>
      <c r="CA522" t="s">
        <v>523</v>
      </c>
      <c r="CC522" t="s">
        <v>76</v>
      </c>
      <c r="CD522">
        <v>7550</v>
      </c>
      <c r="CE522" t="s">
        <v>807</v>
      </c>
      <c r="CF522" s="3">
        <v>45986</v>
      </c>
      <c r="CI522">
        <v>1</v>
      </c>
      <c r="CJ522">
        <v>1</v>
      </c>
      <c r="CK522">
        <v>22</v>
      </c>
      <c r="CL522" t="s">
        <v>89</v>
      </c>
    </row>
    <row r="523" spans="1:90" x14ac:dyDescent="0.3">
      <c r="A523" t="s">
        <v>72</v>
      </c>
      <c r="B523" t="s">
        <v>73</v>
      </c>
      <c r="C523" t="s">
        <v>74</v>
      </c>
      <c r="E523" t="str">
        <f>"GAB2030054"</f>
        <v>GAB2030054</v>
      </c>
      <c r="F523" s="3">
        <v>45982</v>
      </c>
      <c r="G523">
        <v>202608</v>
      </c>
      <c r="H523" t="s">
        <v>75</v>
      </c>
      <c r="I523" t="s">
        <v>76</v>
      </c>
      <c r="J523" t="s">
        <v>77</v>
      </c>
      <c r="K523" t="s">
        <v>78</v>
      </c>
      <c r="L523" t="s">
        <v>860</v>
      </c>
      <c r="M523" t="s">
        <v>861</v>
      </c>
      <c r="N523" t="s">
        <v>862</v>
      </c>
      <c r="O523" t="s">
        <v>124</v>
      </c>
      <c r="P523" t="str">
        <f>"INVOICE00122999 CT098437      "</f>
        <v xml:space="preserve">INVOICE00122999 CT098437      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50.78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1</v>
      </c>
      <c r="BI523">
        <v>0.1</v>
      </c>
      <c r="BJ523">
        <v>2.1</v>
      </c>
      <c r="BK523">
        <v>2.5</v>
      </c>
      <c r="BL523">
        <v>166.2</v>
      </c>
      <c r="BM523">
        <v>24.93</v>
      </c>
      <c r="BN523">
        <v>191.13</v>
      </c>
      <c r="BO523">
        <v>191.13</v>
      </c>
      <c r="BQ523" t="s">
        <v>1559</v>
      </c>
      <c r="BR523" t="s">
        <v>84</v>
      </c>
      <c r="BS523" s="3">
        <v>45985</v>
      </c>
      <c r="BT523" s="4">
        <v>0.53055555555555556</v>
      </c>
      <c r="BU523" t="s">
        <v>1560</v>
      </c>
      <c r="BV523" t="s">
        <v>86</v>
      </c>
      <c r="BY523">
        <v>10536.23</v>
      </c>
      <c r="BZ523" t="s">
        <v>126</v>
      </c>
      <c r="CA523" t="s">
        <v>867</v>
      </c>
      <c r="CC523" t="s">
        <v>861</v>
      </c>
      <c r="CD523" s="5" t="s">
        <v>868</v>
      </c>
      <c r="CE523" t="s">
        <v>367</v>
      </c>
      <c r="CF523" s="3">
        <v>45985</v>
      </c>
      <c r="CI523">
        <v>2</v>
      </c>
      <c r="CJ523">
        <v>1</v>
      </c>
      <c r="CK523">
        <v>23</v>
      </c>
      <c r="CL523" t="s">
        <v>89</v>
      </c>
    </row>
    <row r="524" spans="1:90" x14ac:dyDescent="0.3">
      <c r="A524" t="s">
        <v>72</v>
      </c>
      <c r="B524" t="s">
        <v>73</v>
      </c>
      <c r="C524" t="s">
        <v>74</v>
      </c>
      <c r="E524" t="str">
        <f>"GAB2030055"</f>
        <v>GAB2030055</v>
      </c>
      <c r="F524" s="3">
        <v>45982</v>
      </c>
      <c r="G524">
        <v>202608</v>
      </c>
      <c r="H524" t="s">
        <v>75</v>
      </c>
      <c r="I524" t="s">
        <v>76</v>
      </c>
      <c r="J524" t="s">
        <v>77</v>
      </c>
      <c r="K524" t="s">
        <v>78</v>
      </c>
      <c r="L524" t="s">
        <v>75</v>
      </c>
      <c r="M524" t="s">
        <v>76</v>
      </c>
      <c r="N524" t="s">
        <v>386</v>
      </c>
      <c r="O524" t="s">
        <v>124</v>
      </c>
      <c r="P524" t="str">
        <f>"INVOICE00123000 CT098441      "</f>
        <v xml:space="preserve">INVOICE00123000 CT098441      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16.7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1</v>
      </c>
      <c r="BI524">
        <v>0.2</v>
      </c>
      <c r="BJ524">
        <v>2.5</v>
      </c>
      <c r="BK524">
        <v>3</v>
      </c>
      <c r="BL524">
        <v>54.66</v>
      </c>
      <c r="BM524">
        <v>8.1999999999999993</v>
      </c>
      <c r="BN524">
        <v>62.86</v>
      </c>
      <c r="BO524">
        <v>62.86</v>
      </c>
      <c r="BQ524" t="s">
        <v>387</v>
      </c>
      <c r="BR524" t="s">
        <v>84</v>
      </c>
      <c r="BS524" s="3">
        <v>45985</v>
      </c>
      <c r="BT524" s="4">
        <v>0.38194444444444442</v>
      </c>
      <c r="BU524" t="s">
        <v>1561</v>
      </c>
      <c r="BV524" t="s">
        <v>86</v>
      </c>
      <c r="BY524">
        <v>12587.4</v>
      </c>
      <c r="BZ524" t="s">
        <v>126</v>
      </c>
      <c r="CC524" t="s">
        <v>76</v>
      </c>
      <c r="CD524">
        <v>7800</v>
      </c>
      <c r="CE524" t="s">
        <v>128</v>
      </c>
      <c r="CF524" s="3">
        <v>45986</v>
      </c>
      <c r="CI524">
        <v>1</v>
      </c>
      <c r="CJ524">
        <v>1</v>
      </c>
      <c r="CK524">
        <v>22</v>
      </c>
      <c r="CL524" t="s">
        <v>89</v>
      </c>
    </row>
    <row r="525" spans="1:90" x14ac:dyDescent="0.3">
      <c r="A525" t="s">
        <v>72</v>
      </c>
      <c r="B525" t="s">
        <v>73</v>
      </c>
      <c r="C525" t="s">
        <v>74</v>
      </c>
      <c r="E525" t="str">
        <f>"GAB2030056"</f>
        <v>GAB2030056</v>
      </c>
      <c r="F525" s="3">
        <v>45982</v>
      </c>
      <c r="G525">
        <v>202608</v>
      </c>
      <c r="H525" t="s">
        <v>75</v>
      </c>
      <c r="I525" t="s">
        <v>76</v>
      </c>
      <c r="J525" t="s">
        <v>77</v>
      </c>
      <c r="K525" t="s">
        <v>78</v>
      </c>
      <c r="L525" t="s">
        <v>169</v>
      </c>
      <c r="M525" t="s">
        <v>170</v>
      </c>
      <c r="N525" t="s">
        <v>533</v>
      </c>
      <c r="O525" t="s">
        <v>124</v>
      </c>
      <c r="P525" t="str">
        <f>"INVOICE00041772 ORDGS038402   "</f>
        <v xml:space="preserve">INVOICE00041772 ORDGS038402   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21.38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1</v>
      </c>
      <c r="BI525">
        <v>0.3</v>
      </c>
      <c r="BJ525">
        <v>1.9</v>
      </c>
      <c r="BK525">
        <v>2</v>
      </c>
      <c r="BL525">
        <v>69.98</v>
      </c>
      <c r="BM525">
        <v>10.5</v>
      </c>
      <c r="BN525">
        <v>80.48</v>
      </c>
      <c r="BO525">
        <v>80.48</v>
      </c>
      <c r="BQ525" t="s">
        <v>118</v>
      </c>
      <c r="BR525" t="s">
        <v>84</v>
      </c>
      <c r="BS525" s="3">
        <v>45985</v>
      </c>
      <c r="BT525" s="4">
        <v>0.36805555555555558</v>
      </c>
      <c r="BU525" t="s">
        <v>1504</v>
      </c>
      <c r="BV525" t="s">
        <v>86</v>
      </c>
      <c r="BY525">
        <v>9465.6</v>
      </c>
      <c r="BZ525" t="s">
        <v>126</v>
      </c>
      <c r="CA525" t="s">
        <v>1505</v>
      </c>
      <c r="CC525" t="s">
        <v>170</v>
      </c>
      <c r="CD525">
        <v>2191</v>
      </c>
      <c r="CE525" t="s">
        <v>843</v>
      </c>
      <c r="CF525" s="3">
        <v>45986</v>
      </c>
      <c r="CI525">
        <v>1</v>
      </c>
      <c r="CJ525">
        <v>1</v>
      </c>
      <c r="CK525">
        <v>21</v>
      </c>
      <c r="CL525" t="s">
        <v>89</v>
      </c>
    </row>
    <row r="526" spans="1:90" x14ac:dyDescent="0.3">
      <c r="A526" t="s">
        <v>72</v>
      </c>
      <c r="B526" t="s">
        <v>73</v>
      </c>
      <c r="C526" t="s">
        <v>74</v>
      </c>
      <c r="E526" t="str">
        <f>"GAB2030057"</f>
        <v>GAB2030057</v>
      </c>
      <c r="F526" s="3">
        <v>45982</v>
      </c>
      <c r="G526">
        <v>202608</v>
      </c>
      <c r="H526" t="s">
        <v>75</v>
      </c>
      <c r="I526" t="s">
        <v>76</v>
      </c>
      <c r="J526" t="s">
        <v>77</v>
      </c>
      <c r="K526" t="s">
        <v>78</v>
      </c>
      <c r="L526" t="s">
        <v>230</v>
      </c>
      <c r="M526" t="s">
        <v>231</v>
      </c>
      <c r="N526" t="s">
        <v>1562</v>
      </c>
      <c r="O526" t="s">
        <v>124</v>
      </c>
      <c r="P526" t="str">
        <f>"INVOICE00041773 ORDGS038393   "</f>
        <v xml:space="preserve">INVOICE00041773 ORDGS038393   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26.73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1</v>
      </c>
      <c r="BI526">
        <v>0.3</v>
      </c>
      <c r="BJ526">
        <v>2.4</v>
      </c>
      <c r="BK526">
        <v>2.5</v>
      </c>
      <c r="BL526">
        <v>87.47</v>
      </c>
      <c r="BM526">
        <v>13.12</v>
      </c>
      <c r="BN526">
        <v>100.59</v>
      </c>
      <c r="BO526">
        <v>100.59</v>
      </c>
      <c r="BQ526" t="s">
        <v>1563</v>
      </c>
      <c r="BR526" t="s">
        <v>84</v>
      </c>
      <c r="BS526" s="3">
        <v>45985</v>
      </c>
      <c r="BT526" s="4">
        <v>0.37291666666666667</v>
      </c>
      <c r="BU526" t="s">
        <v>1564</v>
      </c>
      <c r="BV526" t="s">
        <v>86</v>
      </c>
      <c r="BY526">
        <v>12058.2</v>
      </c>
      <c r="BZ526" t="s">
        <v>126</v>
      </c>
      <c r="CA526">
        <v>9107126013089</v>
      </c>
      <c r="CC526" t="s">
        <v>231</v>
      </c>
      <c r="CD526" s="5" t="s">
        <v>382</v>
      </c>
      <c r="CE526" t="s">
        <v>814</v>
      </c>
      <c r="CF526" s="3">
        <v>45985</v>
      </c>
      <c r="CI526">
        <v>1</v>
      </c>
      <c r="CJ526">
        <v>1</v>
      </c>
      <c r="CK526">
        <v>21</v>
      </c>
      <c r="CL526" t="s">
        <v>89</v>
      </c>
    </row>
    <row r="527" spans="1:90" x14ac:dyDescent="0.3">
      <c r="A527" t="s">
        <v>72</v>
      </c>
      <c r="B527" t="s">
        <v>73</v>
      </c>
      <c r="C527" t="s">
        <v>74</v>
      </c>
      <c r="E527" t="str">
        <f>"GAB2030058"</f>
        <v>GAB2030058</v>
      </c>
      <c r="F527" s="3">
        <v>45982</v>
      </c>
      <c r="G527">
        <v>202608</v>
      </c>
      <c r="H527" t="s">
        <v>75</v>
      </c>
      <c r="I527" t="s">
        <v>76</v>
      </c>
      <c r="J527" t="s">
        <v>77</v>
      </c>
      <c r="K527" t="s">
        <v>78</v>
      </c>
      <c r="L527" t="s">
        <v>230</v>
      </c>
      <c r="M527" t="s">
        <v>231</v>
      </c>
      <c r="N527" t="s">
        <v>453</v>
      </c>
      <c r="O527" t="s">
        <v>124</v>
      </c>
      <c r="P527" t="str">
        <f>"INVOICE00041774 ORDGS038411   "</f>
        <v xml:space="preserve">INVOICE00041774 ORDGS038411   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26.73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1</v>
      </c>
      <c r="BI527">
        <v>0.2</v>
      </c>
      <c r="BJ527">
        <v>2.1</v>
      </c>
      <c r="BK527">
        <v>2.5</v>
      </c>
      <c r="BL527">
        <v>87.47</v>
      </c>
      <c r="BM527">
        <v>13.12</v>
      </c>
      <c r="BN527">
        <v>100.59</v>
      </c>
      <c r="BO527">
        <v>100.59</v>
      </c>
      <c r="BQ527" t="s">
        <v>1565</v>
      </c>
      <c r="BR527" t="s">
        <v>84</v>
      </c>
      <c r="BS527" s="3">
        <v>45985</v>
      </c>
      <c r="BT527" s="4">
        <v>0.40208333333333335</v>
      </c>
      <c r="BU527" t="s">
        <v>1566</v>
      </c>
      <c r="BV527" t="s">
        <v>86</v>
      </c>
      <c r="BY527">
        <v>10298.43</v>
      </c>
      <c r="BZ527" t="s">
        <v>126</v>
      </c>
      <c r="CA527">
        <v>8502185928089</v>
      </c>
      <c r="CC527" t="s">
        <v>231</v>
      </c>
      <c r="CD527" s="5" t="s">
        <v>455</v>
      </c>
      <c r="CE527" t="s">
        <v>814</v>
      </c>
      <c r="CF527" s="3">
        <v>45985</v>
      </c>
      <c r="CI527">
        <v>1</v>
      </c>
      <c r="CJ527">
        <v>1</v>
      </c>
      <c r="CK527">
        <v>21</v>
      </c>
      <c r="CL527" t="s">
        <v>89</v>
      </c>
    </row>
    <row r="528" spans="1:90" x14ac:dyDescent="0.3">
      <c r="A528" t="s">
        <v>72</v>
      </c>
      <c r="B528" t="s">
        <v>73</v>
      </c>
      <c r="C528" t="s">
        <v>74</v>
      </c>
      <c r="E528" t="str">
        <f>"GAB2030060"</f>
        <v>GAB2030060</v>
      </c>
      <c r="F528" s="3">
        <v>45982</v>
      </c>
      <c r="G528">
        <v>202608</v>
      </c>
      <c r="H528" t="s">
        <v>75</v>
      </c>
      <c r="I528" t="s">
        <v>76</v>
      </c>
      <c r="J528" t="s">
        <v>77</v>
      </c>
      <c r="K528" t="s">
        <v>78</v>
      </c>
      <c r="L528" t="s">
        <v>1567</v>
      </c>
      <c r="M528" t="s">
        <v>1568</v>
      </c>
      <c r="N528" t="s">
        <v>1569</v>
      </c>
      <c r="O528" t="s">
        <v>124</v>
      </c>
      <c r="P528" t="str">
        <f>"INVOICE00041776 ORDGS038403   "</f>
        <v xml:space="preserve">INVOICE00041776 ORDGS038403   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37.4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1</v>
      </c>
      <c r="BI528">
        <v>0.3</v>
      </c>
      <c r="BJ528">
        <v>2.2000000000000002</v>
      </c>
      <c r="BK528">
        <v>2.5</v>
      </c>
      <c r="BL528">
        <v>122.39</v>
      </c>
      <c r="BM528">
        <v>18.36</v>
      </c>
      <c r="BN528">
        <v>140.75</v>
      </c>
      <c r="BO528">
        <v>140.75</v>
      </c>
      <c r="BQ528" t="s">
        <v>185</v>
      </c>
      <c r="BR528" t="s">
        <v>84</v>
      </c>
      <c r="BS528" s="3">
        <v>45985</v>
      </c>
      <c r="BT528" s="4">
        <v>0.43125000000000002</v>
      </c>
      <c r="BU528" t="s">
        <v>1570</v>
      </c>
      <c r="BV528" t="s">
        <v>86</v>
      </c>
      <c r="BY528">
        <v>11211.2</v>
      </c>
      <c r="BZ528" t="s">
        <v>126</v>
      </c>
      <c r="CA528" t="s">
        <v>1571</v>
      </c>
      <c r="CC528" t="s">
        <v>1568</v>
      </c>
      <c r="CD528">
        <v>7100</v>
      </c>
      <c r="CE528" t="s">
        <v>953</v>
      </c>
      <c r="CF528" s="3">
        <v>45986</v>
      </c>
      <c r="CI528">
        <v>1</v>
      </c>
      <c r="CJ528">
        <v>1</v>
      </c>
      <c r="CK528">
        <v>24</v>
      </c>
      <c r="CL528" t="s">
        <v>89</v>
      </c>
    </row>
    <row r="529" spans="1:90" x14ac:dyDescent="0.3">
      <c r="A529" t="s">
        <v>72</v>
      </c>
      <c r="B529" t="s">
        <v>73</v>
      </c>
      <c r="C529" t="s">
        <v>74</v>
      </c>
      <c r="E529" t="str">
        <f>"GAB2030061"</f>
        <v>GAB2030061</v>
      </c>
      <c r="F529" s="3">
        <v>45982</v>
      </c>
      <c r="G529">
        <v>202608</v>
      </c>
      <c r="H529" t="s">
        <v>75</v>
      </c>
      <c r="I529" t="s">
        <v>76</v>
      </c>
      <c r="J529" t="s">
        <v>77</v>
      </c>
      <c r="K529" t="s">
        <v>78</v>
      </c>
      <c r="L529" t="s">
        <v>90</v>
      </c>
      <c r="M529" t="s">
        <v>91</v>
      </c>
      <c r="N529" t="s">
        <v>839</v>
      </c>
      <c r="O529" t="s">
        <v>124</v>
      </c>
      <c r="P529" t="str">
        <f>"INVOICE00041777 ORDGS038381   "</f>
        <v xml:space="preserve">INVOICE00041777 ORDGS038381   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26.73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1</v>
      </c>
      <c r="BI529">
        <v>0.3</v>
      </c>
      <c r="BJ529">
        <v>2.5</v>
      </c>
      <c r="BK529">
        <v>2.5</v>
      </c>
      <c r="BL529">
        <v>87.47</v>
      </c>
      <c r="BM529">
        <v>13.12</v>
      </c>
      <c r="BN529">
        <v>100.59</v>
      </c>
      <c r="BO529">
        <v>100.59</v>
      </c>
      <c r="BQ529" t="s">
        <v>1572</v>
      </c>
      <c r="BR529" t="s">
        <v>84</v>
      </c>
      <c r="BS529" s="3">
        <v>45985</v>
      </c>
      <c r="BT529" s="4">
        <v>0.40277777777777779</v>
      </c>
      <c r="BU529" t="s">
        <v>1573</v>
      </c>
      <c r="BV529" t="s">
        <v>86</v>
      </c>
      <c r="BY529">
        <v>12736.97</v>
      </c>
      <c r="BZ529" t="s">
        <v>126</v>
      </c>
      <c r="CA529" t="s">
        <v>842</v>
      </c>
      <c r="CC529" t="s">
        <v>91</v>
      </c>
      <c r="CD529">
        <v>3629</v>
      </c>
      <c r="CE529" t="s">
        <v>912</v>
      </c>
      <c r="CF529" s="3">
        <v>45986</v>
      </c>
      <c r="CI529">
        <v>2</v>
      </c>
      <c r="CJ529">
        <v>1</v>
      </c>
      <c r="CK529">
        <v>21</v>
      </c>
      <c r="CL529" t="s">
        <v>89</v>
      </c>
    </row>
    <row r="530" spans="1:90" x14ac:dyDescent="0.3">
      <c r="A530" t="s">
        <v>72</v>
      </c>
      <c r="B530" t="s">
        <v>73</v>
      </c>
      <c r="C530" t="s">
        <v>74</v>
      </c>
      <c r="E530" t="str">
        <f>"GAB2030063"</f>
        <v>GAB2030063</v>
      </c>
      <c r="F530" s="3">
        <v>45982</v>
      </c>
      <c r="G530">
        <v>202608</v>
      </c>
      <c r="H530" t="s">
        <v>75</v>
      </c>
      <c r="I530" t="s">
        <v>76</v>
      </c>
      <c r="J530" t="s">
        <v>77</v>
      </c>
      <c r="K530" t="s">
        <v>78</v>
      </c>
      <c r="L530" t="s">
        <v>129</v>
      </c>
      <c r="M530" t="s">
        <v>130</v>
      </c>
      <c r="N530" t="s">
        <v>131</v>
      </c>
      <c r="O530" t="s">
        <v>124</v>
      </c>
      <c r="P530" t="str">
        <f>"INVOICE001223011 CT098443     "</f>
        <v xml:space="preserve">INVOICE001223011 CT098443     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21.38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1</v>
      </c>
      <c r="BI530">
        <v>0.1</v>
      </c>
      <c r="BJ530">
        <v>1.6</v>
      </c>
      <c r="BK530">
        <v>2</v>
      </c>
      <c r="BL530">
        <v>69.98</v>
      </c>
      <c r="BM530">
        <v>10.5</v>
      </c>
      <c r="BN530">
        <v>80.48</v>
      </c>
      <c r="BO530">
        <v>80.48</v>
      </c>
      <c r="BQ530" t="s">
        <v>132</v>
      </c>
      <c r="BR530" t="s">
        <v>84</v>
      </c>
      <c r="BS530" s="3">
        <v>45985</v>
      </c>
      <c r="BT530" s="4">
        <v>0.39583333333333331</v>
      </c>
      <c r="BU530" t="s">
        <v>1548</v>
      </c>
      <c r="BV530" t="s">
        <v>86</v>
      </c>
      <c r="BY530">
        <v>8177.6</v>
      </c>
      <c r="BZ530" t="s">
        <v>126</v>
      </c>
      <c r="CA530" t="s">
        <v>1080</v>
      </c>
      <c r="CC530" t="s">
        <v>130</v>
      </c>
      <c r="CD530" s="5" t="s">
        <v>135</v>
      </c>
      <c r="CE530" t="s">
        <v>367</v>
      </c>
      <c r="CF530" s="3">
        <v>45985</v>
      </c>
      <c r="CI530">
        <v>2</v>
      </c>
      <c r="CJ530">
        <v>1</v>
      </c>
      <c r="CK530">
        <v>21</v>
      </c>
      <c r="CL530" t="s">
        <v>89</v>
      </c>
    </row>
    <row r="531" spans="1:90" x14ac:dyDescent="0.3">
      <c r="A531" t="s">
        <v>72</v>
      </c>
      <c r="B531" t="s">
        <v>73</v>
      </c>
      <c r="C531" t="s">
        <v>74</v>
      </c>
      <c r="E531" t="str">
        <f>"GAB2030064"</f>
        <v>GAB2030064</v>
      </c>
      <c r="F531" s="3">
        <v>45982</v>
      </c>
      <c r="G531">
        <v>202608</v>
      </c>
      <c r="H531" t="s">
        <v>75</v>
      </c>
      <c r="I531" t="s">
        <v>76</v>
      </c>
      <c r="J531" t="s">
        <v>77</v>
      </c>
      <c r="K531" t="s">
        <v>78</v>
      </c>
      <c r="L531" t="s">
        <v>75</v>
      </c>
      <c r="M531" t="s">
        <v>76</v>
      </c>
      <c r="N531" t="s">
        <v>1574</v>
      </c>
      <c r="O531" t="s">
        <v>124</v>
      </c>
      <c r="P531" t="str">
        <f>"INVOICE00123012 CT098446      "</f>
        <v xml:space="preserve">INVOICE00123012 CT098446      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16.7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1</v>
      </c>
      <c r="BI531">
        <v>0.1</v>
      </c>
      <c r="BJ531">
        <v>2.1</v>
      </c>
      <c r="BK531">
        <v>3</v>
      </c>
      <c r="BL531">
        <v>54.66</v>
      </c>
      <c r="BM531">
        <v>8.1999999999999993</v>
      </c>
      <c r="BN531">
        <v>62.86</v>
      </c>
      <c r="BO531">
        <v>62.86</v>
      </c>
      <c r="BQ531" t="s">
        <v>1575</v>
      </c>
      <c r="BR531" t="s">
        <v>84</v>
      </c>
      <c r="BS531" s="3">
        <v>45985</v>
      </c>
      <c r="BT531" s="4">
        <v>0.45763888888888887</v>
      </c>
      <c r="BU531" t="s">
        <v>1576</v>
      </c>
      <c r="BV531" t="s">
        <v>86</v>
      </c>
      <c r="BY531">
        <v>10703.25</v>
      </c>
      <c r="BZ531" t="s">
        <v>126</v>
      </c>
      <c r="CA531" t="s">
        <v>1577</v>
      </c>
      <c r="CC531" t="s">
        <v>76</v>
      </c>
      <c r="CD531">
        <v>7975</v>
      </c>
      <c r="CE531" t="s">
        <v>367</v>
      </c>
      <c r="CF531" s="3">
        <v>45986</v>
      </c>
      <c r="CI531">
        <v>1</v>
      </c>
      <c r="CJ531">
        <v>1</v>
      </c>
      <c r="CK531">
        <v>22</v>
      </c>
      <c r="CL531" t="s">
        <v>89</v>
      </c>
    </row>
    <row r="532" spans="1:90" x14ac:dyDescent="0.3">
      <c r="A532" t="s">
        <v>72</v>
      </c>
      <c r="B532" t="s">
        <v>73</v>
      </c>
      <c r="C532" t="s">
        <v>74</v>
      </c>
      <c r="E532" t="str">
        <f>"GAB2030065"</f>
        <v>GAB2030065</v>
      </c>
      <c r="F532" s="3">
        <v>45982</v>
      </c>
      <c r="G532">
        <v>202608</v>
      </c>
      <c r="H532" t="s">
        <v>75</v>
      </c>
      <c r="I532" t="s">
        <v>76</v>
      </c>
      <c r="J532" t="s">
        <v>77</v>
      </c>
      <c r="K532" t="s">
        <v>78</v>
      </c>
      <c r="L532" t="s">
        <v>212</v>
      </c>
      <c r="M532" t="s">
        <v>213</v>
      </c>
      <c r="N532" t="s">
        <v>214</v>
      </c>
      <c r="O532" t="s">
        <v>124</v>
      </c>
      <c r="P532" t="str">
        <f>"INVOICE00123019 CT098444      "</f>
        <v xml:space="preserve">INVOICE00123019 CT098444      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32.07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1</v>
      </c>
      <c r="BI532">
        <v>0.3</v>
      </c>
      <c r="BJ532">
        <v>2.7</v>
      </c>
      <c r="BK532">
        <v>3</v>
      </c>
      <c r="BL532">
        <v>104.95</v>
      </c>
      <c r="BM532">
        <v>15.74</v>
      </c>
      <c r="BN532">
        <v>120.69</v>
      </c>
      <c r="BO532">
        <v>120.69</v>
      </c>
      <c r="BR532" t="s">
        <v>84</v>
      </c>
      <c r="BS532" s="3">
        <v>45985</v>
      </c>
      <c r="BT532" s="4">
        <v>0.5</v>
      </c>
      <c r="BU532" t="s">
        <v>1578</v>
      </c>
      <c r="BV532" t="s">
        <v>89</v>
      </c>
      <c r="BW532" t="s">
        <v>216</v>
      </c>
      <c r="BX532" t="s">
        <v>217</v>
      </c>
      <c r="BY532">
        <v>13287</v>
      </c>
      <c r="BZ532" t="s">
        <v>126</v>
      </c>
      <c r="CC532" t="s">
        <v>213</v>
      </c>
      <c r="CD532">
        <v>5200</v>
      </c>
      <c r="CE532" t="s">
        <v>953</v>
      </c>
      <c r="CF532" s="3">
        <v>45986</v>
      </c>
      <c r="CI532">
        <v>1</v>
      </c>
      <c r="CJ532">
        <v>1</v>
      </c>
      <c r="CK532">
        <v>21</v>
      </c>
      <c r="CL532" t="s">
        <v>89</v>
      </c>
    </row>
    <row r="533" spans="1:90" x14ac:dyDescent="0.3">
      <c r="A533" t="s">
        <v>72</v>
      </c>
      <c r="B533" t="s">
        <v>73</v>
      </c>
      <c r="C533" t="s">
        <v>74</v>
      </c>
      <c r="E533" t="str">
        <f>"GAB2030066"</f>
        <v>GAB2030066</v>
      </c>
      <c r="F533" s="3">
        <v>45982</v>
      </c>
      <c r="G533">
        <v>202608</v>
      </c>
      <c r="H533" t="s">
        <v>75</v>
      </c>
      <c r="I533" t="s">
        <v>76</v>
      </c>
      <c r="J533" t="s">
        <v>77</v>
      </c>
      <c r="K533" t="s">
        <v>78</v>
      </c>
      <c r="L533" t="s">
        <v>374</v>
      </c>
      <c r="M533" t="s">
        <v>375</v>
      </c>
      <c r="N533" t="s">
        <v>376</v>
      </c>
      <c r="O533" t="s">
        <v>124</v>
      </c>
      <c r="P533" t="str">
        <f>"INVOICE00123018 CT098445      "</f>
        <v xml:space="preserve">INVOICE00123018 CT098445      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21.38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1</v>
      </c>
      <c r="BI533">
        <v>0.1</v>
      </c>
      <c r="BJ533">
        <v>1.7</v>
      </c>
      <c r="BK533">
        <v>2</v>
      </c>
      <c r="BL533">
        <v>69.98</v>
      </c>
      <c r="BM533">
        <v>10.5</v>
      </c>
      <c r="BN533">
        <v>80.48</v>
      </c>
      <c r="BO533">
        <v>80.48</v>
      </c>
      <c r="BR533" t="s">
        <v>84</v>
      </c>
      <c r="BS533" s="3">
        <v>45985</v>
      </c>
      <c r="BT533" s="4">
        <v>0.41666666666666669</v>
      </c>
      <c r="BU533" t="s">
        <v>1579</v>
      </c>
      <c r="BV533" t="s">
        <v>86</v>
      </c>
      <c r="BY533">
        <v>8561.2099999999991</v>
      </c>
      <c r="BZ533" t="s">
        <v>126</v>
      </c>
      <c r="CA533" t="s">
        <v>1580</v>
      </c>
      <c r="CC533" t="s">
        <v>375</v>
      </c>
      <c r="CD533">
        <v>2146</v>
      </c>
      <c r="CE533" t="s">
        <v>367</v>
      </c>
      <c r="CF533" s="3">
        <v>45985</v>
      </c>
      <c r="CI533">
        <v>1</v>
      </c>
      <c r="CJ533">
        <v>1</v>
      </c>
      <c r="CK533">
        <v>21</v>
      </c>
      <c r="CL533" t="s">
        <v>89</v>
      </c>
    </row>
    <row r="534" spans="1:90" x14ac:dyDescent="0.3">
      <c r="A534" t="s">
        <v>72</v>
      </c>
      <c r="B534" t="s">
        <v>73</v>
      </c>
      <c r="C534" t="s">
        <v>74</v>
      </c>
      <c r="E534" t="str">
        <f>"GAB2030068"</f>
        <v>GAB2030068</v>
      </c>
      <c r="F534" s="3">
        <v>45985</v>
      </c>
      <c r="G534">
        <v>202608</v>
      </c>
      <c r="H534" t="s">
        <v>75</v>
      </c>
      <c r="I534" t="s">
        <v>76</v>
      </c>
      <c r="J534" t="s">
        <v>77</v>
      </c>
      <c r="K534" t="s">
        <v>78</v>
      </c>
      <c r="L534" t="s">
        <v>90</v>
      </c>
      <c r="M534" t="s">
        <v>91</v>
      </c>
      <c r="N534" t="s">
        <v>1241</v>
      </c>
      <c r="O534" t="s">
        <v>82</v>
      </c>
      <c r="P534" t="str">
        <f>"INVOICE00122022 CT098451      "</f>
        <v xml:space="preserve">INVOICE00122022 CT098451      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5.87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41.35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1</v>
      </c>
      <c r="BI534">
        <v>1.8</v>
      </c>
      <c r="BJ534">
        <v>6.4</v>
      </c>
      <c r="BK534">
        <v>7</v>
      </c>
      <c r="BL534">
        <v>141.19999999999999</v>
      </c>
      <c r="BM534">
        <v>21.18</v>
      </c>
      <c r="BN534">
        <v>162.38</v>
      </c>
      <c r="BO534">
        <v>162.38</v>
      </c>
      <c r="BR534" t="s">
        <v>84</v>
      </c>
      <c r="BS534" s="3">
        <v>45987</v>
      </c>
      <c r="BT534" s="4">
        <v>0.65486111111111112</v>
      </c>
      <c r="BU534" t="s">
        <v>1581</v>
      </c>
      <c r="BV534" t="s">
        <v>86</v>
      </c>
      <c r="BY534">
        <v>32240</v>
      </c>
      <c r="CA534" t="s">
        <v>1582</v>
      </c>
      <c r="CC534" t="s">
        <v>91</v>
      </c>
      <c r="CD534">
        <v>4001</v>
      </c>
      <c r="CE534" t="s">
        <v>88</v>
      </c>
      <c r="CF534" s="3">
        <v>45987</v>
      </c>
      <c r="CI534">
        <v>3</v>
      </c>
      <c r="CJ534">
        <v>2</v>
      </c>
      <c r="CK534">
        <v>41</v>
      </c>
      <c r="CL534" t="s">
        <v>89</v>
      </c>
    </row>
    <row r="535" spans="1:90" x14ac:dyDescent="0.3">
      <c r="A535" t="s">
        <v>72</v>
      </c>
      <c r="B535" t="s">
        <v>73</v>
      </c>
      <c r="C535" t="s">
        <v>74</v>
      </c>
      <c r="E535" t="str">
        <f>"GAB2030079"</f>
        <v>GAB2030079</v>
      </c>
      <c r="F535" s="3">
        <v>45985</v>
      </c>
      <c r="G535">
        <v>202608</v>
      </c>
      <c r="H535" t="s">
        <v>75</v>
      </c>
      <c r="I535" t="s">
        <v>76</v>
      </c>
      <c r="J535" t="s">
        <v>77</v>
      </c>
      <c r="K535" t="s">
        <v>78</v>
      </c>
      <c r="L535" t="s">
        <v>650</v>
      </c>
      <c r="M535" t="s">
        <v>651</v>
      </c>
      <c r="N535" t="s">
        <v>1002</v>
      </c>
      <c r="O535" t="s">
        <v>82</v>
      </c>
      <c r="P535" t="str">
        <f>"INVOICE00123041 00123040 CT098"</f>
        <v>INVOICE00123041 00123040 CT098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5.87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91.09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1</v>
      </c>
      <c r="BI535">
        <v>9.8000000000000007</v>
      </c>
      <c r="BJ535">
        <v>25.7</v>
      </c>
      <c r="BK535">
        <v>26</v>
      </c>
      <c r="BL535">
        <v>303.98</v>
      </c>
      <c r="BM535">
        <v>45.6</v>
      </c>
      <c r="BN535">
        <v>349.58</v>
      </c>
      <c r="BO535">
        <v>349.58</v>
      </c>
      <c r="BQ535" t="s">
        <v>118</v>
      </c>
      <c r="BR535" t="s">
        <v>84</v>
      </c>
      <c r="BS535" s="3">
        <v>45987</v>
      </c>
      <c r="BT535" s="4">
        <v>0.4375</v>
      </c>
      <c r="BU535" t="s">
        <v>1583</v>
      </c>
      <c r="BV535" t="s">
        <v>86</v>
      </c>
      <c r="BY535">
        <v>128619</v>
      </c>
      <c r="CC535" t="s">
        <v>651</v>
      </c>
      <c r="CD535">
        <v>2571</v>
      </c>
      <c r="CE535" t="s">
        <v>103</v>
      </c>
      <c r="CF535" s="3">
        <v>45988</v>
      </c>
      <c r="CI535">
        <v>2</v>
      </c>
      <c r="CJ535">
        <v>2</v>
      </c>
      <c r="CK535">
        <v>43</v>
      </c>
      <c r="CL535" t="s">
        <v>89</v>
      </c>
    </row>
    <row r="536" spans="1:90" x14ac:dyDescent="0.3">
      <c r="A536" t="s">
        <v>72</v>
      </c>
      <c r="B536" t="s">
        <v>73</v>
      </c>
      <c r="C536" t="s">
        <v>74</v>
      </c>
      <c r="E536" t="str">
        <f>"GAB2030081"</f>
        <v>GAB2030081</v>
      </c>
      <c r="F536" s="3">
        <v>45985</v>
      </c>
      <c r="G536">
        <v>202608</v>
      </c>
      <c r="H536" t="s">
        <v>75</v>
      </c>
      <c r="I536" t="s">
        <v>76</v>
      </c>
      <c r="J536" t="s">
        <v>77</v>
      </c>
      <c r="K536" t="s">
        <v>78</v>
      </c>
      <c r="L536" t="s">
        <v>429</v>
      </c>
      <c r="M536" t="s">
        <v>430</v>
      </c>
      <c r="N536" t="s">
        <v>1584</v>
      </c>
      <c r="O536" t="s">
        <v>82</v>
      </c>
      <c r="P536" t="str">
        <f>"INVOICE00123042 CT098278      "</f>
        <v xml:space="preserve">INVOICE00123042 CT098278      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5.87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84.03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5</v>
      </c>
      <c r="BI536">
        <v>8.9</v>
      </c>
      <c r="BJ536">
        <v>39.4</v>
      </c>
      <c r="BK536">
        <v>40</v>
      </c>
      <c r="BL536">
        <v>280.88</v>
      </c>
      <c r="BM536">
        <v>42.13</v>
      </c>
      <c r="BN536">
        <v>323.01</v>
      </c>
      <c r="BO536">
        <v>323.01</v>
      </c>
      <c r="BQ536" t="s">
        <v>1415</v>
      </c>
      <c r="BR536" t="s">
        <v>84</v>
      </c>
      <c r="BS536" t="s">
        <v>305</v>
      </c>
      <c r="BY536">
        <v>196916.05</v>
      </c>
      <c r="CC536" t="s">
        <v>430</v>
      </c>
      <c r="CD536">
        <v>3200</v>
      </c>
      <c r="CE536" t="s">
        <v>1519</v>
      </c>
      <c r="CI536">
        <v>4</v>
      </c>
      <c r="CJ536" t="s">
        <v>305</v>
      </c>
      <c r="CK536">
        <v>41</v>
      </c>
      <c r="CL536" t="s">
        <v>89</v>
      </c>
    </row>
    <row r="537" spans="1:90" x14ac:dyDescent="0.3">
      <c r="A537" t="s">
        <v>72</v>
      </c>
      <c r="B537" t="s">
        <v>73</v>
      </c>
      <c r="C537" t="s">
        <v>74</v>
      </c>
      <c r="E537" t="str">
        <f>"GAB2030085"</f>
        <v>GAB2030085</v>
      </c>
      <c r="F537" s="3">
        <v>45985</v>
      </c>
      <c r="G537">
        <v>202608</v>
      </c>
      <c r="H537" t="s">
        <v>75</v>
      </c>
      <c r="I537" t="s">
        <v>76</v>
      </c>
      <c r="J537" t="s">
        <v>77</v>
      </c>
      <c r="K537" t="s">
        <v>78</v>
      </c>
      <c r="L537" t="s">
        <v>90</v>
      </c>
      <c r="M537" t="s">
        <v>91</v>
      </c>
      <c r="N537" t="s">
        <v>1585</v>
      </c>
      <c r="O537" t="s">
        <v>82</v>
      </c>
      <c r="P537" t="str">
        <f>"INVOICE00041827 ORDGS037855   "</f>
        <v xml:space="preserve">INVOICE00041827 ORDGS037855   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5.87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48.18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2</v>
      </c>
      <c r="BI537">
        <v>7.8</v>
      </c>
      <c r="BJ537">
        <v>18.3</v>
      </c>
      <c r="BK537">
        <v>19</v>
      </c>
      <c r="BL537">
        <v>163.55000000000001</v>
      </c>
      <c r="BM537">
        <v>24.53</v>
      </c>
      <c r="BN537">
        <v>188.08</v>
      </c>
      <c r="BO537">
        <v>188.08</v>
      </c>
      <c r="BQ537" t="s">
        <v>1586</v>
      </c>
      <c r="BR537" t="s">
        <v>84</v>
      </c>
      <c r="BS537" s="3">
        <v>45988</v>
      </c>
      <c r="BT537" s="4">
        <v>0.60486111111111107</v>
      </c>
      <c r="BU537" t="s">
        <v>1514</v>
      </c>
      <c r="BV537" t="s">
        <v>86</v>
      </c>
      <c r="BY537">
        <v>91587.199999999997</v>
      </c>
      <c r="CA537" t="s">
        <v>370</v>
      </c>
      <c r="CC537" t="s">
        <v>91</v>
      </c>
      <c r="CD537">
        <v>4001</v>
      </c>
      <c r="CE537" t="s">
        <v>103</v>
      </c>
      <c r="CF537" s="3">
        <v>45989</v>
      </c>
      <c r="CI537">
        <v>3</v>
      </c>
      <c r="CJ537">
        <v>3</v>
      </c>
      <c r="CK537">
        <v>41</v>
      </c>
      <c r="CL537" t="s">
        <v>89</v>
      </c>
    </row>
    <row r="538" spans="1:90" x14ac:dyDescent="0.3">
      <c r="A538" t="s">
        <v>72</v>
      </c>
      <c r="B538" t="s">
        <v>73</v>
      </c>
      <c r="C538" t="s">
        <v>74</v>
      </c>
      <c r="E538" t="str">
        <f>"GAB2030097"</f>
        <v>GAB2030097</v>
      </c>
      <c r="F538" s="3">
        <v>45985</v>
      </c>
      <c r="G538">
        <v>202608</v>
      </c>
      <c r="H538" t="s">
        <v>75</v>
      </c>
      <c r="I538" t="s">
        <v>76</v>
      </c>
      <c r="J538" t="s">
        <v>77</v>
      </c>
      <c r="K538" t="s">
        <v>78</v>
      </c>
      <c r="L538" t="s">
        <v>230</v>
      </c>
      <c r="M538" t="s">
        <v>231</v>
      </c>
      <c r="N538" t="s">
        <v>992</v>
      </c>
      <c r="O538" t="s">
        <v>82</v>
      </c>
      <c r="P538" t="str">
        <f>"invoice00041846 ORDGS038059   "</f>
        <v xml:space="preserve">invoice00041846 ORDGS038059   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5.87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41.35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2</v>
      </c>
      <c r="BI538">
        <v>6.1</v>
      </c>
      <c r="BJ538">
        <v>14.3</v>
      </c>
      <c r="BK538">
        <v>15</v>
      </c>
      <c r="BL538">
        <v>141.19999999999999</v>
      </c>
      <c r="BM538">
        <v>21.18</v>
      </c>
      <c r="BN538">
        <v>162.38</v>
      </c>
      <c r="BO538">
        <v>162.38</v>
      </c>
      <c r="BR538" t="s">
        <v>84</v>
      </c>
      <c r="BS538" s="3">
        <v>45987</v>
      </c>
      <c r="BT538" s="4">
        <v>0.37777777777777777</v>
      </c>
      <c r="BU538" t="s">
        <v>1587</v>
      </c>
      <c r="BV538" t="s">
        <v>86</v>
      </c>
      <c r="BY538">
        <v>71612.399999999994</v>
      </c>
      <c r="CA538">
        <v>8602010437080</v>
      </c>
      <c r="CC538" t="s">
        <v>231</v>
      </c>
      <c r="CD538" s="5" t="s">
        <v>995</v>
      </c>
      <c r="CE538" t="s">
        <v>88</v>
      </c>
      <c r="CF538" s="3">
        <v>45987</v>
      </c>
      <c r="CI538">
        <v>3</v>
      </c>
      <c r="CJ538">
        <v>2</v>
      </c>
      <c r="CK538">
        <v>41</v>
      </c>
      <c r="CL538" t="s">
        <v>89</v>
      </c>
    </row>
    <row r="539" spans="1:90" x14ac:dyDescent="0.3">
      <c r="A539" t="s">
        <v>72</v>
      </c>
      <c r="B539" t="s">
        <v>73</v>
      </c>
      <c r="C539" t="s">
        <v>74</v>
      </c>
      <c r="E539" t="str">
        <f>"GAB2030098"</f>
        <v>GAB2030098</v>
      </c>
      <c r="F539" s="3">
        <v>45985</v>
      </c>
      <c r="G539">
        <v>202608</v>
      </c>
      <c r="H539" t="s">
        <v>75</v>
      </c>
      <c r="I539" t="s">
        <v>76</v>
      </c>
      <c r="J539" t="s">
        <v>77</v>
      </c>
      <c r="K539" t="s">
        <v>78</v>
      </c>
      <c r="L539" t="s">
        <v>584</v>
      </c>
      <c r="M539" t="s">
        <v>585</v>
      </c>
      <c r="N539" t="s">
        <v>586</v>
      </c>
      <c r="O539" t="s">
        <v>82</v>
      </c>
      <c r="P539" t="str">
        <f>"INVOICE00123061 CT098439      "</f>
        <v xml:space="preserve">INVOICE00123061 CT098439      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5.87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58.32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1</v>
      </c>
      <c r="BI539">
        <v>0.4</v>
      </c>
      <c r="BJ539">
        <v>1.8</v>
      </c>
      <c r="BK539">
        <v>2</v>
      </c>
      <c r="BL539">
        <v>196.74</v>
      </c>
      <c r="BM539">
        <v>29.51</v>
      </c>
      <c r="BN539">
        <v>226.25</v>
      </c>
      <c r="BO539">
        <v>226.25</v>
      </c>
      <c r="BQ539" t="s">
        <v>1588</v>
      </c>
      <c r="BR539" t="s">
        <v>84</v>
      </c>
      <c r="BS539" s="3">
        <v>45988</v>
      </c>
      <c r="BT539" s="4">
        <v>0.38124999999999998</v>
      </c>
      <c r="BU539" t="s">
        <v>1589</v>
      </c>
      <c r="BV539" t="s">
        <v>86</v>
      </c>
      <c r="BY539">
        <v>8816.4</v>
      </c>
      <c r="CA539" t="s">
        <v>588</v>
      </c>
      <c r="CC539" t="s">
        <v>585</v>
      </c>
      <c r="CD539">
        <v>3900</v>
      </c>
      <c r="CE539" t="s">
        <v>315</v>
      </c>
      <c r="CF539" s="3">
        <v>45988</v>
      </c>
      <c r="CI539">
        <v>4</v>
      </c>
      <c r="CJ539">
        <v>3</v>
      </c>
      <c r="CK539">
        <v>43</v>
      </c>
      <c r="CL539" t="s">
        <v>89</v>
      </c>
    </row>
    <row r="540" spans="1:90" x14ac:dyDescent="0.3">
      <c r="A540" t="s">
        <v>72</v>
      </c>
      <c r="B540" t="s">
        <v>73</v>
      </c>
      <c r="C540" t="s">
        <v>74</v>
      </c>
      <c r="E540" t="str">
        <f>"GAB2030070"</f>
        <v>GAB2030070</v>
      </c>
      <c r="F540" s="3">
        <v>45985</v>
      </c>
      <c r="G540">
        <v>202608</v>
      </c>
      <c r="H540" t="s">
        <v>75</v>
      </c>
      <c r="I540" t="s">
        <v>76</v>
      </c>
      <c r="J540" t="s">
        <v>77</v>
      </c>
      <c r="K540" t="s">
        <v>78</v>
      </c>
      <c r="L540" t="s">
        <v>169</v>
      </c>
      <c r="M540" t="s">
        <v>170</v>
      </c>
      <c r="N540" t="s">
        <v>926</v>
      </c>
      <c r="O540" t="s">
        <v>124</v>
      </c>
      <c r="P540" t="str">
        <f>"INVOICE00041799 ORDGS038425   "</f>
        <v xml:space="preserve">INVOICE00041799 ORDGS038425   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26.73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1</v>
      </c>
      <c r="BI540">
        <v>0.3</v>
      </c>
      <c r="BJ540">
        <v>2.5</v>
      </c>
      <c r="BK540">
        <v>2.5</v>
      </c>
      <c r="BL540">
        <v>87.47</v>
      </c>
      <c r="BM540">
        <v>13.12</v>
      </c>
      <c r="BN540">
        <v>100.59</v>
      </c>
      <c r="BO540">
        <v>100.59</v>
      </c>
      <c r="BQ540" t="s">
        <v>927</v>
      </c>
      <c r="BR540" t="s">
        <v>84</v>
      </c>
      <c r="BS540" s="3">
        <v>45986</v>
      </c>
      <c r="BT540" s="4">
        <v>0.375</v>
      </c>
      <c r="BU540" t="s">
        <v>1365</v>
      </c>
      <c r="BV540" t="s">
        <v>86</v>
      </c>
      <c r="BY540">
        <v>12334.14</v>
      </c>
      <c r="BZ540" t="s">
        <v>126</v>
      </c>
      <c r="CA540" t="s">
        <v>775</v>
      </c>
      <c r="CC540" t="s">
        <v>170</v>
      </c>
      <c r="CD540">
        <v>2055</v>
      </c>
      <c r="CE540" t="s">
        <v>912</v>
      </c>
      <c r="CF540" s="3">
        <v>45987</v>
      </c>
      <c r="CI540">
        <v>1</v>
      </c>
      <c r="CJ540">
        <v>1</v>
      </c>
      <c r="CK540">
        <v>21</v>
      </c>
      <c r="CL540" t="s">
        <v>89</v>
      </c>
    </row>
    <row r="541" spans="1:90" x14ac:dyDescent="0.3">
      <c r="A541" t="s">
        <v>72</v>
      </c>
      <c r="B541" t="s">
        <v>73</v>
      </c>
      <c r="C541" t="s">
        <v>74</v>
      </c>
      <c r="E541" t="str">
        <f>"GAB2030071"</f>
        <v>GAB2030071</v>
      </c>
      <c r="F541" s="3">
        <v>45985</v>
      </c>
      <c r="G541">
        <v>202608</v>
      </c>
      <c r="H541" t="s">
        <v>75</v>
      </c>
      <c r="I541" t="s">
        <v>76</v>
      </c>
      <c r="J541" t="s">
        <v>77</v>
      </c>
      <c r="K541" t="s">
        <v>78</v>
      </c>
      <c r="L541" t="s">
        <v>230</v>
      </c>
      <c r="M541" t="s">
        <v>231</v>
      </c>
      <c r="N541" t="s">
        <v>1590</v>
      </c>
      <c r="O541" t="s">
        <v>124</v>
      </c>
      <c r="P541" t="str">
        <f>"INVOICE00123023 CT098449      "</f>
        <v xml:space="preserve">INVOICE00123023 CT098449      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26.73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1</v>
      </c>
      <c r="BI541">
        <v>0.2</v>
      </c>
      <c r="BJ541">
        <v>2.1</v>
      </c>
      <c r="BK541">
        <v>2.5</v>
      </c>
      <c r="BL541">
        <v>87.47</v>
      </c>
      <c r="BM541">
        <v>13.12</v>
      </c>
      <c r="BN541">
        <v>100.59</v>
      </c>
      <c r="BO541">
        <v>100.59</v>
      </c>
      <c r="BR541" t="s">
        <v>84</v>
      </c>
      <c r="BS541" s="3">
        <v>45986</v>
      </c>
      <c r="BT541" s="4">
        <v>0.35972222222222222</v>
      </c>
      <c r="BU541" t="s">
        <v>1591</v>
      </c>
      <c r="BV541" t="s">
        <v>86</v>
      </c>
      <c r="BY541">
        <v>10712.52</v>
      </c>
      <c r="BZ541" t="s">
        <v>126</v>
      </c>
      <c r="CA541">
        <v>9801105950085</v>
      </c>
      <c r="CC541" t="s">
        <v>231</v>
      </c>
      <c r="CD541" s="5" t="s">
        <v>337</v>
      </c>
      <c r="CE541" t="s">
        <v>843</v>
      </c>
      <c r="CF541" s="3">
        <v>45986</v>
      </c>
      <c r="CI541">
        <v>1</v>
      </c>
      <c r="CJ541">
        <v>1</v>
      </c>
      <c r="CK541">
        <v>21</v>
      </c>
      <c r="CL541" t="s">
        <v>89</v>
      </c>
    </row>
    <row r="542" spans="1:90" x14ac:dyDescent="0.3">
      <c r="A542" t="s">
        <v>72</v>
      </c>
      <c r="B542" t="s">
        <v>73</v>
      </c>
      <c r="C542" t="s">
        <v>74</v>
      </c>
      <c r="E542" t="str">
        <f>"GAB2030072"</f>
        <v>GAB2030072</v>
      </c>
      <c r="F542" s="3">
        <v>45985</v>
      </c>
      <c r="G542">
        <v>202608</v>
      </c>
      <c r="H542" t="s">
        <v>75</v>
      </c>
      <c r="I542" t="s">
        <v>76</v>
      </c>
      <c r="J542" t="s">
        <v>77</v>
      </c>
      <c r="K542" t="s">
        <v>78</v>
      </c>
      <c r="L542" t="s">
        <v>620</v>
      </c>
      <c r="M542" t="s">
        <v>621</v>
      </c>
      <c r="N542" t="s">
        <v>1592</v>
      </c>
      <c r="O542" t="s">
        <v>124</v>
      </c>
      <c r="P542" t="str">
        <f>"INVOICE00123029 CT098452      "</f>
        <v xml:space="preserve">INVOICE00123029 CT098452      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30.07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1</v>
      </c>
      <c r="BI542">
        <v>0.2</v>
      </c>
      <c r="BJ542">
        <v>1.8</v>
      </c>
      <c r="BK542">
        <v>2</v>
      </c>
      <c r="BL542">
        <v>98.42</v>
      </c>
      <c r="BM542">
        <v>14.76</v>
      </c>
      <c r="BN542">
        <v>113.18</v>
      </c>
      <c r="BO542">
        <v>113.18</v>
      </c>
      <c r="BQ542" t="s">
        <v>1177</v>
      </c>
      <c r="BR542" t="s">
        <v>84</v>
      </c>
      <c r="BS542" s="3">
        <v>45986</v>
      </c>
      <c r="BT542" s="4">
        <v>0.41875000000000001</v>
      </c>
      <c r="BU542" t="s">
        <v>1593</v>
      </c>
      <c r="BV542" t="s">
        <v>86</v>
      </c>
      <c r="BY542">
        <v>9109.6200000000008</v>
      </c>
      <c r="BZ542" t="s">
        <v>126</v>
      </c>
      <c r="CA542" t="s">
        <v>625</v>
      </c>
      <c r="CC542" t="s">
        <v>621</v>
      </c>
      <c r="CD542">
        <v>7130</v>
      </c>
      <c r="CE542" t="s">
        <v>843</v>
      </c>
      <c r="CF542" s="3">
        <v>45987</v>
      </c>
      <c r="CI542">
        <v>1</v>
      </c>
      <c r="CJ542">
        <v>1</v>
      </c>
      <c r="CK542">
        <v>24</v>
      </c>
      <c r="CL542" t="s">
        <v>89</v>
      </c>
    </row>
    <row r="543" spans="1:90" x14ac:dyDescent="0.3">
      <c r="A543" t="s">
        <v>72</v>
      </c>
      <c r="B543" t="s">
        <v>73</v>
      </c>
      <c r="C543" t="s">
        <v>74</v>
      </c>
      <c r="E543" t="str">
        <f>"GAB2030073"</f>
        <v>GAB2030073</v>
      </c>
      <c r="F543" s="3">
        <v>45985</v>
      </c>
      <c r="G543">
        <v>202608</v>
      </c>
      <c r="H543" t="s">
        <v>75</v>
      </c>
      <c r="I543" t="s">
        <v>76</v>
      </c>
      <c r="J543" t="s">
        <v>77</v>
      </c>
      <c r="K543" t="s">
        <v>78</v>
      </c>
      <c r="L543" t="s">
        <v>162</v>
      </c>
      <c r="M543" t="s">
        <v>163</v>
      </c>
      <c r="N543" t="s">
        <v>546</v>
      </c>
      <c r="O543" t="s">
        <v>124</v>
      </c>
      <c r="P543" t="str">
        <f>"INVOICE00041801 ORDGS038429   "</f>
        <v xml:space="preserve">INVOICE00041801 ORDGS038429   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21.38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1</v>
      </c>
      <c r="BI543">
        <v>0.1</v>
      </c>
      <c r="BJ543">
        <v>1.9</v>
      </c>
      <c r="BK543">
        <v>2</v>
      </c>
      <c r="BL543">
        <v>69.98</v>
      </c>
      <c r="BM543">
        <v>10.5</v>
      </c>
      <c r="BN543">
        <v>80.48</v>
      </c>
      <c r="BO543">
        <v>80.48</v>
      </c>
      <c r="BQ543" t="s">
        <v>934</v>
      </c>
      <c r="BR543" t="s">
        <v>84</v>
      </c>
      <c r="BS543" s="3">
        <v>45986</v>
      </c>
      <c r="BT543" s="4">
        <v>0.33333333333333331</v>
      </c>
      <c r="BU543" t="s">
        <v>935</v>
      </c>
      <c r="BV543" t="s">
        <v>86</v>
      </c>
      <c r="BY543">
        <v>9290.52</v>
      </c>
      <c r="BZ543" t="s">
        <v>126</v>
      </c>
      <c r="CA543" t="s">
        <v>288</v>
      </c>
      <c r="CC543" t="s">
        <v>163</v>
      </c>
      <c r="CD543">
        <v>6001</v>
      </c>
      <c r="CE543" t="s">
        <v>367</v>
      </c>
      <c r="CF543" s="3">
        <v>45986</v>
      </c>
      <c r="CI543">
        <v>2</v>
      </c>
      <c r="CJ543">
        <v>1</v>
      </c>
      <c r="CK543">
        <v>21</v>
      </c>
      <c r="CL543" t="s">
        <v>89</v>
      </c>
    </row>
    <row r="544" spans="1:90" x14ac:dyDescent="0.3">
      <c r="A544" t="s">
        <v>72</v>
      </c>
      <c r="B544" t="s">
        <v>73</v>
      </c>
      <c r="C544" t="s">
        <v>74</v>
      </c>
      <c r="E544" t="str">
        <f>"GAB2030074"</f>
        <v>GAB2030074</v>
      </c>
      <c r="F544" s="3">
        <v>45985</v>
      </c>
      <c r="G544">
        <v>202608</v>
      </c>
      <c r="H544" t="s">
        <v>75</v>
      </c>
      <c r="I544" t="s">
        <v>76</v>
      </c>
      <c r="J544" t="s">
        <v>77</v>
      </c>
      <c r="K544" t="s">
        <v>78</v>
      </c>
      <c r="L544" t="s">
        <v>230</v>
      </c>
      <c r="M544" t="s">
        <v>231</v>
      </c>
      <c r="N544" t="s">
        <v>1594</v>
      </c>
      <c r="O544" t="s">
        <v>124</v>
      </c>
      <c r="P544" t="str">
        <f>"INVOICE00123033 CT098459      "</f>
        <v xml:space="preserve">INVOICE00123033 CT098459      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21.38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1</v>
      </c>
      <c r="BI544">
        <v>0.3</v>
      </c>
      <c r="BJ544">
        <v>2</v>
      </c>
      <c r="BK544">
        <v>2</v>
      </c>
      <c r="BL544">
        <v>69.98</v>
      </c>
      <c r="BM544">
        <v>10.5</v>
      </c>
      <c r="BN544">
        <v>80.48</v>
      </c>
      <c r="BO544">
        <v>80.48</v>
      </c>
      <c r="BQ544" t="s">
        <v>1595</v>
      </c>
      <c r="BR544" t="s">
        <v>84</v>
      </c>
      <c r="BS544" s="3">
        <v>45986</v>
      </c>
      <c r="BT544" s="4">
        <v>0.50972222222222219</v>
      </c>
      <c r="BU544" t="s">
        <v>1596</v>
      </c>
      <c r="BV544" t="s">
        <v>89</v>
      </c>
      <c r="BW544" t="s">
        <v>562</v>
      </c>
      <c r="BX544" t="s">
        <v>1450</v>
      </c>
      <c r="BY544">
        <v>10078.459999999999</v>
      </c>
      <c r="BZ544" t="s">
        <v>126</v>
      </c>
      <c r="CA544">
        <v>9004295789088</v>
      </c>
      <c r="CC544" t="s">
        <v>231</v>
      </c>
      <c r="CD544" s="5" t="s">
        <v>1597</v>
      </c>
      <c r="CE544" t="s">
        <v>953</v>
      </c>
      <c r="CF544" s="3">
        <v>45986</v>
      </c>
      <c r="CI544">
        <v>1</v>
      </c>
      <c r="CJ544">
        <v>1</v>
      </c>
      <c r="CK544">
        <v>21</v>
      </c>
      <c r="CL544" t="s">
        <v>89</v>
      </c>
    </row>
    <row r="545" spans="1:90" x14ac:dyDescent="0.3">
      <c r="A545" t="s">
        <v>72</v>
      </c>
      <c r="B545" t="s">
        <v>73</v>
      </c>
      <c r="C545" t="s">
        <v>74</v>
      </c>
      <c r="E545" t="str">
        <f>"GAB2030075"</f>
        <v>GAB2030075</v>
      </c>
      <c r="F545" s="3">
        <v>45985</v>
      </c>
      <c r="G545">
        <v>202608</v>
      </c>
      <c r="H545" t="s">
        <v>75</v>
      </c>
      <c r="I545" t="s">
        <v>76</v>
      </c>
      <c r="J545" t="s">
        <v>77</v>
      </c>
      <c r="K545" t="s">
        <v>78</v>
      </c>
      <c r="L545" t="s">
        <v>143</v>
      </c>
      <c r="M545" t="s">
        <v>144</v>
      </c>
      <c r="N545" t="s">
        <v>556</v>
      </c>
      <c r="O545" t="s">
        <v>124</v>
      </c>
      <c r="P545" t="str">
        <f>"INVOICE00123032 CT098460      "</f>
        <v xml:space="preserve">INVOICE00123032 CT098460      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16.7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1</v>
      </c>
      <c r="BI545">
        <v>0.2</v>
      </c>
      <c r="BJ545">
        <v>2</v>
      </c>
      <c r="BK545">
        <v>2</v>
      </c>
      <c r="BL545">
        <v>54.66</v>
      </c>
      <c r="BM545">
        <v>8.1999999999999993</v>
      </c>
      <c r="BN545">
        <v>62.86</v>
      </c>
      <c r="BO545">
        <v>62.86</v>
      </c>
      <c r="BQ545" t="s">
        <v>557</v>
      </c>
      <c r="BR545" t="s">
        <v>84</v>
      </c>
      <c r="BS545" s="3">
        <v>45986</v>
      </c>
      <c r="BT545" s="4">
        <v>0.70138888888888884</v>
      </c>
      <c r="BU545" t="s">
        <v>1598</v>
      </c>
      <c r="BV545" t="s">
        <v>89</v>
      </c>
      <c r="BW545" t="s">
        <v>413</v>
      </c>
      <c r="BX545" t="s">
        <v>747</v>
      </c>
      <c r="BY545">
        <v>10217.34</v>
      </c>
      <c r="BZ545" t="s">
        <v>126</v>
      </c>
      <c r="CA545" t="s">
        <v>1599</v>
      </c>
      <c r="CC545" t="s">
        <v>144</v>
      </c>
      <c r="CD545">
        <v>7600</v>
      </c>
      <c r="CE545" t="s">
        <v>843</v>
      </c>
      <c r="CF545" s="3">
        <v>45987</v>
      </c>
      <c r="CI545">
        <v>1</v>
      </c>
      <c r="CJ545">
        <v>1</v>
      </c>
      <c r="CK545">
        <v>22</v>
      </c>
      <c r="CL545" t="s">
        <v>89</v>
      </c>
    </row>
    <row r="546" spans="1:90" x14ac:dyDescent="0.3">
      <c r="A546" t="s">
        <v>72</v>
      </c>
      <c r="B546" t="s">
        <v>73</v>
      </c>
      <c r="C546" t="s">
        <v>74</v>
      </c>
      <c r="E546" t="str">
        <f>"GAB2030076"</f>
        <v>GAB2030076</v>
      </c>
      <c r="F546" s="3">
        <v>45985</v>
      </c>
      <c r="G546">
        <v>202608</v>
      </c>
      <c r="H546" t="s">
        <v>75</v>
      </c>
      <c r="I546" t="s">
        <v>76</v>
      </c>
      <c r="J546" t="s">
        <v>77</v>
      </c>
      <c r="K546" t="s">
        <v>78</v>
      </c>
      <c r="L546" t="s">
        <v>230</v>
      </c>
      <c r="M546" t="s">
        <v>231</v>
      </c>
      <c r="N546" t="s">
        <v>1451</v>
      </c>
      <c r="O546" t="s">
        <v>124</v>
      </c>
      <c r="P546" t="str">
        <f>"INVOICE00123037 CT098455      "</f>
        <v xml:space="preserve">INVOICE00123037 CT098455      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21.38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1</v>
      </c>
      <c r="BI546">
        <v>0.5</v>
      </c>
      <c r="BJ546">
        <v>1.8</v>
      </c>
      <c r="BK546">
        <v>2</v>
      </c>
      <c r="BL546">
        <v>69.98</v>
      </c>
      <c r="BM546">
        <v>10.5</v>
      </c>
      <c r="BN546">
        <v>80.48</v>
      </c>
      <c r="BO546">
        <v>80.48</v>
      </c>
      <c r="BR546" t="s">
        <v>84</v>
      </c>
      <c r="BS546" s="3">
        <v>45986</v>
      </c>
      <c r="BT546" s="4">
        <v>0.42986111111111114</v>
      </c>
      <c r="BU546" t="s">
        <v>1600</v>
      </c>
      <c r="BV546" t="s">
        <v>86</v>
      </c>
      <c r="BY546">
        <v>8789</v>
      </c>
      <c r="BZ546" t="s">
        <v>126</v>
      </c>
      <c r="CA546" s="5" t="s">
        <v>750</v>
      </c>
      <c r="CC546" t="s">
        <v>231</v>
      </c>
      <c r="CD546" s="5" t="s">
        <v>751</v>
      </c>
      <c r="CE546" t="s">
        <v>1601</v>
      </c>
      <c r="CF546" s="3">
        <v>45986</v>
      </c>
      <c r="CI546">
        <v>1</v>
      </c>
      <c r="CJ546">
        <v>1</v>
      </c>
      <c r="CK546">
        <v>21</v>
      </c>
      <c r="CL546" t="s">
        <v>89</v>
      </c>
    </row>
    <row r="547" spans="1:90" x14ac:dyDescent="0.3">
      <c r="A547" t="s">
        <v>72</v>
      </c>
      <c r="B547" t="s">
        <v>73</v>
      </c>
      <c r="C547" t="s">
        <v>74</v>
      </c>
      <c r="E547" t="str">
        <f>"GAB2030077"</f>
        <v>GAB2030077</v>
      </c>
      <c r="F547" s="3">
        <v>45985</v>
      </c>
      <c r="G547">
        <v>202608</v>
      </c>
      <c r="H547" t="s">
        <v>75</v>
      </c>
      <c r="I547" t="s">
        <v>76</v>
      </c>
      <c r="J547" t="s">
        <v>77</v>
      </c>
      <c r="K547" t="s">
        <v>78</v>
      </c>
      <c r="L547" t="s">
        <v>230</v>
      </c>
      <c r="M547" t="s">
        <v>231</v>
      </c>
      <c r="N547" t="s">
        <v>379</v>
      </c>
      <c r="O547" t="s">
        <v>124</v>
      </c>
      <c r="P547" t="str">
        <f>"INVOICE00041802 ORDGS038454   "</f>
        <v xml:space="preserve">INVOICE00041802 ORDGS038454   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26.73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1</v>
      </c>
      <c r="BI547">
        <v>0.4</v>
      </c>
      <c r="BJ547">
        <v>2.2999999999999998</v>
      </c>
      <c r="BK547">
        <v>2.5</v>
      </c>
      <c r="BL547">
        <v>87.47</v>
      </c>
      <c r="BM547">
        <v>13.12</v>
      </c>
      <c r="BN547">
        <v>100.59</v>
      </c>
      <c r="BO547">
        <v>100.59</v>
      </c>
      <c r="BQ547" t="s">
        <v>380</v>
      </c>
      <c r="BR547" t="s">
        <v>84</v>
      </c>
      <c r="BS547" s="3">
        <v>45987</v>
      </c>
      <c r="BT547" s="4">
        <v>0.39861111111111114</v>
      </c>
      <c r="BU547" t="s">
        <v>1602</v>
      </c>
      <c r="BV547" t="s">
        <v>89</v>
      </c>
      <c r="BW547" t="s">
        <v>562</v>
      </c>
      <c r="BX547" t="s">
        <v>1450</v>
      </c>
      <c r="BY547">
        <v>11658.24</v>
      </c>
      <c r="BZ547" t="s">
        <v>126</v>
      </c>
      <c r="CA547">
        <v>9801105950085</v>
      </c>
      <c r="CC547" t="s">
        <v>231</v>
      </c>
      <c r="CD547" s="5" t="s">
        <v>382</v>
      </c>
      <c r="CE547" t="s">
        <v>953</v>
      </c>
      <c r="CF547" s="3">
        <v>45987</v>
      </c>
      <c r="CI547">
        <v>1</v>
      </c>
      <c r="CJ547">
        <v>2</v>
      </c>
      <c r="CK547">
        <v>21</v>
      </c>
      <c r="CL547" t="s">
        <v>89</v>
      </c>
    </row>
    <row r="548" spans="1:90" x14ac:dyDescent="0.3">
      <c r="A548" t="s">
        <v>72</v>
      </c>
      <c r="B548" t="s">
        <v>73</v>
      </c>
      <c r="C548" t="s">
        <v>74</v>
      </c>
      <c r="E548" t="str">
        <f>"GAB2030078"</f>
        <v>GAB2030078</v>
      </c>
      <c r="F548" s="3">
        <v>45985</v>
      </c>
      <c r="G548">
        <v>202608</v>
      </c>
      <c r="H548" t="s">
        <v>75</v>
      </c>
      <c r="I548" t="s">
        <v>76</v>
      </c>
      <c r="J548" t="s">
        <v>77</v>
      </c>
      <c r="K548" t="s">
        <v>78</v>
      </c>
      <c r="L548" t="s">
        <v>75</v>
      </c>
      <c r="M548" t="s">
        <v>76</v>
      </c>
      <c r="N548" t="s">
        <v>575</v>
      </c>
      <c r="O548" t="s">
        <v>124</v>
      </c>
      <c r="P548" t="str">
        <f>"INVOICE00123035 00123034 CT098"</f>
        <v>INVOICE00123035 00123034 CT098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16.7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1</v>
      </c>
      <c r="BI548">
        <v>0.4</v>
      </c>
      <c r="BJ548">
        <v>3.3</v>
      </c>
      <c r="BK548">
        <v>4</v>
      </c>
      <c r="BL548">
        <v>54.66</v>
      </c>
      <c r="BM548">
        <v>8.1999999999999993</v>
      </c>
      <c r="BN548">
        <v>62.86</v>
      </c>
      <c r="BO548">
        <v>62.86</v>
      </c>
      <c r="BR548" t="s">
        <v>84</v>
      </c>
      <c r="BS548" s="3">
        <v>45986</v>
      </c>
      <c r="BT548" s="4">
        <v>0.41041666666666665</v>
      </c>
      <c r="BU548" t="s">
        <v>1603</v>
      </c>
      <c r="BV548" t="s">
        <v>86</v>
      </c>
      <c r="BY548">
        <v>16327.5</v>
      </c>
      <c r="BZ548" t="s">
        <v>126</v>
      </c>
      <c r="CA548" t="s">
        <v>153</v>
      </c>
      <c r="CC548" t="s">
        <v>76</v>
      </c>
      <c r="CD548">
        <v>7700</v>
      </c>
      <c r="CE548" t="s">
        <v>807</v>
      </c>
      <c r="CF548" s="3">
        <v>45987</v>
      </c>
      <c r="CI548">
        <v>1</v>
      </c>
      <c r="CJ548">
        <v>1</v>
      </c>
      <c r="CK548">
        <v>22</v>
      </c>
      <c r="CL548" t="s">
        <v>89</v>
      </c>
    </row>
    <row r="549" spans="1:90" x14ac:dyDescent="0.3">
      <c r="A549" t="s">
        <v>72</v>
      </c>
      <c r="B549" t="s">
        <v>73</v>
      </c>
      <c r="C549" t="s">
        <v>74</v>
      </c>
      <c r="E549" t="str">
        <f>"GAB2030082"</f>
        <v>GAB2030082</v>
      </c>
      <c r="F549" s="3">
        <v>45985</v>
      </c>
      <c r="G549">
        <v>202608</v>
      </c>
      <c r="H549" t="s">
        <v>75</v>
      </c>
      <c r="I549" t="s">
        <v>76</v>
      </c>
      <c r="J549" t="s">
        <v>77</v>
      </c>
      <c r="K549" t="s">
        <v>78</v>
      </c>
      <c r="L549" t="s">
        <v>175</v>
      </c>
      <c r="M549" t="s">
        <v>176</v>
      </c>
      <c r="N549" t="s">
        <v>177</v>
      </c>
      <c r="O549" t="s">
        <v>124</v>
      </c>
      <c r="P549" t="str">
        <f>"INVOICE00123050 CT098469      "</f>
        <v xml:space="preserve">INVOICE00123050 CT098469      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50.78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16.739999999999998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1</v>
      </c>
      <c r="BI549">
        <v>0.9</v>
      </c>
      <c r="BJ549">
        <v>2.2999999999999998</v>
      </c>
      <c r="BK549">
        <v>2.5</v>
      </c>
      <c r="BL549">
        <v>182.94</v>
      </c>
      <c r="BM549">
        <v>27.44</v>
      </c>
      <c r="BN549">
        <v>210.38</v>
      </c>
      <c r="BO549">
        <v>210.38</v>
      </c>
      <c r="BQ549" t="s">
        <v>251</v>
      </c>
      <c r="BR549" t="s">
        <v>84</v>
      </c>
      <c r="BS549" s="3">
        <v>45987</v>
      </c>
      <c r="BT549" s="4">
        <v>0.4201388888888889</v>
      </c>
      <c r="BU549" t="s">
        <v>1604</v>
      </c>
      <c r="BV549" t="s">
        <v>86</v>
      </c>
      <c r="BY549">
        <v>11592.45</v>
      </c>
      <c r="BZ549" t="s">
        <v>180</v>
      </c>
      <c r="CA549" t="s">
        <v>594</v>
      </c>
      <c r="CC549" t="s">
        <v>176</v>
      </c>
      <c r="CD549">
        <v>2745</v>
      </c>
      <c r="CE549" t="s">
        <v>946</v>
      </c>
      <c r="CF549" s="3">
        <v>45988</v>
      </c>
      <c r="CI549">
        <v>2</v>
      </c>
      <c r="CJ549">
        <v>2</v>
      </c>
      <c r="CK549">
        <v>23</v>
      </c>
      <c r="CL549" t="s">
        <v>89</v>
      </c>
    </row>
    <row r="550" spans="1:90" x14ac:dyDescent="0.3">
      <c r="A550" t="s">
        <v>72</v>
      </c>
      <c r="B550" t="s">
        <v>73</v>
      </c>
      <c r="C550" t="s">
        <v>74</v>
      </c>
      <c r="E550" t="str">
        <f>"GAB2030083"</f>
        <v>GAB2030083</v>
      </c>
      <c r="F550" s="3">
        <v>45985</v>
      </c>
      <c r="G550">
        <v>202608</v>
      </c>
      <c r="H550" t="s">
        <v>75</v>
      </c>
      <c r="I550" t="s">
        <v>76</v>
      </c>
      <c r="J550" t="s">
        <v>77</v>
      </c>
      <c r="K550" t="s">
        <v>78</v>
      </c>
      <c r="L550" t="s">
        <v>230</v>
      </c>
      <c r="M550" t="s">
        <v>231</v>
      </c>
      <c r="N550" t="s">
        <v>462</v>
      </c>
      <c r="O550" t="s">
        <v>124</v>
      </c>
      <c r="P550" t="str">
        <f>"INVOICE00123051 CT098468      "</f>
        <v xml:space="preserve">INVOICE00123051 CT098468      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26.73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1</v>
      </c>
      <c r="BI550">
        <v>0.2</v>
      </c>
      <c r="BJ550">
        <v>2.2000000000000002</v>
      </c>
      <c r="BK550">
        <v>2.5</v>
      </c>
      <c r="BL550">
        <v>87.47</v>
      </c>
      <c r="BM550">
        <v>13.12</v>
      </c>
      <c r="BN550">
        <v>100.59</v>
      </c>
      <c r="BO550">
        <v>100.59</v>
      </c>
      <c r="BQ550" t="s">
        <v>1605</v>
      </c>
      <c r="BR550" t="s">
        <v>84</v>
      </c>
      <c r="BS550" s="3">
        <v>45986</v>
      </c>
      <c r="BT550" s="4">
        <v>0.35902777777777778</v>
      </c>
      <c r="BU550" t="s">
        <v>1606</v>
      </c>
      <c r="BV550" t="s">
        <v>86</v>
      </c>
      <c r="BY550">
        <v>10926.3</v>
      </c>
      <c r="BZ550" t="s">
        <v>126</v>
      </c>
      <c r="CA550">
        <v>9107126013089</v>
      </c>
      <c r="CC550" t="s">
        <v>231</v>
      </c>
      <c r="CD550" s="5" t="s">
        <v>382</v>
      </c>
      <c r="CE550" t="s">
        <v>843</v>
      </c>
      <c r="CF550" s="3">
        <v>45986</v>
      </c>
      <c r="CI550">
        <v>1</v>
      </c>
      <c r="CJ550">
        <v>1</v>
      </c>
      <c r="CK550">
        <v>21</v>
      </c>
      <c r="CL550" t="s">
        <v>89</v>
      </c>
    </row>
    <row r="551" spans="1:90" x14ac:dyDescent="0.3">
      <c r="A551" t="s">
        <v>72</v>
      </c>
      <c r="B551" t="s">
        <v>73</v>
      </c>
      <c r="C551" t="s">
        <v>74</v>
      </c>
      <c r="E551" t="str">
        <f>"GAB2030084"</f>
        <v>GAB2030084</v>
      </c>
      <c r="F551" s="3">
        <v>45985</v>
      </c>
      <c r="G551">
        <v>202608</v>
      </c>
      <c r="H551" t="s">
        <v>75</v>
      </c>
      <c r="I551" t="s">
        <v>76</v>
      </c>
      <c r="J551" t="s">
        <v>77</v>
      </c>
      <c r="K551" t="s">
        <v>78</v>
      </c>
      <c r="L551" t="s">
        <v>129</v>
      </c>
      <c r="M551" t="s">
        <v>130</v>
      </c>
      <c r="N551" t="s">
        <v>1607</v>
      </c>
      <c r="O551" t="s">
        <v>124</v>
      </c>
      <c r="P551" t="str">
        <f>"INVOICE00041826 ORDGS038455   "</f>
        <v xml:space="preserve">INVOICE00041826 ORDGS038455   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21.38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1</v>
      </c>
      <c r="BI551">
        <v>0.4</v>
      </c>
      <c r="BJ551">
        <v>1.9</v>
      </c>
      <c r="BK551">
        <v>2</v>
      </c>
      <c r="BL551">
        <v>69.98</v>
      </c>
      <c r="BM551">
        <v>10.5</v>
      </c>
      <c r="BN551">
        <v>80.48</v>
      </c>
      <c r="BO551">
        <v>80.48</v>
      </c>
      <c r="BQ551" t="s">
        <v>740</v>
      </c>
      <c r="BR551" t="s">
        <v>84</v>
      </c>
      <c r="BS551" s="3">
        <v>45987</v>
      </c>
      <c r="BT551" s="4">
        <v>0.43402777777777779</v>
      </c>
      <c r="BU551" t="s">
        <v>1608</v>
      </c>
      <c r="BV551" t="s">
        <v>86</v>
      </c>
      <c r="BY551">
        <v>9496.2000000000007</v>
      </c>
      <c r="BZ551" t="s">
        <v>126</v>
      </c>
      <c r="CA551" t="s">
        <v>1151</v>
      </c>
      <c r="CC551" t="s">
        <v>130</v>
      </c>
      <c r="CD551" s="5" t="s">
        <v>135</v>
      </c>
      <c r="CE551" t="s">
        <v>1601</v>
      </c>
      <c r="CF551" s="3">
        <v>45987</v>
      </c>
      <c r="CI551">
        <v>2</v>
      </c>
      <c r="CJ551">
        <v>2</v>
      </c>
      <c r="CK551">
        <v>21</v>
      </c>
      <c r="CL551" t="s">
        <v>89</v>
      </c>
    </row>
    <row r="552" spans="1:90" x14ac:dyDescent="0.3">
      <c r="A552" t="s">
        <v>72</v>
      </c>
      <c r="B552" t="s">
        <v>73</v>
      </c>
      <c r="C552" t="s">
        <v>74</v>
      </c>
      <c r="E552" t="str">
        <f>"GAB2030086"</f>
        <v>GAB2030086</v>
      </c>
      <c r="F552" s="3">
        <v>45985</v>
      </c>
      <c r="G552">
        <v>202608</v>
      </c>
      <c r="H552" t="s">
        <v>75</v>
      </c>
      <c r="I552" t="s">
        <v>76</v>
      </c>
      <c r="J552" t="s">
        <v>77</v>
      </c>
      <c r="K552" t="s">
        <v>78</v>
      </c>
      <c r="L552" t="s">
        <v>169</v>
      </c>
      <c r="M552" t="s">
        <v>170</v>
      </c>
      <c r="N552" t="s">
        <v>823</v>
      </c>
      <c r="O552" t="s">
        <v>124</v>
      </c>
      <c r="P552" t="str">
        <f>"INVOICE00123043 CT098475      "</f>
        <v xml:space="preserve">INVOICE00123043 CT098475      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21.38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16.739999999999998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1</v>
      </c>
      <c r="BI552">
        <v>0.2</v>
      </c>
      <c r="BJ552">
        <v>2</v>
      </c>
      <c r="BK552">
        <v>2</v>
      </c>
      <c r="BL552">
        <v>86.72</v>
      </c>
      <c r="BM552">
        <v>13.01</v>
      </c>
      <c r="BN552">
        <v>99.73</v>
      </c>
      <c r="BO552">
        <v>99.73</v>
      </c>
      <c r="BQ552" t="s">
        <v>1141</v>
      </c>
      <c r="BR552" t="s">
        <v>84</v>
      </c>
      <c r="BS552" s="3">
        <v>45987</v>
      </c>
      <c r="BT552" s="4">
        <v>0.4861111111111111</v>
      </c>
      <c r="BU552" t="s">
        <v>1609</v>
      </c>
      <c r="BV552" t="s">
        <v>89</v>
      </c>
      <c r="BY552">
        <v>10084.5</v>
      </c>
      <c r="BZ552" t="s">
        <v>180</v>
      </c>
      <c r="CA552">
        <v>8908251271082</v>
      </c>
      <c r="CC552" t="s">
        <v>170</v>
      </c>
      <c r="CD552">
        <v>1803</v>
      </c>
      <c r="CE552" t="s">
        <v>843</v>
      </c>
      <c r="CF552" s="3">
        <v>45988</v>
      </c>
      <c r="CI552">
        <v>0</v>
      </c>
      <c r="CJ552">
        <v>0</v>
      </c>
      <c r="CK552">
        <v>21</v>
      </c>
      <c r="CL552" t="s">
        <v>89</v>
      </c>
    </row>
    <row r="553" spans="1:90" x14ac:dyDescent="0.3">
      <c r="A553" t="s">
        <v>72</v>
      </c>
      <c r="B553" t="s">
        <v>73</v>
      </c>
      <c r="C553" t="s">
        <v>74</v>
      </c>
      <c r="E553" t="str">
        <f>"GAB2030087"</f>
        <v>GAB2030087</v>
      </c>
      <c r="F553" s="3">
        <v>45985</v>
      </c>
      <c r="G553">
        <v>202608</v>
      </c>
      <c r="H553" t="s">
        <v>75</v>
      </c>
      <c r="I553" t="s">
        <v>76</v>
      </c>
      <c r="J553" t="s">
        <v>77</v>
      </c>
      <c r="K553" t="s">
        <v>78</v>
      </c>
      <c r="L553" t="s">
        <v>435</v>
      </c>
      <c r="M553" t="s">
        <v>435</v>
      </c>
      <c r="N553" t="s">
        <v>826</v>
      </c>
      <c r="O553" t="s">
        <v>124</v>
      </c>
      <c r="P553" t="str">
        <f>"INVOICE00123044 CT098467      "</f>
        <v xml:space="preserve">INVOICE00123044 CT098467      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30.07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1</v>
      </c>
      <c r="BI553">
        <v>0.1</v>
      </c>
      <c r="BJ553">
        <v>1.9</v>
      </c>
      <c r="BK553">
        <v>2</v>
      </c>
      <c r="BL553">
        <v>98.42</v>
      </c>
      <c r="BM553">
        <v>14.76</v>
      </c>
      <c r="BN553">
        <v>113.18</v>
      </c>
      <c r="BO553">
        <v>113.18</v>
      </c>
      <c r="BQ553" t="s">
        <v>745</v>
      </c>
      <c r="BR553" t="s">
        <v>84</v>
      </c>
      <c r="BS553" s="3">
        <v>45986</v>
      </c>
      <c r="BT553" s="4">
        <v>0.52777777777777779</v>
      </c>
      <c r="BU553" t="s">
        <v>746</v>
      </c>
      <c r="BV553" t="s">
        <v>86</v>
      </c>
      <c r="BY553">
        <v>9508.9500000000007</v>
      </c>
      <c r="BZ553" t="s">
        <v>126</v>
      </c>
      <c r="CA553" t="s">
        <v>439</v>
      </c>
      <c r="CC553" t="s">
        <v>435</v>
      </c>
      <c r="CD553">
        <v>7646</v>
      </c>
      <c r="CE553" t="s">
        <v>367</v>
      </c>
      <c r="CF553" s="3">
        <v>45987</v>
      </c>
      <c r="CI553">
        <v>1</v>
      </c>
      <c r="CJ553">
        <v>1</v>
      </c>
      <c r="CK553">
        <v>24</v>
      </c>
      <c r="CL553" t="s">
        <v>89</v>
      </c>
    </row>
    <row r="554" spans="1:90" x14ac:dyDescent="0.3">
      <c r="A554" t="s">
        <v>72</v>
      </c>
      <c r="B554" t="s">
        <v>73</v>
      </c>
      <c r="C554" t="s">
        <v>74</v>
      </c>
      <c r="E554" t="str">
        <f>"GAB2030088"</f>
        <v>GAB2030088</v>
      </c>
      <c r="F554" s="3">
        <v>45985</v>
      </c>
      <c r="G554">
        <v>202608</v>
      </c>
      <c r="H554" t="s">
        <v>75</v>
      </c>
      <c r="I554" t="s">
        <v>76</v>
      </c>
      <c r="J554" t="s">
        <v>77</v>
      </c>
      <c r="K554" t="s">
        <v>78</v>
      </c>
      <c r="L554" t="s">
        <v>860</v>
      </c>
      <c r="M554" t="s">
        <v>861</v>
      </c>
      <c r="N554" t="s">
        <v>862</v>
      </c>
      <c r="O554" t="s">
        <v>124</v>
      </c>
      <c r="P554" t="str">
        <f>"INVOICE00123045 CT098465      "</f>
        <v xml:space="preserve">INVOICE00123045 CT098465      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41.43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1</v>
      </c>
      <c r="BI554">
        <v>0.4</v>
      </c>
      <c r="BJ554">
        <v>1.7</v>
      </c>
      <c r="BK554">
        <v>2</v>
      </c>
      <c r="BL554">
        <v>135.59</v>
      </c>
      <c r="BM554">
        <v>20.34</v>
      </c>
      <c r="BN554">
        <v>155.93</v>
      </c>
      <c r="BO554">
        <v>155.93</v>
      </c>
      <c r="BQ554" t="s">
        <v>1559</v>
      </c>
      <c r="BR554" t="s">
        <v>84</v>
      </c>
      <c r="BS554" s="3">
        <v>45987</v>
      </c>
      <c r="BT554" s="4">
        <v>0.51111111111111107</v>
      </c>
      <c r="BU554" t="s">
        <v>1560</v>
      </c>
      <c r="BV554" t="s">
        <v>86</v>
      </c>
      <c r="BY554">
        <v>8605.57</v>
      </c>
      <c r="BZ554" t="s">
        <v>126</v>
      </c>
      <c r="CA554" t="s">
        <v>867</v>
      </c>
      <c r="CC554" t="s">
        <v>861</v>
      </c>
      <c r="CD554" s="5" t="s">
        <v>868</v>
      </c>
      <c r="CE554" t="s">
        <v>1601</v>
      </c>
      <c r="CF554" s="3">
        <v>45987</v>
      </c>
      <c r="CI554">
        <v>2</v>
      </c>
      <c r="CJ554">
        <v>2</v>
      </c>
      <c r="CK554">
        <v>23</v>
      </c>
      <c r="CL554" t="s">
        <v>89</v>
      </c>
    </row>
    <row r="555" spans="1:90" x14ac:dyDescent="0.3">
      <c r="A555" t="s">
        <v>72</v>
      </c>
      <c r="B555" t="s">
        <v>73</v>
      </c>
      <c r="C555" t="s">
        <v>74</v>
      </c>
      <c r="E555" t="str">
        <f>"GAB2030091"</f>
        <v>GAB2030091</v>
      </c>
      <c r="F555" s="3">
        <v>45985</v>
      </c>
      <c r="G555">
        <v>202608</v>
      </c>
      <c r="H555" t="s">
        <v>75</v>
      </c>
      <c r="I555" t="s">
        <v>76</v>
      </c>
      <c r="J555" t="s">
        <v>77</v>
      </c>
      <c r="K555" t="s">
        <v>78</v>
      </c>
      <c r="L555" t="s">
        <v>200</v>
      </c>
      <c r="M555" t="s">
        <v>201</v>
      </c>
      <c r="N555" t="s">
        <v>202</v>
      </c>
      <c r="O555" t="s">
        <v>124</v>
      </c>
      <c r="P555" t="str">
        <f>"invoive00123046 ct098472      "</f>
        <v xml:space="preserve">invoive00123046 ct098472      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50.78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1</v>
      </c>
      <c r="BI555">
        <v>0.2</v>
      </c>
      <c r="BJ555">
        <v>2.2999999999999998</v>
      </c>
      <c r="BK555">
        <v>2.5</v>
      </c>
      <c r="BL555">
        <v>166.2</v>
      </c>
      <c r="BM555">
        <v>24.93</v>
      </c>
      <c r="BN555">
        <v>191.13</v>
      </c>
      <c r="BO555">
        <v>191.13</v>
      </c>
      <c r="BQ555" t="s">
        <v>828</v>
      </c>
      <c r="BR555" t="s">
        <v>84</v>
      </c>
      <c r="BS555" s="3">
        <v>45987</v>
      </c>
      <c r="BT555" s="4">
        <v>0.38263888888888886</v>
      </c>
      <c r="BU555" t="s">
        <v>1591</v>
      </c>
      <c r="BV555" t="s">
        <v>89</v>
      </c>
      <c r="BW555" t="s">
        <v>830</v>
      </c>
      <c r="BX555" t="s">
        <v>831</v>
      </c>
      <c r="BY555">
        <v>11288.97</v>
      </c>
      <c r="BZ555" t="s">
        <v>126</v>
      </c>
      <c r="CA555">
        <v>9608125162082</v>
      </c>
      <c r="CC555" t="s">
        <v>201</v>
      </c>
      <c r="CD555">
        <v>1900</v>
      </c>
      <c r="CE555" t="s">
        <v>367</v>
      </c>
      <c r="CF555" s="3">
        <v>45987</v>
      </c>
      <c r="CI555">
        <v>1</v>
      </c>
      <c r="CJ555">
        <v>2</v>
      </c>
      <c r="CK555">
        <v>23</v>
      </c>
      <c r="CL555" t="s">
        <v>89</v>
      </c>
    </row>
    <row r="556" spans="1:90" x14ac:dyDescent="0.3">
      <c r="A556" t="s">
        <v>72</v>
      </c>
      <c r="B556" t="s">
        <v>73</v>
      </c>
      <c r="C556" t="s">
        <v>74</v>
      </c>
      <c r="E556" t="str">
        <f>"GAB2030092"</f>
        <v>GAB2030092</v>
      </c>
      <c r="F556" s="3">
        <v>45985</v>
      </c>
      <c r="G556">
        <v>202608</v>
      </c>
      <c r="H556" t="s">
        <v>75</v>
      </c>
      <c r="I556" t="s">
        <v>76</v>
      </c>
      <c r="J556" t="s">
        <v>77</v>
      </c>
      <c r="K556" t="s">
        <v>78</v>
      </c>
      <c r="L556" t="s">
        <v>212</v>
      </c>
      <c r="M556" t="s">
        <v>213</v>
      </c>
      <c r="N556" t="s">
        <v>410</v>
      </c>
      <c r="O556" t="s">
        <v>124</v>
      </c>
      <c r="P556" t="str">
        <f>"invoice00041844 ORDGS038453   "</f>
        <v xml:space="preserve">invoice00041844 ORDGS038453   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26.73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1</v>
      </c>
      <c r="BI556">
        <v>0.2</v>
      </c>
      <c r="BJ556">
        <v>2.5</v>
      </c>
      <c r="BK556">
        <v>2.5</v>
      </c>
      <c r="BL556">
        <v>87.47</v>
      </c>
      <c r="BM556">
        <v>13.12</v>
      </c>
      <c r="BN556">
        <v>100.59</v>
      </c>
      <c r="BO556">
        <v>100.59</v>
      </c>
      <c r="BQ556" t="s">
        <v>1091</v>
      </c>
      <c r="BR556" t="s">
        <v>84</v>
      </c>
      <c r="BS556" s="3">
        <v>45986</v>
      </c>
      <c r="BT556" s="4">
        <v>0.41180555555555554</v>
      </c>
      <c r="BU556" t="s">
        <v>1610</v>
      </c>
      <c r="BV556" t="s">
        <v>86</v>
      </c>
      <c r="BY556">
        <v>12325.5</v>
      </c>
      <c r="BZ556" t="s">
        <v>126</v>
      </c>
      <c r="CA556" t="s">
        <v>1611</v>
      </c>
      <c r="CC556" t="s">
        <v>213</v>
      </c>
      <c r="CD556">
        <v>5201</v>
      </c>
      <c r="CE556" t="s">
        <v>1092</v>
      </c>
      <c r="CF556" s="3">
        <v>45986</v>
      </c>
      <c r="CI556">
        <v>1</v>
      </c>
      <c r="CJ556">
        <v>1</v>
      </c>
      <c r="CK556">
        <v>21</v>
      </c>
      <c r="CL556" t="s">
        <v>89</v>
      </c>
    </row>
    <row r="557" spans="1:90" x14ac:dyDescent="0.3">
      <c r="A557" t="s">
        <v>72</v>
      </c>
      <c r="B557" t="s">
        <v>73</v>
      </c>
      <c r="C557" t="s">
        <v>74</v>
      </c>
      <c r="E557" t="str">
        <f>"GAB2030093"</f>
        <v>GAB2030093</v>
      </c>
      <c r="F557" s="3">
        <v>45985</v>
      </c>
      <c r="G557">
        <v>202608</v>
      </c>
      <c r="H557" t="s">
        <v>75</v>
      </c>
      <c r="I557" t="s">
        <v>76</v>
      </c>
      <c r="J557" t="s">
        <v>77</v>
      </c>
      <c r="K557" t="s">
        <v>78</v>
      </c>
      <c r="L557" t="s">
        <v>353</v>
      </c>
      <c r="M557" t="s">
        <v>354</v>
      </c>
      <c r="N557" t="s">
        <v>1612</v>
      </c>
      <c r="O557" t="s">
        <v>124</v>
      </c>
      <c r="P557" t="str">
        <f>"INVOICE00041845 ORDGS038467   "</f>
        <v xml:space="preserve">INVOICE00041845 ORDGS038467   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41.43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1</v>
      </c>
      <c r="BI557">
        <v>0.1</v>
      </c>
      <c r="BJ557">
        <v>2</v>
      </c>
      <c r="BK557">
        <v>2</v>
      </c>
      <c r="BL557">
        <v>135.59</v>
      </c>
      <c r="BM557">
        <v>20.34</v>
      </c>
      <c r="BN557">
        <v>155.93</v>
      </c>
      <c r="BO557">
        <v>155.93</v>
      </c>
      <c r="BQ557" t="s">
        <v>1613</v>
      </c>
      <c r="BR557" t="s">
        <v>84</v>
      </c>
      <c r="BS557" s="3">
        <v>45987</v>
      </c>
      <c r="BT557" s="4">
        <v>0.4465277777777778</v>
      </c>
      <c r="BU557" t="s">
        <v>1614</v>
      </c>
      <c r="BV557" t="s">
        <v>89</v>
      </c>
      <c r="BY557">
        <v>10053.44</v>
      </c>
      <c r="BZ557" t="s">
        <v>126</v>
      </c>
      <c r="CA557" t="s">
        <v>1615</v>
      </c>
      <c r="CC557" t="s">
        <v>354</v>
      </c>
      <c r="CD557">
        <v>1055</v>
      </c>
      <c r="CE557" t="s">
        <v>367</v>
      </c>
      <c r="CI557">
        <v>1</v>
      </c>
      <c r="CJ557">
        <v>2</v>
      </c>
      <c r="CK557">
        <v>23</v>
      </c>
      <c r="CL557" t="s">
        <v>89</v>
      </c>
    </row>
    <row r="558" spans="1:90" x14ac:dyDescent="0.3">
      <c r="A558" t="s">
        <v>72</v>
      </c>
      <c r="B558" t="s">
        <v>73</v>
      </c>
      <c r="C558" t="s">
        <v>74</v>
      </c>
      <c r="E558" t="str">
        <f>"GAB2030094"</f>
        <v>GAB2030094</v>
      </c>
      <c r="F558" s="3">
        <v>45985</v>
      </c>
      <c r="G558">
        <v>202608</v>
      </c>
      <c r="H558" t="s">
        <v>75</v>
      </c>
      <c r="I558" t="s">
        <v>76</v>
      </c>
      <c r="J558" t="s">
        <v>77</v>
      </c>
      <c r="K558" t="s">
        <v>78</v>
      </c>
      <c r="L558" t="s">
        <v>465</v>
      </c>
      <c r="M558" t="s">
        <v>466</v>
      </c>
      <c r="N558" t="s">
        <v>467</v>
      </c>
      <c r="O558" t="s">
        <v>124</v>
      </c>
      <c r="P558" t="str">
        <f>"INVOICE00123056 CT098473      "</f>
        <v xml:space="preserve">INVOICE00123056 CT098473      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60.14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1</v>
      </c>
      <c r="BI558">
        <v>0.2</v>
      </c>
      <c r="BJ558">
        <v>2.8</v>
      </c>
      <c r="BK558">
        <v>3</v>
      </c>
      <c r="BL558">
        <v>196.82</v>
      </c>
      <c r="BM558">
        <v>29.52</v>
      </c>
      <c r="BN558">
        <v>226.34</v>
      </c>
      <c r="BO558">
        <v>226.34</v>
      </c>
      <c r="BQ558" t="s">
        <v>468</v>
      </c>
      <c r="BR558" t="s">
        <v>84</v>
      </c>
      <c r="BS558" s="3">
        <v>45986</v>
      </c>
      <c r="BT558" s="4">
        <v>0.48402777777777778</v>
      </c>
      <c r="BU558" t="s">
        <v>1027</v>
      </c>
      <c r="BV558" t="s">
        <v>86</v>
      </c>
      <c r="BY558">
        <v>13942.95</v>
      </c>
      <c r="BZ558" t="s">
        <v>126</v>
      </c>
      <c r="CA558" t="s">
        <v>1304</v>
      </c>
      <c r="CC558" t="s">
        <v>466</v>
      </c>
      <c r="CD558">
        <v>2515</v>
      </c>
      <c r="CE558" t="s">
        <v>814</v>
      </c>
      <c r="CF558" s="3">
        <v>45987</v>
      </c>
      <c r="CI558">
        <v>1</v>
      </c>
      <c r="CJ558">
        <v>1</v>
      </c>
      <c r="CK558">
        <v>23</v>
      </c>
      <c r="CL558" t="s">
        <v>89</v>
      </c>
    </row>
    <row r="559" spans="1:90" x14ac:dyDescent="0.3">
      <c r="A559" t="s">
        <v>72</v>
      </c>
      <c r="B559" t="s">
        <v>73</v>
      </c>
      <c r="C559" t="s">
        <v>74</v>
      </c>
      <c r="E559" t="str">
        <f>"GAB2030095"</f>
        <v>GAB2030095</v>
      </c>
      <c r="F559" s="3">
        <v>45985</v>
      </c>
      <c r="G559">
        <v>202608</v>
      </c>
      <c r="H559" t="s">
        <v>75</v>
      </c>
      <c r="I559" t="s">
        <v>76</v>
      </c>
      <c r="J559" t="s">
        <v>77</v>
      </c>
      <c r="K559" t="s">
        <v>78</v>
      </c>
      <c r="L559" t="s">
        <v>230</v>
      </c>
      <c r="M559" t="s">
        <v>231</v>
      </c>
      <c r="N559" t="s">
        <v>232</v>
      </c>
      <c r="O559" t="s">
        <v>124</v>
      </c>
      <c r="P559" t="str">
        <f>"INVOICE00041841 ORDGS038439   "</f>
        <v xml:space="preserve">INVOICE00041841 ORDGS038439   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32.07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1</v>
      </c>
      <c r="BI559">
        <v>0.4</v>
      </c>
      <c r="BJ559">
        <v>2.8</v>
      </c>
      <c r="BK559">
        <v>3</v>
      </c>
      <c r="BL559">
        <v>104.95</v>
      </c>
      <c r="BM559">
        <v>15.74</v>
      </c>
      <c r="BN559">
        <v>120.69</v>
      </c>
      <c r="BO559">
        <v>120.69</v>
      </c>
      <c r="BQ559" t="s">
        <v>947</v>
      </c>
      <c r="BR559" t="s">
        <v>84</v>
      </c>
      <c r="BS559" s="3">
        <v>45986</v>
      </c>
      <c r="BT559" s="4">
        <v>0.3527777777777778</v>
      </c>
      <c r="BU559" t="s">
        <v>948</v>
      </c>
      <c r="BV559" t="s">
        <v>86</v>
      </c>
      <c r="BY559">
        <v>14025.27</v>
      </c>
      <c r="BZ559" t="s">
        <v>126</v>
      </c>
      <c r="CA559">
        <v>8102155384080</v>
      </c>
      <c r="CC559" t="s">
        <v>231</v>
      </c>
      <c r="CD559" s="5" t="s">
        <v>235</v>
      </c>
      <c r="CE559" t="s">
        <v>807</v>
      </c>
      <c r="CF559" s="3">
        <v>45986</v>
      </c>
      <c r="CI559">
        <v>1</v>
      </c>
      <c r="CJ559">
        <v>1</v>
      </c>
      <c r="CK559">
        <v>21</v>
      </c>
      <c r="CL559" t="s">
        <v>89</v>
      </c>
    </row>
    <row r="560" spans="1:90" x14ac:dyDescent="0.3">
      <c r="A560" t="s">
        <v>72</v>
      </c>
      <c r="B560" t="s">
        <v>73</v>
      </c>
      <c r="C560" t="s">
        <v>74</v>
      </c>
      <c r="E560" t="str">
        <f>"GAB2030096"</f>
        <v>GAB2030096</v>
      </c>
      <c r="F560" s="3">
        <v>45985</v>
      </c>
      <c r="G560">
        <v>202608</v>
      </c>
      <c r="H560" t="s">
        <v>75</v>
      </c>
      <c r="I560" t="s">
        <v>76</v>
      </c>
      <c r="J560" t="s">
        <v>77</v>
      </c>
      <c r="K560" t="s">
        <v>78</v>
      </c>
      <c r="L560" t="s">
        <v>169</v>
      </c>
      <c r="M560" t="s">
        <v>170</v>
      </c>
      <c r="N560" t="s">
        <v>533</v>
      </c>
      <c r="O560" t="s">
        <v>124</v>
      </c>
      <c r="P560" t="str">
        <f>"INVOICE00041842 00041798 ORDGS"</f>
        <v>INVOICE00041842 00041798 ORDGS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26.73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1</v>
      </c>
      <c r="BI560">
        <v>0.2</v>
      </c>
      <c r="BJ560">
        <v>2.4</v>
      </c>
      <c r="BK560">
        <v>2.5</v>
      </c>
      <c r="BL560">
        <v>87.47</v>
      </c>
      <c r="BM560">
        <v>13.12</v>
      </c>
      <c r="BN560">
        <v>100.59</v>
      </c>
      <c r="BO560">
        <v>100.59</v>
      </c>
      <c r="BQ560" t="s">
        <v>118</v>
      </c>
      <c r="BR560" t="s">
        <v>84</v>
      </c>
      <c r="BS560" s="3">
        <v>45986</v>
      </c>
      <c r="BT560" s="4">
        <v>0.37847222222222221</v>
      </c>
      <c r="BU560" t="s">
        <v>534</v>
      </c>
      <c r="BV560" t="s">
        <v>86</v>
      </c>
      <c r="BY560">
        <v>11985.12</v>
      </c>
      <c r="BZ560" t="s">
        <v>126</v>
      </c>
      <c r="CA560" t="s">
        <v>378</v>
      </c>
      <c r="CC560" t="s">
        <v>170</v>
      </c>
      <c r="CD560">
        <v>2191</v>
      </c>
      <c r="CE560" t="s">
        <v>814</v>
      </c>
      <c r="CF560" s="3">
        <v>45986</v>
      </c>
      <c r="CI560">
        <v>1</v>
      </c>
      <c r="CJ560">
        <v>1</v>
      </c>
      <c r="CK560">
        <v>21</v>
      </c>
      <c r="CL560" t="s">
        <v>89</v>
      </c>
    </row>
    <row r="561" spans="1:90" x14ac:dyDescent="0.3">
      <c r="A561" t="s">
        <v>72</v>
      </c>
      <c r="B561" t="s">
        <v>73</v>
      </c>
      <c r="C561" t="s">
        <v>74</v>
      </c>
      <c r="E561" t="str">
        <f>"GAB2030022"</f>
        <v>GAB2030022</v>
      </c>
      <c r="F561" s="3">
        <v>45981</v>
      </c>
      <c r="G561">
        <v>202608</v>
      </c>
      <c r="H561" t="s">
        <v>75</v>
      </c>
      <c r="I561" t="s">
        <v>76</v>
      </c>
      <c r="J561" t="s">
        <v>236</v>
      </c>
      <c r="K561" t="s">
        <v>78</v>
      </c>
      <c r="L561" t="s">
        <v>447</v>
      </c>
      <c r="M561" t="s">
        <v>448</v>
      </c>
      <c r="N561" t="s">
        <v>1616</v>
      </c>
      <c r="O561" t="s">
        <v>124</v>
      </c>
      <c r="P561" t="str">
        <f>"MICHELLE FICK                 "</f>
        <v xml:space="preserve">MICHELLE FICK                 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21.38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1</v>
      </c>
      <c r="BI561">
        <v>1</v>
      </c>
      <c r="BJ561">
        <v>0.2</v>
      </c>
      <c r="BK561">
        <v>1</v>
      </c>
      <c r="BL561">
        <v>69.98</v>
      </c>
      <c r="BM561">
        <v>10.5</v>
      </c>
      <c r="BN561">
        <v>80.48</v>
      </c>
      <c r="BO561">
        <v>80.48</v>
      </c>
      <c r="BQ561" t="s">
        <v>1617</v>
      </c>
      <c r="BR561" t="s">
        <v>252</v>
      </c>
      <c r="BS561" s="3">
        <v>45982</v>
      </c>
      <c r="BT561" s="4">
        <v>0.41180555555555554</v>
      </c>
      <c r="BU561" t="s">
        <v>1618</v>
      </c>
      <c r="BV561" t="s">
        <v>86</v>
      </c>
      <c r="BY561">
        <v>1200</v>
      </c>
      <c r="BZ561" t="s">
        <v>1619</v>
      </c>
      <c r="CA561" t="s">
        <v>1620</v>
      </c>
      <c r="CC561" t="s">
        <v>448</v>
      </c>
      <c r="CD561">
        <v>1682</v>
      </c>
      <c r="CE561" t="s">
        <v>683</v>
      </c>
      <c r="CF561" s="3">
        <v>45983</v>
      </c>
      <c r="CI561">
        <v>1</v>
      </c>
      <c r="CJ561">
        <v>1</v>
      </c>
      <c r="CK561">
        <v>21</v>
      </c>
      <c r="CL561" t="s">
        <v>89</v>
      </c>
    </row>
    <row r="562" spans="1:90" x14ac:dyDescent="0.3">
      <c r="A562" t="s">
        <v>72</v>
      </c>
      <c r="B562" t="s">
        <v>73</v>
      </c>
      <c r="C562" t="s">
        <v>74</v>
      </c>
      <c r="E562" t="str">
        <f>"080011689012"</f>
        <v>080011689012</v>
      </c>
      <c r="F562" s="3">
        <v>45986</v>
      </c>
      <c r="G562">
        <v>202608</v>
      </c>
      <c r="H562" t="s">
        <v>155</v>
      </c>
      <c r="I562" t="s">
        <v>156</v>
      </c>
      <c r="J562" t="s">
        <v>1621</v>
      </c>
      <c r="K562" t="s">
        <v>78</v>
      </c>
      <c r="L562" t="s">
        <v>75</v>
      </c>
      <c r="M562" t="s">
        <v>76</v>
      </c>
      <c r="N562" t="s">
        <v>236</v>
      </c>
      <c r="O562" t="s">
        <v>82</v>
      </c>
      <c r="P562" t="str">
        <f>"Hester                        "</f>
        <v xml:space="preserve">Hester                        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5.87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220.61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1</v>
      </c>
      <c r="BI562">
        <v>120</v>
      </c>
      <c r="BJ562">
        <v>66.5</v>
      </c>
      <c r="BK562">
        <v>120</v>
      </c>
      <c r="BL562">
        <v>727.86</v>
      </c>
      <c r="BM562">
        <v>109.18</v>
      </c>
      <c r="BN562">
        <v>837.04</v>
      </c>
      <c r="BO562">
        <v>837.04</v>
      </c>
      <c r="BP562" t="s">
        <v>1622</v>
      </c>
      <c r="BQ562" t="s">
        <v>997</v>
      </c>
      <c r="BR562" t="s">
        <v>1623</v>
      </c>
      <c r="BS562" s="3">
        <v>45988</v>
      </c>
      <c r="BT562" s="4">
        <v>0.51388888888888884</v>
      </c>
      <c r="BU562" t="s">
        <v>507</v>
      </c>
      <c r="BV562" t="s">
        <v>86</v>
      </c>
      <c r="BY562">
        <v>332500</v>
      </c>
      <c r="BZ562" t="s">
        <v>505</v>
      </c>
      <c r="CA562" t="s">
        <v>508</v>
      </c>
      <c r="CC562" t="s">
        <v>76</v>
      </c>
      <c r="CD562">
        <v>7460</v>
      </c>
      <c r="CE562" t="s">
        <v>245</v>
      </c>
      <c r="CI562">
        <v>3</v>
      </c>
      <c r="CJ562">
        <v>1</v>
      </c>
      <c r="CK562">
        <v>41</v>
      </c>
      <c r="CL562" t="s">
        <v>89</v>
      </c>
    </row>
    <row r="563" spans="1:90" x14ac:dyDescent="0.3">
      <c r="A563" t="s">
        <v>72</v>
      </c>
      <c r="B563" t="s">
        <v>73</v>
      </c>
      <c r="C563" t="s">
        <v>74</v>
      </c>
      <c r="E563" t="str">
        <f>"GAB2030105"</f>
        <v>GAB2030105</v>
      </c>
      <c r="F563" s="3">
        <v>45986</v>
      </c>
      <c r="G563">
        <v>202608</v>
      </c>
      <c r="H563" t="s">
        <v>75</v>
      </c>
      <c r="I563" t="s">
        <v>76</v>
      </c>
      <c r="J563" t="s">
        <v>77</v>
      </c>
      <c r="K563" t="s">
        <v>78</v>
      </c>
      <c r="L563" t="s">
        <v>595</v>
      </c>
      <c r="M563" t="s">
        <v>596</v>
      </c>
      <c r="N563" t="s">
        <v>597</v>
      </c>
      <c r="O563" t="s">
        <v>82</v>
      </c>
      <c r="P563" t="str">
        <f>"INVOICE00123071 CT098167      "</f>
        <v xml:space="preserve">INVOICE00123071 CT098167      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5.87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58.32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1</v>
      </c>
      <c r="BI563">
        <v>1.6</v>
      </c>
      <c r="BJ563">
        <v>5.9</v>
      </c>
      <c r="BK563">
        <v>6</v>
      </c>
      <c r="BL563">
        <v>196.74</v>
      </c>
      <c r="BM563">
        <v>29.51</v>
      </c>
      <c r="BN563">
        <v>226.25</v>
      </c>
      <c r="BO563">
        <v>226.25</v>
      </c>
      <c r="BQ563" t="s">
        <v>1624</v>
      </c>
      <c r="BR563" t="s">
        <v>84</v>
      </c>
      <c r="BS563" t="s">
        <v>305</v>
      </c>
      <c r="BY563">
        <v>29497.119999999999</v>
      </c>
      <c r="CC563" t="s">
        <v>596</v>
      </c>
      <c r="CD563">
        <v>8800</v>
      </c>
      <c r="CE563" t="s">
        <v>103</v>
      </c>
      <c r="CI563">
        <v>5</v>
      </c>
      <c r="CJ563" t="s">
        <v>305</v>
      </c>
      <c r="CK563">
        <v>43</v>
      </c>
      <c r="CL563" t="s">
        <v>89</v>
      </c>
    </row>
    <row r="564" spans="1:90" x14ac:dyDescent="0.3">
      <c r="A564" t="s">
        <v>72</v>
      </c>
      <c r="B564" t="s">
        <v>73</v>
      </c>
      <c r="C564" t="s">
        <v>74</v>
      </c>
      <c r="E564" t="str">
        <f>"GAB2030106"</f>
        <v>GAB2030106</v>
      </c>
      <c r="F564" s="3">
        <v>45986</v>
      </c>
      <c r="G564">
        <v>202608</v>
      </c>
      <c r="H564" t="s">
        <v>75</v>
      </c>
      <c r="I564" t="s">
        <v>76</v>
      </c>
      <c r="J564" t="s">
        <v>77</v>
      </c>
      <c r="K564" t="s">
        <v>78</v>
      </c>
      <c r="L564" t="s">
        <v>175</v>
      </c>
      <c r="M564" t="s">
        <v>176</v>
      </c>
      <c r="N564" t="s">
        <v>591</v>
      </c>
      <c r="O564" t="s">
        <v>82</v>
      </c>
      <c r="P564" t="str">
        <f>"INVOICE00123072 00123070 00041"</f>
        <v>INVOICE00123072 00123070 00041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5.87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58.32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1</v>
      </c>
      <c r="BI564">
        <v>2.7</v>
      </c>
      <c r="BJ564">
        <v>5.8</v>
      </c>
      <c r="BK564">
        <v>6</v>
      </c>
      <c r="BL564">
        <v>196.74</v>
      </c>
      <c r="BM564">
        <v>29.51</v>
      </c>
      <c r="BN564">
        <v>226.25</v>
      </c>
      <c r="BO564">
        <v>226.25</v>
      </c>
      <c r="BQ564" t="s">
        <v>1625</v>
      </c>
      <c r="BR564" t="s">
        <v>84</v>
      </c>
      <c r="BS564" t="s">
        <v>305</v>
      </c>
      <c r="BY564">
        <v>29121.4</v>
      </c>
      <c r="CC564" t="s">
        <v>176</v>
      </c>
      <c r="CD564">
        <v>2745</v>
      </c>
      <c r="CE564" t="s">
        <v>103</v>
      </c>
      <c r="CI564">
        <v>2</v>
      </c>
      <c r="CJ564" t="s">
        <v>305</v>
      </c>
      <c r="CK564">
        <v>43</v>
      </c>
      <c r="CL564" t="s">
        <v>89</v>
      </c>
    </row>
    <row r="565" spans="1:90" x14ac:dyDescent="0.3">
      <c r="A565" t="s">
        <v>72</v>
      </c>
      <c r="B565" t="s">
        <v>73</v>
      </c>
      <c r="C565" t="s">
        <v>74</v>
      </c>
      <c r="E565" t="str">
        <f>"GAB2030110"</f>
        <v>GAB2030110</v>
      </c>
      <c r="F565" s="3">
        <v>45986</v>
      </c>
      <c r="G565">
        <v>202608</v>
      </c>
      <c r="H565" t="s">
        <v>75</v>
      </c>
      <c r="I565" t="s">
        <v>76</v>
      </c>
      <c r="J565" t="s">
        <v>77</v>
      </c>
      <c r="K565" t="s">
        <v>78</v>
      </c>
      <c r="L565" t="s">
        <v>189</v>
      </c>
      <c r="M565" t="s">
        <v>190</v>
      </c>
      <c r="N565" t="s">
        <v>1626</v>
      </c>
      <c r="O565" t="s">
        <v>82</v>
      </c>
      <c r="P565" t="str">
        <f>"INVOICE00041853 ORDGS038119   "</f>
        <v xml:space="preserve">INVOICE00041853 ORDGS038119   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5.87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58.32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1</v>
      </c>
      <c r="BI565">
        <v>5.8</v>
      </c>
      <c r="BJ565">
        <v>12.7</v>
      </c>
      <c r="BK565">
        <v>13</v>
      </c>
      <c r="BL565">
        <v>196.74</v>
      </c>
      <c r="BM565">
        <v>29.51</v>
      </c>
      <c r="BN565">
        <v>226.25</v>
      </c>
      <c r="BO565">
        <v>226.25</v>
      </c>
      <c r="BQ565" t="s">
        <v>185</v>
      </c>
      <c r="BR565" t="s">
        <v>84</v>
      </c>
      <c r="BS565" s="3">
        <v>45987</v>
      </c>
      <c r="BT565" s="4">
        <v>0.63472222222222219</v>
      </c>
      <c r="BU565" t="s">
        <v>1627</v>
      </c>
      <c r="BV565" t="s">
        <v>86</v>
      </c>
      <c r="BY565">
        <v>63465.599999999999</v>
      </c>
      <c r="CA565">
        <v>7810105176080</v>
      </c>
      <c r="CC565" t="s">
        <v>190</v>
      </c>
      <c r="CD565">
        <v>6500</v>
      </c>
      <c r="CE565" t="s">
        <v>103</v>
      </c>
      <c r="CF565" s="3">
        <v>45988</v>
      </c>
      <c r="CI565">
        <v>1</v>
      </c>
      <c r="CJ565">
        <v>1</v>
      </c>
      <c r="CK565">
        <v>43</v>
      </c>
      <c r="CL565" t="s">
        <v>89</v>
      </c>
    </row>
    <row r="566" spans="1:90" x14ac:dyDescent="0.3">
      <c r="A566" t="s">
        <v>72</v>
      </c>
      <c r="B566" t="s">
        <v>73</v>
      </c>
      <c r="C566" t="s">
        <v>74</v>
      </c>
      <c r="E566" t="str">
        <f>"GAB2030115"</f>
        <v>GAB2030115</v>
      </c>
      <c r="F566" s="3">
        <v>45986</v>
      </c>
      <c r="G566">
        <v>202608</v>
      </c>
      <c r="H566" t="s">
        <v>75</v>
      </c>
      <c r="I566" t="s">
        <v>76</v>
      </c>
      <c r="J566" t="s">
        <v>77</v>
      </c>
      <c r="K566" t="s">
        <v>78</v>
      </c>
      <c r="L566" t="s">
        <v>353</v>
      </c>
      <c r="M566" t="s">
        <v>354</v>
      </c>
      <c r="N566" t="s">
        <v>589</v>
      </c>
      <c r="O566" t="s">
        <v>82</v>
      </c>
      <c r="P566" t="str">
        <f>"INVOICE0004157 00041859 ORDGS0"</f>
        <v>INVOICE0004157 00041859 ORDGS0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5.87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153.63999999999999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3</v>
      </c>
      <c r="BI566">
        <v>20.8</v>
      </c>
      <c r="BJ566">
        <v>46.1</v>
      </c>
      <c r="BK566">
        <v>47</v>
      </c>
      <c r="BL566">
        <v>508.7</v>
      </c>
      <c r="BM566">
        <v>76.31</v>
      </c>
      <c r="BN566">
        <v>585.01</v>
      </c>
      <c r="BO566">
        <v>585.01</v>
      </c>
      <c r="BQ566" t="s">
        <v>185</v>
      </c>
      <c r="BR566" t="s">
        <v>84</v>
      </c>
      <c r="BS566" t="s">
        <v>305</v>
      </c>
      <c r="BY566">
        <v>230320.1</v>
      </c>
      <c r="CC566" t="s">
        <v>354</v>
      </c>
      <c r="CD566">
        <v>1050</v>
      </c>
      <c r="CE566" t="s">
        <v>103</v>
      </c>
      <c r="CI566">
        <v>2</v>
      </c>
      <c r="CJ566" t="s">
        <v>305</v>
      </c>
      <c r="CK566">
        <v>43</v>
      </c>
      <c r="CL566" t="s">
        <v>89</v>
      </c>
    </row>
    <row r="567" spans="1:90" x14ac:dyDescent="0.3">
      <c r="A567" t="s">
        <v>72</v>
      </c>
      <c r="B567" t="s">
        <v>73</v>
      </c>
      <c r="C567" t="s">
        <v>74</v>
      </c>
      <c r="E567" t="str">
        <f>"GAB2030116"</f>
        <v>GAB2030116</v>
      </c>
      <c r="F567" s="3">
        <v>45986</v>
      </c>
      <c r="G567">
        <v>202608</v>
      </c>
      <c r="H567" t="s">
        <v>75</v>
      </c>
      <c r="I567" t="s">
        <v>76</v>
      </c>
      <c r="J567" t="s">
        <v>77</v>
      </c>
      <c r="K567" t="s">
        <v>78</v>
      </c>
      <c r="L567" t="s">
        <v>230</v>
      </c>
      <c r="M567" t="s">
        <v>231</v>
      </c>
      <c r="N567" t="s">
        <v>1006</v>
      </c>
      <c r="O567" t="s">
        <v>82</v>
      </c>
      <c r="P567" t="str">
        <f>"INVOICE00041858 ORDGS037640   "</f>
        <v xml:space="preserve">INVOICE00041858 ORDGS037640   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5.87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41.35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1</v>
      </c>
      <c r="BI567">
        <v>2.6</v>
      </c>
      <c r="BJ567">
        <v>6.1</v>
      </c>
      <c r="BK567">
        <v>7</v>
      </c>
      <c r="BL567">
        <v>141.19999999999999</v>
      </c>
      <c r="BM567">
        <v>21.18</v>
      </c>
      <c r="BN567">
        <v>162.38</v>
      </c>
      <c r="BO567">
        <v>162.38</v>
      </c>
      <c r="BR567" t="s">
        <v>84</v>
      </c>
      <c r="BS567" s="3">
        <v>45988</v>
      </c>
      <c r="BT567" s="4">
        <v>0.44166666666666665</v>
      </c>
      <c r="BU567" t="s">
        <v>1628</v>
      </c>
      <c r="BV567" t="s">
        <v>86</v>
      </c>
      <c r="BY567">
        <v>30353.599999999999</v>
      </c>
      <c r="CC567" t="s">
        <v>231</v>
      </c>
      <c r="CD567" s="5" t="s">
        <v>382</v>
      </c>
      <c r="CE567" t="s">
        <v>103</v>
      </c>
      <c r="CF567" s="3">
        <v>45988</v>
      </c>
      <c r="CI567">
        <v>3</v>
      </c>
      <c r="CJ567">
        <v>2</v>
      </c>
      <c r="CK567">
        <v>41</v>
      </c>
      <c r="CL567" t="s">
        <v>89</v>
      </c>
    </row>
    <row r="568" spans="1:90" x14ac:dyDescent="0.3">
      <c r="A568" t="s">
        <v>72</v>
      </c>
      <c r="B568" t="s">
        <v>73</v>
      </c>
      <c r="C568" t="s">
        <v>74</v>
      </c>
      <c r="E568" t="str">
        <f>"GAB2030118"</f>
        <v>GAB2030118</v>
      </c>
      <c r="F568" s="3">
        <v>45986</v>
      </c>
      <c r="G568">
        <v>202608</v>
      </c>
      <c r="H568" t="s">
        <v>75</v>
      </c>
      <c r="I568" t="s">
        <v>76</v>
      </c>
      <c r="J568" t="s">
        <v>77</v>
      </c>
      <c r="K568" t="s">
        <v>78</v>
      </c>
      <c r="L568" t="s">
        <v>429</v>
      </c>
      <c r="M568" t="s">
        <v>430</v>
      </c>
      <c r="N568" t="s">
        <v>1629</v>
      </c>
      <c r="O568" t="s">
        <v>82</v>
      </c>
      <c r="P568" t="str">
        <f>"INVOICE000452 ORDGMD00446     "</f>
        <v xml:space="preserve">INVOICE000452 ORDGMD00446     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5.87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41.35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1</v>
      </c>
      <c r="BI568">
        <v>3.2</v>
      </c>
      <c r="BJ568">
        <v>5.9</v>
      </c>
      <c r="BK568">
        <v>6</v>
      </c>
      <c r="BL568">
        <v>141.19999999999999</v>
      </c>
      <c r="BM568">
        <v>21.18</v>
      </c>
      <c r="BN568">
        <v>162.38</v>
      </c>
      <c r="BO568">
        <v>162.38</v>
      </c>
      <c r="BR568" t="s">
        <v>84</v>
      </c>
      <c r="BS568" t="s">
        <v>305</v>
      </c>
      <c r="BY568">
        <v>29398.95</v>
      </c>
      <c r="CC568" t="s">
        <v>430</v>
      </c>
      <c r="CD568">
        <v>3217</v>
      </c>
      <c r="CE568" t="s">
        <v>1519</v>
      </c>
      <c r="CI568">
        <v>8</v>
      </c>
      <c r="CJ568" t="s">
        <v>305</v>
      </c>
      <c r="CK568">
        <v>41</v>
      </c>
      <c r="CL568" t="s">
        <v>89</v>
      </c>
    </row>
    <row r="569" spans="1:90" x14ac:dyDescent="0.3">
      <c r="A569" t="s">
        <v>72</v>
      </c>
      <c r="B569" t="s">
        <v>73</v>
      </c>
      <c r="C569" t="s">
        <v>74</v>
      </c>
      <c r="E569" t="str">
        <f>"GAB2030119"</f>
        <v>GAB2030119</v>
      </c>
      <c r="F569" s="3">
        <v>45986</v>
      </c>
      <c r="G569">
        <v>202608</v>
      </c>
      <c r="H569" t="s">
        <v>75</v>
      </c>
      <c r="I569" t="s">
        <v>76</v>
      </c>
      <c r="J569" t="s">
        <v>77</v>
      </c>
      <c r="K569" t="s">
        <v>78</v>
      </c>
      <c r="L569" t="s">
        <v>90</v>
      </c>
      <c r="M569" t="s">
        <v>91</v>
      </c>
      <c r="N569" t="s">
        <v>1630</v>
      </c>
      <c r="O569" t="s">
        <v>82</v>
      </c>
      <c r="P569" t="str">
        <f>"INVOICE00123094 CT098366      "</f>
        <v xml:space="preserve">INVOICE00123094 CT098366      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5.87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58.42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1</v>
      </c>
      <c r="BI569">
        <v>8.6</v>
      </c>
      <c r="BJ569">
        <v>24.3</v>
      </c>
      <c r="BK569">
        <v>25</v>
      </c>
      <c r="BL569">
        <v>197.07</v>
      </c>
      <c r="BM569">
        <v>29.56</v>
      </c>
      <c r="BN569">
        <v>226.63</v>
      </c>
      <c r="BO569">
        <v>226.63</v>
      </c>
      <c r="BR569" t="s">
        <v>84</v>
      </c>
      <c r="BS569" t="s">
        <v>305</v>
      </c>
      <c r="BY569">
        <v>121606.08</v>
      </c>
      <c r="CC569" t="s">
        <v>91</v>
      </c>
      <c r="CD569">
        <v>4001</v>
      </c>
      <c r="CE569" t="s">
        <v>1519</v>
      </c>
      <c r="CI569">
        <v>3</v>
      </c>
      <c r="CJ569" t="s">
        <v>305</v>
      </c>
      <c r="CK569">
        <v>41</v>
      </c>
      <c r="CL569" t="s">
        <v>89</v>
      </c>
    </row>
    <row r="570" spans="1:90" x14ac:dyDescent="0.3">
      <c r="A570" t="s">
        <v>72</v>
      </c>
      <c r="B570" t="s">
        <v>73</v>
      </c>
      <c r="C570" t="s">
        <v>74</v>
      </c>
      <c r="E570" t="str">
        <f>"GAB2030120"</f>
        <v>GAB2030120</v>
      </c>
      <c r="F570" s="3">
        <v>45986</v>
      </c>
      <c r="G570">
        <v>202608</v>
      </c>
      <c r="H570" t="s">
        <v>75</v>
      </c>
      <c r="I570" t="s">
        <v>76</v>
      </c>
      <c r="J570" t="s">
        <v>77</v>
      </c>
      <c r="K570" t="s">
        <v>78</v>
      </c>
      <c r="L570" t="s">
        <v>79</v>
      </c>
      <c r="M570" t="s">
        <v>80</v>
      </c>
      <c r="N570" t="s">
        <v>1631</v>
      </c>
      <c r="O570" t="s">
        <v>82</v>
      </c>
      <c r="P570" t="str">
        <f>"INVOICE00123095 CT097702      "</f>
        <v xml:space="preserve">INVOICE00123095 CT097702      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5.87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58.42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1</v>
      </c>
      <c r="BI570">
        <v>8.5</v>
      </c>
      <c r="BJ570">
        <v>24.4</v>
      </c>
      <c r="BK570">
        <v>25</v>
      </c>
      <c r="BL570">
        <v>197.07</v>
      </c>
      <c r="BM570">
        <v>29.56</v>
      </c>
      <c r="BN570">
        <v>226.63</v>
      </c>
      <c r="BO570">
        <v>226.63</v>
      </c>
      <c r="BQ570" t="s">
        <v>1632</v>
      </c>
      <c r="BR570" t="s">
        <v>84</v>
      </c>
      <c r="BS570" s="3">
        <v>45988</v>
      </c>
      <c r="BT570" s="4">
        <v>0.37430555555555556</v>
      </c>
      <c r="BU570" t="s">
        <v>1633</v>
      </c>
      <c r="BV570" t="s">
        <v>86</v>
      </c>
      <c r="BY570">
        <v>122135.31</v>
      </c>
      <c r="CA570">
        <v>7612246124080</v>
      </c>
      <c r="CC570" t="s">
        <v>80</v>
      </c>
      <c r="CD570" s="5" t="s">
        <v>87</v>
      </c>
      <c r="CE570" t="s">
        <v>1519</v>
      </c>
      <c r="CF570" s="3">
        <v>45988</v>
      </c>
      <c r="CI570">
        <v>3</v>
      </c>
      <c r="CJ570">
        <v>2</v>
      </c>
      <c r="CK570">
        <v>41</v>
      </c>
      <c r="CL570" t="s">
        <v>89</v>
      </c>
    </row>
    <row r="571" spans="1:90" x14ac:dyDescent="0.3">
      <c r="A571" t="s">
        <v>72</v>
      </c>
      <c r="B571" t="s">
        <v>73</v>
      </c>
      <c r="C571" t="s">
        <v>74</v>
      </c>
      <c r="E571" t="str">
        <f>"GAB2030133"</f>
        <v>GAB2030133</v>
      </c>
      <c r="F571" s="3">
        <v>45986</v>
      </c>
      <c r="G571">
        <v>202608</v>
      </c>
      <c r="H571" t="s">
        <v>75</v>
      </c>
      <c r="I571" t="s">
        <v>76</v>
      </c>
      <c r="J571" t="s">
        <v>77</v>
      </c>
      <c r="K571" t="s">
        <v>78</v>
      </c>
      <c r="L571" t="s">
        <v>570</v>
      </c>
      <c r="M571" t="s">
        <v>571</v>
      </c>
      <c r="N571" t="s">
        <v>1634</v>
      </c>
      <c r="O571" t="s">
        <v>82</v>
      </c>
      <c r="P571" t="str">
        <f>"INVOICE00123107 CT098483      "</f>
        <v xml:space="preserve">INVOICE00123107 CT098483      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5.87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41.35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1</v>
      </c>
      <c r="BI571">
        <v>0.9</v>
      </c>
      <c r="BJ571">
        <v>1.7</v>
      </c>
      <c r="BK571">
        <v>2</v>
      </c>
      <c r="BL571">
        <v>141.19999999999999</v>
      </c>
      <c r="BM571">
        <v>21.18</v>
      </c>
      <c r="BN571">
        <v>162.38</v>
      </c>
      <c r="BO571">
        <v>162.38</v>
      </c>
      <c r="BQ571" t="s">
        <v>1635</v>
      </c>
      <c r="BR571" t="s">
        <v>84</v>
      </c>
      <c r="BS571" s="3">
        <v>45988</v>
      </c>
      <c r="BT571" s="4">
        <v>0.60347222222222219</v>
      </c>
      <c r="BU571" t="s">
        <v>951</v>
      </c>
      <c r="BV571" t="s">
        <v>86</v>
      </c>
      <c r="BY571">
        <v>8333.57</v>
      </c>
      <c r="CC571" t="s">
        <v>571</v>
      </c>
      <c r="CD571">
        <v>1501</v>
      </c>
      <c r="CE571" t="s">
        <v>1519</v>
      </c>
      <c r="CF571" s="3">
        <v>45988</v>
      </c>
      <c r="CI571">
        <v>2</v>
      </c>
      <c r="CJ571">
        <v>2</v>
      </c>
      <c r="CK571">
        <v>41</v>
      </c>
      <c r="CL571" t="s">
        <v>89</v>
      </c>
    </row>
    <row r="572" spans="1:90" x14ac:dyDescent="0.3">
      <c r="A572" t="s">
        <v>72</v>
      </c>
      <c r="B572" t="s">
        <v>73</v>
      </c>
      <c r="C572" t="s">
        <v>74</v>
      </c>
      <c r="E572" t="str">
        <f>"GAB2030139"</f>
        <v>GAB2030139</v>
      </c>
      <c r="F572" s="3">
        <v>45986</v>
      </c>
      <c r="G572">
        <v>202608</v>
      </c>
      <c r="H572" t="s">
        <v>75</v>
      </c>
      <c r="I572" t="s">
        <v>76</v>
      </c>
      <c r="J572" t="s">
        <v>77</v>
      </c>
      <c r="K572" t="s">
        <v>78</v>
      </c>
      <c r="L572" t="s">
        <v>224</v>
      </c>
      <c r="M572" t="s">
        <v>225</v>
      </c>
      <c r="N572" t="s">
        <v>1636</v>
      </c>
      <c r="O572" t="s">
        <v>82</v>
      </c>
      <c r="P572" t="str">
        <f>"INVOICE00123117 00123111 00123"</f>
        <v>INVOICE00123117 00123111 00123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5.87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147.69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3</v>
      </c>
      <c r="BI572">
        <v>19.399999999999999</v>
      </c>
      <c r="BJ572">
        <v>44.3</v>
      </c>
      <c r="BK572">
        <v>45</v>
      </c>
      <c r="BL572">
        <v>489.21</v>
      </c>
      <c r="BM572">
        <v>73.38</v>
      </c>
      <c r="BN572">
        <v>562.59</v>
      </c>
      <c r="BO572">
        <v>562.59</v>
      </c>
      <c r="BQ572" t="s">
        <v>185</v>
      </c>
      <c r="BR572" t="s">
        <v>84</v>
      </c>
      <c r="BS572" t="s">
        <v>305</v>
      </c>
      <c r="BY572">
        <v>221507.97</v>
      </c>
      <c r="CC572" t="s">
        <v>225</v>
      </c>
      <c r="CD572">
        <v>9701</v>
      </c>
      <c r="CE572" t="s">
        <v>103</v>
      </c>
      <c r="CI572">
        <v>4</v>
      </c>
      <c r="CJ572" t="s">
        <v>305</v>
      </c>
      <c r="CK572">
        <v>43</v>
      </c>
      <c r="CL572" t="s">
        <v>89</v>
      </c>
    </row>
    <row r="573" spans="1:90" x14ac:dyDescent="0.3">
      <c r="A573" t="s">
        <v>72</v>
      </c>
      <c r="B573" t="s">
        <v>73</v>
      </c>
      <c r="C573" t="s">
        <v>74</v>
      </c>
      <c r="E573" t="str">
        <f>"GAB2030100"</f>
        <v>GAB2030100</v>
      </c>
      <c r="F573" s="3">
        <v>45986</v>
      </c>
      <c r="G573">
        <v>202608</v>
      </c>
      <c r="H573" t="s">
        <v>75</v>
      </c>
      <c r="I573" t="s">
        <v>76</v>
      </c>
      <c r="J573" t="s">
        <v>77</v>
      </c>
      <c r="K573" t="s">
        <v>78</v>
      </c>
      <c r="L573" t="s">
        <v>1637</v>
      </c>
      <c r="M573" t="s">
        <v>1638</v>
      </c>
      <c r="N573" t="s">
        <v>1639</v>
      </c>
      <c r="O573" t="s">
        <v>124</v>
      </c>
      <c r="P573" t="str">
        <f>"INVOICE00123066 CT098480      "</f>
        <v xml:space="preserve">INVOICE00123066 CT098480      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50.78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1</v>
      </c>
      <c r="BI573">
        <v>0.3</v>
      </c>
      <c r="BJ573">
        <v>2.4</v>
      </c>
      <c r="BK573">
        <v>2.5</v>
      </c>
      <c r="BL573">
        <v>166.2</v>
      </c>
      <c r="BM573">
        <v>24.93</v>
      </c>
      <c r="BN573">
        <v>191.13</v>
      </c>
      <c r="BO573">
        <v>191.13</v>
      </c>
      <c r="BQ573" t="s">
        <v>1640</v>
      </c>
      <c r="BR573" t="s">
        <v>84</v>
      </c>
      <c r="BS573" s="3">
        <v>45988</v>
      </c>
      <c r="BT573" s="4">
        <v>0.41666666666666669</v>
      </c>
      <c r="BU573" t="s">
        <v>1641</v>
      </c>
      <c r="BV573" t="s">
        <v>89</v>
      </c>
      <c r="BY573">
        <v>11753.34</v>
      </c>
      <c r="BZ573" t="s">
        <v>126</v>
      </c>
      <c r="CA573" t="s">
        <v>328</v>
      </c>
      <c r="CC573" t="s">
        <v>1638</v>
      </c>
      <c r="CD573">
        <v>2740</v>
      </c>
      <c r="CE573" t="s">
        <v>912</v>
      </c>
      <c r="CI573">
        <v>2</v>
      </c>
      <c r="CJ573">
        <v>2</v>
      </c>
      <c r="CK573">
        <v>23</v>
      </c>
      <c r="CL573" t="s">
        <v>89</v>
      </c>
    </row>
    <row r="574" spans="1:90" x14ac:dyDescent="0.3">
      <c r="A574" t="s">
        <v>72</v>
      </c>
      <c r="B574" t="s">
        <v>73</v>
      </c>
      <c r="C574" t="s">
        <v>74</v>
      </c>
      <c r="E574" t="str">
        <f>"GAB2030101"</f>
        <v>GAB2030101</v>
      </c>
      <c r="F574" s="3">
        <v>45986</v>
      </c>
      <c r="G574">
        <v>202608</v>
      </c>
      <c r="H574" t="s">
        <v>75</v>
      </c>
      <c r="I574" t="s">
        <v>76</v>
      </c>
      <c r="J574" t="s">
        <v>77</v>
      </c>
      <c r="K574" t="s">
        <v>78</v>
      </c>
      <c r="L574" t="s">
        <v>143</v>
      </c>
      <c r="M574" t="s">
        <v>144</v>
      </c>
      <c r="N574" t="s">
        <v>556</v>
      </c>
      <c r="O574" t="s">
        <v>124</v>
      </c>
      <c r="P574" t="str">
        <f>"INVOICE00123067 CT098481      "</f>
        <v xml:space="preserve">INVOICE00123067 CT098481      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16.7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1</v>
      </c>
      <c r="BI574">
        <v>0.3</v>
      </c>
      <c r="BJ574">
        <v>2.5</v>
      </c>
      <c r="BK574">
        <v>3</v>
      </c>
      <c r="BL574">
        <v>54.66</v>
      </c>
      <c r="BM574">
        <v>8.1999999999999993</v>
      </c>
      <c r="BN574">
        <v>62.86</v>
      </c>
      <c r="BO574">
        <v>62.86</v>
      </c>
      <c r="BQ574" t="s">
        <v>557</v>
      </c>
      <c r="BR574" t="s">
        <v>84</v>
      </c>
      <c r="BS574" s="3">
        <v>45988</v>
      </c>
      <c r="BT574" s="4">
        <v>0.41666666666666669</v>
      </c>
      <c r="BU574" t="s">
        <v>1089</v>
      </c>
      <c r="BV574" t="s">
        <v>89</v>
      </c>
      <c r="BW574" t="s">
        <v>413</v>
      </c>
      <c r="BX574" t="s">
        <v>747</v>
      </c>
      <c r="BY574">
        <v>12742.35</v>
      </c>
      <c r="BZ574" t="s">
        <v>126</v>
      </c>
      <c r="CC574" t="s">
        <v>144</v>
      </c>
      <c r="CD574">
        <v>7600</v>
      </c>
      <c r="CE574" t="s">
        <v>814</v>
      </c>
      <c r="CI574">
        <v>1</v>
      </c>
      <c r="CJ574">
        <v>2</v>
      </c>
      <c r="CK574">
        <v>22</v>
      </c>
      <c r="CL574" t="s">
        <v>89</v>
      </c>
    </row>
    <row r="575" spans="1:90" x14ac:dyDescent="0.3">
      <c r="A575" t="s">
        <v>72</v>
      </c>
      <c r="B575" t="s">
        <v>73</v>
      </c>
      <c r="C575" t="s">
        <v>74</v>
      </c>
      <c r="E575" t="str">
        <f>"GAB2030102"</f>
        <v>GAB2030102</v>
      </c>
      <c r="F575" s="3">
        <v>45986</v>
      </c>
      <c r="G575">
        <v>202608</v>
      </c>
      <c r="H575" t="s">
        <v>75</v>
      </c>
      <c r="I575" t="s">
        <v>76</v>
      </c>
      <c r="J575" t="s">
        <v>77</v>
      </c>
      <c r="K575" t="s">
        <v>78</v>
      </c>
      <c r="L575" t="s">
        <v>230</v>
      </c>
      <c r="M575" t="s">
        <v>231</v>
      </c>
      <c r="N575" t="s">
        <v>473</v>
      </c>
      <c r="O575" t="s">
        <v>124</v>
      </c>
      <c r="P575" t="str">
        <f>"INVOICE00123068 CT098476      "</f>
        <v xml:space="preserve">INVOICE00123068 CT098476      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26.73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1</v>
      </c>
      <c r="BI575">
        <v>0.3</v>
      </c>
      <c r="BJ575">
        <v>2.5</v>
      </c>
      <c r="BK575">
        <v>2.5</v>
      </c>
      <c r="BL575">
        <v>87.47</v>
      </c>
      <c r="BM575">
        <v>13.12</v>
      </c>
      <c r="BN575">
        <v>100.59</v>
      </c>
      <c r="BO575">
        <v>100.59</v>
      </c>
      <c r="BQ575" t="s">
        <v>474</v>
      </c>
      <c r="BR575" t="s">
        <v>84</v>
      </c>
      <c r="BS575" s="3">
        <v>45987</v>
      </c>
      <c r="BT575" s="4">
        <v>0.43194444444444446</v>
      </c>
      <c r="BU575" t="s">
        <v>1642</v>
      </c>
      <c r="BV575" t="s">
        <v>86</v>
      </c>
      <c r="BY575">
        <v>12541.05</v>
      </c>
      <c r="BZ575" t="s">
        <v>126</v>
      </c>
      <c r="CA575">
        <v>8307215836082</v>
      </c>
      <c r="CC575" t="s">
        <v>231</v>
      </c>
      <c r="CD575" s="5" t="s">
        <v>382</v>
      </c>
      <c r="CE575" t="s">
        <v>912</v>
      </c>
      <c r="CF575" s="3">
        <v>45987</v>
      </c>
      <c r="CI575">
        <v>1</v>
      </c>
      <c r="CJ575">
        <v>1</v>
      </c>
      <c r="CK575">
        <v>21</v>
      </c>
      <c r="CL575" t="s">
        <v>89</v>
      </c>
    </row>
    <row r="576" spans="1:90" x14ac:dyDescent="0.3">
      <c r="A576" t="s">
        <v>72</v>
      </c>
      <c r="B576" t="s">
        <v>73</v>
      </c>
      <c r="C576" t="s">
        <v>74</v>
      </c>
      <c r="E576" t="str">
        <f>"GAB2030103"</f>
        <v>GAB2030103</v>
      </c>
      <c r="F576" s="3">
        <v>45986</v>
      </c>
      <c r="G576">
        <v>202608</v>
      </c>
      <c r="H576" t="s">
        <v>75</v>
      </c>
      <c r="I576" t="s">
        <v>76</v>
      </c>
      <c r="J576" t="s">
        <v>77</v>
      </c>
      <c r="K576" t="s">
        <v>78</v>
      </c>
      <c r="L576" t="s">
        <v>137</v>
      </c>
      <c r="M576" t="s">
        <v>138</v>
      </c>
      <c r="N576" t="s">
        <v>139</v>
      </c>
      <c r="O576" t="s">
        <v>124</v>
      </c>
      <c r="P576" t="str">
        <f>"INVOICE00123069 CT098478      "</f>
        <v xml:space="preserve">INVOICE00123069 CT098478      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41.43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1</v>
      </c>
      <c r="BI576">
        <v>0.2</v>
      </c>
      <c r="BJ576">
        <v>2</v>
      </c>
      <c r="BK576">
        <v>2</v>
      </c>
      <c r="BL576">
        <v>135.59</v>
      </c>
      <c r="BM576">
        <v>20.34</v>
      </c>
      <c r="BN576">
        <v>155.93</v>
      </c>
      <c r="BO576">
        <v>155.93</v>
      </c>
      <c r="BR576" t="s">
        <v>84</v>
      </c>
      <c r="BS576" s="3">
        <v>45988</v>
      </c>
      <c r="BT576" s="4">
        <v>0.5444444444444444</v>
      </c>
      <c r="BU576" t="s">
        <v>1643</v>
      </c>
      <c r="BV576" t="s">
        <v>89</v>
      </c>
      <c r="BW576" t="s">
        <v>865</v>
      </c>
      <c r="BX576" t="s">
        <v>866</v>
      </c>
      <c r="BY576">
        <v>9986.31</v>
      </c>
      <c r="BZ576" t="s">
        <v>126</v>
      </c>
      <c r="CA576" t="s">
        <v>141</v>
      </c>
      <c r="CC576" t="s">
        <v>138</v>
      </c>
      <c r="CD576" s="5" t="s">
        <v>142</v>
      </c>
      <c r="CE576" t="s">
        <v>367</v>
      </c>
      <c r="CF576" s="3">
        <v>45988</v>
      </c>
      <c r="CI576">
        <v>2</v>
      </c>
      <c r="CJ576">
        <v>2</v>
      </c>
      <c r="CK576">
        <v>23</v>
      </c>
      <c r="CL576" t="s">
        <v>89</v>
      </c>
    </row>
    <row r="577" spans="1:90" x14ac:dyDescent="0.3">
      <c r="A577" t="s">
        <v>72</v>
      </c>
      <c r="B577" t="s">
        <v>73</v>
      </c>
      <c r="C577" t="s">
        <v>74</v>
      </c>
      <c r="E577" t="str">
        <f>"GAB2030107"</f>
        <v>GAB2030107</v>
      </c>
      <c r="F577" s="3">
        <v>45986</v>
      </c>
      <c r="G577">
        <v>202608</v>
      </c>
      <c r="H577" t="s">
        <v>75</v>
      </c>
      <c r="I577" t="s">
        <v>76</v>
      </c>
      <c r="J577" t="s">
        <v>77</v>
      </c>
      <c r="K577" t="s">
        <v>78</v>
      </c>
      <c r="L577" t="s">
        <v>1644</v>
      </c>
      <c r="M577" t="s">
        <v>1645</v>
      </c>
      <c r="N577" t="s">
        <v>1646</v>
      </c>
      <c r="O577" t="s">
        <v>124</v>
      </c>
      <c r="P577" t="str">
        <f>"INVOICE00041850 ORDGS038475   "</f>
        <v xml:space="preserve">INVOICE00041850 ORDGS038475   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41.43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16.739999999999998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1</v>
      </c>
      <c r="BI577">
        <v>0.9</v>
      </c>
      <c r="BJ577">
        <v>1.8</v>
      </c>
      <c r="BK577">
        <v>2</v>
      </c>
      <c r="BL577">
        <v>152.33000000000001</v>
      </c>
      <c r="BM577">
        <v>22.85</v>
      </c>
      <c r="BN577">
        <v>175.18</v>
      </c>
      <c r="BO577">
        <v>175.18</v>
      </c>
      <c r="BQ577" t="s">
        <v>1647</v>
      </c>
      <c r="BR577" t="s">
        <v>84</v>
      </c>
      <c r="BS577" s="3">
        <v>45988</v>
      </c>
      <c r="BT577" s="4">
        <v>0.70486111111111116</v>
      </c>
      <c r="BU577" t="s">
        <v>1648</v>
      </c>
      <c r="BV577" t="s">
        <v>86</v>
      </c>
      <c r="BY577">
        <v>8798.18</v>
      </c>
      <c r="BZ577" t="s">
        <v>180</v>
      </c>
      <c r="CA577" t="s">
        <v>607</v>
      </c>
      <c r="CC577" t="s">
        <v>1645</v>
      </c>
      <c r="CD577">
        <v>3020</v>
      </c>
      <c r="CE577" t="s">
        <v>1046</v>
      </c>
      <c r="CI577">
        <v>5</v>
      </c>
      <c r="CJ577">
        <v>2</v>
      </c>
      <c r="CK577">
        <v>23</v>
      </c>
      <c r="CL577" t="s">
        <v>89</v>
      </c>
    </row>
    <row r="578" spans="1:90" x14ac:dyDescent="0.3">
      <c r="A578" t="s">
        <v>72</v>
      </c>
      <c r="B578" t="s">
        <v>73</v>
      </c>
      <c r="C578" t="s">
        <v>74</v>
      </c>
      <c r="E578" t="str">
        <f>"GAB2030108"</f>
        <v>GAB2030108</v>
      </c>
      <c r="F578" s="3">
        <v>45986</v>
      </c>
      <c r="G578">
        <v>202608</v>
      </c>
      <c r="H578" t="s">
        <v>75</v>
      </c>
      <c r="I578" t="s">
        <v>76</v>
      </c>
      <c r="J578" t="s">
        <v>77</v>
      </c>
      <c r="K578" t="s">
        <v>78</v>
      </c>
      <c r="L578" t="s">
        <v>230</v>
      </c>
      <c r="M578" t="s">
        <v>231</v>
      </c>
      <c r="N578" t="s">
        <v>335</v>
      </c>
      <c r="O578" t="s">
        <v>124</v>
      </c>
      <c r="P578" t="str">
        <f>"INVOICE00041851 ORDGS038458   "</f>
        <v xml:space="preserve">INVOICE00041851 ORDGS038458   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21.38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1</v>
      </c>
      <c r="BI578">
        <v>0.4</v>
      </c>
      <c r="BJ578">
        <v>1.6</v>
      </c>
      <c r="BK578">
        <v>2</v>
      </c>
      <c r="BL578">
        <v>69.98</v>
      </c>
      <c r="BM578">
        <v>10.5</v>
      </c>
      <c r="BN578">
        <v>80.48</v>
      </c>
      <c r="BO578">
        <v>80.48</v>
      </c>
      <c r="BQ578" t="s">
        <v>1115</v>
      </c>
      <c r="BR578" t="s">
        <v>84</v>
      </c>
      <c r="BS578" s="3">
        <v>45987</v>
      </c>
      <c r="BT578" s="4">
        <v>0.33263888888888887</v>
      </c>
      <c r="BU578" t="s">
        <v>1649</v>
      </c>
      <c r="BV578" t="s">
        <v>86</v>
      </c>
      <c r="BY578">
        <v>8131.86</v>
      </c>
      <c r="BZ578" t="s">
        <v>126</v>
      </c>
      <c r="CA578">
        <v>9107126013089</v>
      </c>
      <c r="CC578" t="s">
        <v>231</v>
      </c>
      <c r="CD578" s="5" t="s">
        <v>235</v>
      </c>
      <c r="CE578" t="s">
        <v>1650</v>
      </c>
      <c r="CF578" s="3">
        <v>45987</v>
      </c>
      <c r="CI578">
        <v>1</v>
      </c>
      <c r="CJ578">
        <v>1</v>
      </c>
      <c r="CK578">
        <v>21</v>
      </c>
      <c r="CL578" t="s">
        <v>89</v>
      </c>
    </row>
    <row r="579" spans="1:90" x14ac:dyDescent="0.3">
      <c r="A579" t="s">
        <v>72</v>
      </c>
      <c r="B579" t="s">
        <v>73</v>
      </c>
      <c r="C579" t="s">
        <v>74</v>
      </c>
      <c r="E579" t="str">
        <f>"GAB2030109"</f>
        <v>GAB2030109</v>
      </c>
      <c r="F579" s="3">
        <v>45986</v>
      </c>
      <c r="G579">
        <v>202608</v>
      </c>
      <c r="H579" t="s">
        <v>75</v>
      </c>
      <c r="I579" t="s">
        <v>76</v>
      </c>
      <c r="J579" t="s">
        <v>77</v>
      </c>
      <c r="K579" t="s">
        <v>78</v>
      </c>
      <c r="L579" t="s">
        <v>169</v>
      </c>
      <c r="M579" t="s">
        <v>170</v>
      </c>
      <c r="N579" t="s">
        <v>926</v>
      </c>
      <c r="O579" t="s">
        <v>124</v>
      </c>
      <c r="P579" t="str">
        <f>"INVOICE00041852 ORDGS038464   "</f>
        <v xml:space="preserve">INVOICE00041852 ORDGS038464   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26.73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1</v>
      </c>
      <c r="BI579">
        <v>0.2</v>
      </c>
      <c r="BJ579">
        <v>2.2999999999999998</v>
      </c>
      <c r="BK579">
        <v>2.5</v>
      </c>
      <c r="BL579">
        <v>87.47</v>
      </c>
      <c r="BM579">
        <v>13.12</v>
      </c>
      <c r="BN579">
        <v>100.59</v>
      </c>
      <c r="BO579">
        <v>100.59</v>
      </c>
      <c r="BQ579" t="s">
        <v>927</v>
      </c>
      <c r="BR579" t="s">
        <v>84</v>
      </c>
      <c r="BS579" s="3">
        <v>45987</v>
      </c>
      <c r="BT579" s="4">
        <v>0.38124999999999998</v>
      </c>
      <c r="BU579" t="s">
        <v>928</v>
      </c>
      <c r="BV579" t="s">
        <v>86</v>
      </c>
      <c r="BY579">
        <v>11401.43</v>
      </c>
      <c r="BZ579" t="s">
        <v>126</v>
      </c>
      <c r="CA579" t="s">
        <v>775</v>
      </c>
      <c r="CC579" t="s">
        <v>170</v>
      </c>
      <c r="CD579">
        <v>2055</v>
      </c>
      <c r="CE579" t="s">
        <v>367</v>
      </c>
      <c r="CF579" s="3">
        <v>45988</v>
      </c>
      <c r="CI579">
        <v>1</v>
      </c>
      <c r="CJ579">
        <v>1</v>
      </c>
      <c r="CK579">
        <v>21</v>
      </c>
      <c r="CL579" t="s">
        <v>89</v>
      </c>
    </row>
    <row r="580" spans="1:90" x14ac:dyDescent="0.3">
      <c r="A580" t="s">
        <v>72</v>
      </c>
      <c r="B580" t="s">
        <v>73</v>
      </c>
      <c r="C580" t="s">
        <v>74</v>
      </c>
      <c r="E580" t="str">
        <f>"GAB2030111"</f>
        <v>GAB2030111</v>
      </c>
      <c r="F580" s="3">
        <v>45986</v>
      </c>
      <c r="G580">
        <v>202608</v>
      </c>
      <c r="H580" t="s">
        <v>75</v>
      </c>
      <c r="I580" t="s">
        <v>76</v>
      </c>
      <c r="J580" t="s">
        <v>77</v>
      </c>
      <c r="K580" t="s">
        <v>78</v>
      </c>
      <c r="L580" t="s">
        <v>169</v>
      </c>
      <c r="M580" t="s">
        <v>170</v>
      </c>
      <c r="N580" t="s">
        <v>1098</v>
      </c>
      <c r="O580" t="s">
        <v>124</v>
      </c>
      <c r="P580" t="str">
        <f>"INVOICE00041854 ORDGS038474   "</f>
        <v xml:space="preserve">INVOICE00041854 ORDGS038474   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26.73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1</v>
      </c>
      <c r="BI580">
        <v>0.3</v>
      </c>
      <c r="BJ580">
        <v>2.5</v>
      </c>
      <c r="BK580">
        <v>2.5</v>
      </c>
      <c r="BL580">
        <v>87.47</v>
      </c>
      <c r="BM580">
        <v>13.12</v>
      </c>
      <c r="BN580">
        <v>100.59</v>
      </c>
      <c r="BO580">
        <v>100.59</v>
      </c>
      <c r="BQ580" t="s">
        <v>740</v>
      </c>
      <c r="BR580" t="s">
        <v>84</v>
      </c>
      <c r="BS580" s="3">
        <v>45987</v>
      </c>
      <c r="BT580" s="4">
        <v>0.37291666666666667</v>
      </c>
      <c r="BU580" t="s">
        <v>1651</v>
      </c>
      <c r="BV580" t="s">
        <v>86</v>
      </c>
      <c r="BY580">
        <v>12449.7</v>
      </c>
      <c r="BZ580" t="s">
        <v>126</v>
      </c>
      <c r="CA580" t="s">
        <v>1652</v>
      </c>
      <c r="CC580" t="s">
        <v>170</v>
      </c>
      <c r="CD580">
        <v>2001</v>
      </c>
      <c r="CE580" t="s">
        <v>843</v>
      </c>
      <c r="CF580" s="3">
        <v>45987</v>
      </c>
      <c r="CI580">
        <v>1</v>
      </c>
      <c r="CJ580">
        <v>1</v>
      </c>
      <c r="CK580">
        <v>21</v>
      </c>
      <c r="CL580" t="s">
        <v>89</v>
      </c>
    </row>
    <row r="581" spans="1:90" x14ac:dyDescent="0.3">
      <c r="A581" t="s">
        <v>72</v>
      </c>
      <c r="B581" t="s">
        <v>73</v>
      </c>
      <c r="C581" t="s">
        <v>74</v>
      </c>
      <c r="E581" t="str">
        <f>"GAB2030112"</f>
        <v>GAB2030112</v>
      </c>
      <c r="F581" s="3">
        <v>45986</v>
      </c>
      <c r="G581">
        <v>202608</v>
      </c>
      <c r="H581" t="s">
        <v>75</v>
      </c>
      <c r="I581" t="s">
        <v>76</v>
      </c>
      <c r="J581" t="s">
        <v>77</v>
      </c>
      <c r="K581" t="s">
        <v>78</v>
      </c>
      <c r="L581" t="s">
        <v>620</v>
      </c>
      <c r="M581" t="s">
        <v>621</v>
      </c>
      <c r="N581" t="s">
        <v>712</v>
      </c>
      <c r="O581" t="s">
        <v>124</v>
      </c>
      <c r="P581" t="str">
        <f>"INVOICE00041855 ORDGS037891   "</f>
        <v xml:space="preserve">INVOICE00041855 ORDGS037891   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30.07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1</v>
      </c>
      <c r="BI581">
        <v>0.5</v>
      </c>
      <c r="BJ581">
        <v>1.7</v>
      </c>
      <c r="BK581">
        <v>2</v>
      </c>
      <c r="BL581">
        <v>98.42</v>
      </c>
      <c r="BM581">
        <v>14.76</v>
      </c>
      <c r="BN581">
        <v>113.18</v>
      </c>
      <c r="BO581">
        <v>113.18</v>
      </c>
      <c r="BQ581" t="s">
        <v>1653</v>
      </c>
      <c r="BR581" t="s">
        <v>84</v>
      </c>
      <c r="BS581" s="3">
        <v>45987</v>
      </c>
      <c r="BT581" s="4">
        <v>0.51249999999999996</v>
      </c>
      <c r="BU581" t="s">
        <v>1041</v>
      </c>
      <c r="BV581" t="s">
        <v>86</v>
      </c>
      <c r="BY581">
        <v>8529.92</v>
      </c>
      <c r="BZ581" t="s">
        <v>126</v>
      </c>
      <c r="CA581" t="s">
        <v>625</v>
      </c>
      <c r="CC581" t="s">
        <v>621</v>
      </c>
      <c r="CD581">
        <v>7130</v>
      </c>
      <c r="CE581" t="s">
        <v>1601</v>
      </c>
      <c r="CF581" s="3">
        <v>45988</v>
      </c>
      <c r="CI581">
        <v>1</v>
      </c>
      <c r="CJ581">
        <v>1</v>
      </c>
      <c r="CK581">
        <v>24</v>
      </c>
      <c r="CL581" t="s">
        <v>89</v>
      </c>
    </row>
    <row r="582" spans="1:90" x14ac:dyDescent="0.3">
      <c r="A582" t="s">
        <v>72</v>
      </c>
      <c r="B582" t="s">
        <v>73</v>
      </c>
      <c r="C582" t="s">
        <v>74</v>
      </c>
      <c r="E582" t="str">
        <f>"GAB2030113"</f>
        <v>GAB2030113</v>
      </c>
      <c r="F582" s="3">
        <v>45986</v>
      </c>
      <c r="G582">
        <v>202608</v>
      </c>
      <c r="H582" t="s">
        <v>75</v>
      </c>
      <c r="I582" t="s">
        <v>76</v>
      </c>
      <c r="J582" t="s">
        <v>77</v>
      </c>
      <c r="K582" t="s">
        <v>78</v>
      </c>
      <c r="L582" t="s">
        <v>75</v>
      </c>
      <c r="M582" t="s">
        <v>76</v>
      </c>
      <c r="N582" t="s">
        <v>1205</v>
      </c>
      <c r="O582" t="s">
        <v>124</v>
      </c>
      <c r="P582" t="str">
        <f>"INVOICE00123062 CT098317      "</f>
        <v xml:space="preserve">INVOICE00123062 CT098317      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16.7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1</v>
      </c>
      <c r="BI582">
        <v>0.2</v>
      </c>
      <c r="BJ582">
        <v>2.2000000000000002</v>
      </c>
      <c r="BK582">
        <v>3</v>
      </c>
      <c r="BL582">
        <v>54.66</v>
      </c>
      <c r="BM582">
        <v>8.1999999999999993</v>
      </c>
      <c r="BN582">
        <v>62.86</v>
      </c>
      <c r="BO582">
        <v>62.86</v>
      </c>
      <c r="BR582" t="s">
        <v>84</v>
      </c>
      <c r="BS582" s="3">
        <v>45987</v>
      </c>
      <c r="BT582" s="4">
        <v>0.54166666666666663</v>
      </c>
      <c r="BU582" t="s">
        <v>1654</v>
      </c>
      <c r="BV582" t="s">
        <v>89</v>
      </c>
      <c r="BW582" t="s">
        <v>413</v>
      </c>
      <c r="BX582" t="s">
        <v>969</v>
      </c>
      <c r="BY582">
        <v>11102.7</v>
      </c>
      <c r="BZ582" t="s">
        <v>126</v>
      </c>
      <c r="CC582" t="s">
        <v>76</v>
      </c>
      <c r="CD582">
        <v>8001</v>
      </c>
      <c r="CE582" t="s">
        <v>367</v>
      </c>
      <c r="CF582" s="3">
        <v>45988</v>
      </c>
      <c r="CI582">
        <v>1</v>
      </c>
      <c r="CJ582">
        <v>1</v>
      </c>
      <c r="CK582">
        <v>22</v>
      </c>
      <c r="CL582" t="s">
        <v>89</v>
      </c>
    </row>
    <row r="583" spans="1:90" x14ac:dyDescent="0.3">
      <c r="A583" t="s">
        <v>72</v>
      </c>
      <c r="B583" t="s">
        <v>73</v>
      </c>
      <c r="C583" t="s">
        <v>74</v>
      </c>
      <c r="E583" t="str">
        <f>"GAB2030114"</f>
        <v>GAB2030114</v>
      </c>
      <c r="F583" s="3">
        <v>45986</v>
      </c>
      <c r="G583">
        <v>202608</v>
      </c>
      <c r="H583" t="s">
        <v>75</v>
      </c>
      <c r="I583" t="s">
        <v>76</v>
      </c>
      <c r="J583" t="s">
        <v>77</v>
      </c>
      <c r="K583" t="s">
        <v>78</v>
      </c>
      <c r="L583" t="s">
        <v>766</v>
      </c>
      <c r="M583" t="s">
        <v>767</v>
      </c>
      <c r="N583" t="s">
        <v>1283</v>
      </c>
      <c r="O583" t="s">
        <v>124</v>
      </c>
      <c r="P583" t="str">
        <f>"INVOICE00123080 CT098487      "</f>
        <v xml:space="preserve">INVOICE00123080 CT098487      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50.78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1</v>
      </c>
      <c r="BI583">
        <v>0.2</v>
      </c>
      <c r="BJ583">
        <v>2.2999999999999998</v>
      </c>
      <c r="BK583">
        <v>2.5</v>
      </c>
      <c r="BL583">
        <v>166.2</v>
      </c>
      <c r="BM583">
        <v>24.93</v>
      </c>
      <c r="BN583">
        <v>191.13</v>
      </c>
      <c r="BO583">
        <v>191.13</v>
      </c>
      <c r="BQ583" t="s">
        <v>1655</v>
      </c>
      <c r="BR583" t="s">
        <v>84</v>
      </c>
      <c r="BS583" s="3">
        <v>45987</v>
      </c>
      <c r="BT583" s="4">
        <v>0.43402777777777779</v>
      </c>
      <c r="BU583" t="s">
        <v>1656</v>
      </c>
      <c r="BV583" t="s">
        <v>86</v>
      </c>
      <c r="BY583">
        <v>11498.96</v>
      </c>
      <c r="BZ583" t="s">
        <v>126</v>
      </c>
      <c r="CA583" t="s">
        <v>1657</v>
      </c>
      <c r="CC583" t="s">
        <v>767</v>
      </c>
      <c r="CD583">
        <v>2300</v>
      </c>
      <c r="CE583" t="s">
        <v>367</v>
      </c>
      <c r="CF583" s="3">
        <v>45988</v>
      </c>
      <c r="CI583">
        <v>1</v>
      </c>
      <c r="CJ583">
        <v>1</v>
      </c>
      <c r="CK583">
        <v>23</v>
      </c>
      <c r="CL583" t="s">
        <v>89</v>
      </c>
    </row>
    <row r="584" spans="1:90" x14ac:dyDescent="0.3">
      <c r="A584" t="s">
        <v>72</v>
      </c>
      <c r="B584" t="s">
        <v>73</v>
      </c>
      <c r="C584" t="s">
        <v>74</v>
      </c>
      <c r="E584" t="str">
        <f>"GAB2030117"</f>
        <v>GAB2030117</v>
      </c>
      <c r="F584" s="3">
        <v>45986</v>
      </c>
      <c r="G584">
        <v>202608</v>
      </c>
      <c r="H584" t="s">
        <v>75</v>
      </c>
      <c r="I584" t="s">
        <v>76</v>
      </c>
      <c r="J584" t="s">
        <v>77</v>
      </c>
      <c r="K584" t="s">
        <v>78</v>
      </c>
      <c r="L584" t="s">
        <v>79</v>
      </c>
      <c r="M584" t="s">
        <v>80</v>
      </c>
      <c r="N584" t="s">
        <v>1037</v>
      </c>
      <c r="O584" t="s">
        <v>124</v>
      </c>
      <c r="P584" t="str">
        <f>"MIKHAIL                       "</f>
        <v xml:space="preserve">MIKHAIL                       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90.82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1</v>
      </c>
      <c r="BI584">
        <v>2.7</v>
      </c>
      <c r="BJ584">
        <v>8.1999999999999993</v>
      </c>
      <c r="BK584">
        <v>8.5</v>
      </c>
      <c r="BL584">
        <v>297.24</v>
      </c>
      <c r="BM584">
        <v>44.59</v>
      </c>
      <c r="BN584">
        <v>341.83</v>
      </c>
      <c r="BO584">
        <v>341.83</v>
      </c>
      <c r="BQ584" t="s">
        <v>322</v>
      </c>
      <c r="BR584" t="s">
        <v>84</v>
      </c>
      <c r="BS584" s="3">
        <v>45987</v>
      </c>
      <c r="BT584" s="4">
        <v>0.38611111111111113</v>
      </c>
      <c r="BU584" t="s">
        <v>322</v>
      </c>
      <c r="BV584" t="s">
        <v>86</v>
      </c>
      <c r="BY584">
        <v>41080.79</v>
      </c>
      <c r="BZ584" t="s">
        <v>126</v>
      </c>
      <c r="CA584">
        <v>8909235965088</v>
      </c>
      <c r="CC584" t="s">
        <v>80</v>
      </c>
      <c r="CD584" s="5" t="s">
        <v>87</v>
      </c>
      <c r="CE584" t="s">
        <v>1658</v>
      </c>
      <c r="CF584" s="3">
        <v>45987</v>
      </c>
      <c r="CI584">
        <v>1</v>
      </c>
      <c r="CJ584">
        <v>1</v>
      </c>
      <c r="CK584">
        <v>21</v>
      </c>
      <c r="CL584" t="s">
        <v>89</v>
      </c>
    </row>
    <row r="585" spans="1:90" x14ac:dyDescent="0.3">
      <c r="A585" t="s">
        <v>72</v>
      </c>
      <c r="B585" t="s">
        <v>73</v>
      </c>
      <c r="C585" t="s">
        <v>74</v>
      </c>
      <c r="E585" t="str">
        <f>"GAB2030121"</f>
        <v>GAB2030121</v>
      </c>
      <c r="F585" s="3">
        <v>45986</v>
      </c>
      <c r="G585">
        <v>202608</v>
      </c>
      <c r="H585" t="s">
        <v>75</v>
      </c>
      <c r="I585" t="s">
        <v>76</v>
      </c>
      <c r="J585" t="s">
        <v>77</v>
      </c>
      <c r="K585" t="s">
        <v>78</v>
      </c>
      <c r="L585" t="s">
        <v>374</v>
      </c>
      <c r="M585" t="s">
        <v>375</v>
      </c>
      <c r="N585" t="s">
        <v>376</v>
      </c>
      <c r="O585" t="s">
        <v>124</v>
      </c>
      <c r="P585" t="str">
        <f>"INVOICE00123099 CT098491      "</f>
        <v xml:space="preserve">INVOICE00123099 CT098491      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26.73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1</v>
      </c>
      <c r="BI585">
        <v>0.3</v>
      </c>
      <c r="BJ585">
        <v>2.2000000000000002</v>
      </c>
      <c r="BK585">
        <v>2.5</v>
      </c>
      <c r="BL585">
        <v>87.47</v>
      </c>
      <c r="BM585">
        <v>13.12</v>
      </c>
      <c r="BN585">
        <v>100.59</v>
      </c>
      <c r="BO585">
        <v>100.59</v>
      </c>
      <c r="BR585" t="s">
        <v>84</v>
      </c>
      <c r="BS585" s="3">
        <v>45987</v>
      </c>
      <c r="BT585" s="4">
        <v>0.39097222222222222</v>
      </c>
      <c r="BU585" t="s">
        <v>377</v>
      </c>
      <c r="BV585" t="s">
        <v>86</v>
      </c>
      <c r="BY585">
        <v>11145.6</v>
      </c>
      <c r="BZ585" t="s">
        <v>126</v>
      </c>
      <c r="CA585" t="s">
        <v>378</v>
      </c>
      <c r="CC585" t="s">
        <v>375</v>
      </c>
      <c r="CD585">
        <v>2146</v>
      </c>
      <c r="CE585" t="s">
        <v>953</v>
      </c>
      <c r="CF585" s="3">
        <v>45987</v>
      </c>
      <c r="CI585">
        <v>1</v>
      </c>
      <c r="CJ585">
        <v>1</v>
      </c>
      <c r="CK585">
        <v>21</v>
      </c>
      <c r="CL585" t="s">
        <v>89</v>
      </c>
    </row>
    <row r="586" spans="1:90" x14ac:dyDescent="0.3">
      <c r="A586" t="s">
        <v>72</v>
      </c>
      <c r="B586" t="s">
        <v>73</v>
      </c>
      <c r="C586" t="s">
        <v>74</v>
      </c>
      <c r="E586" t="str">
        <f>"GAB2030123"</f>
        <v>GAB2030123</v>
      </c>
      <c r="F586" s="3">
        <v>45986</v>
      </c>
      <c r="G586">
        <v>202608</v>
      </c>
      <c r="H586" t="s">
        <v>75</v>
      </c>
      <c r="I586" t="s">
        <v>76</v>
      </c>
      <c r="J586" t="s">
        <v>77</v>
      </c>
      <c r="K586" t="s">
        <v>78</v>
      </c>
      <c r="L586" t="s">
        <v>75</v>
      </c>
      <c r="M586" t="s">
        <v>76</v>
      </c>
      <c r="N586" t="s">
        <v>1659</v>
      </c>
      <c r="O586" t="s">
        <v>124</v>
      </c>
      <c r="P586" t="str">
        <f>"INVOICE00123097 CT098492      "</f>
        <v xml:space="preserve">INVOICE00123097 CT098492      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16.7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1</v>
      </c>
      <c r="BI586">
        <v>0.2</v>
      </c>
      <c r="BJ586">
        <v>2.6</v>
      </c>
      <c r="BK586">
        <v>3</v>
      </c>
      <c r="BL586">
        <v>54.66</v>
      </c>
      <c r="BM586">
        <v>8.1999999999999993</v>
      </c>
      <c r="BN586">
        <v>62.86</v>
      </c>
      <c r="BO586">
        <v>62.86</v>
      </c>
      <c r="BR586" t="s">
        <v>84</v>
      </c>
      <c r="BS586" s="3">
        <v>45987</v>
      </c>
      <c r="BT586" s="4">
        <v>0.41666666666666669</v>
      </c>
      <c r="BU586" t="s">
        <v>1660</v>
      </c>
      <c r="BV586" t="s">
        <v>86</v>
      </c>
      <c r="BY586">
        <v>12846.42</v>
      </c>
      <c r="BZ586" t="s">
        <v>126</v>
      </c>
      <c r="CC586" t="s">
        <v>76</v>
      </c>
      <c r="CD586">
        <v>7945</v>
      </c>
      <c r="CE586" t="s">
        <v>1092</v>
      </c>
      <c r="CF586" s="3">
        <v>45988</v>
      </c>
      <c r="CI586">
        <v>1</v>
      </c>
      <c r="CJ586">
        <v>1</v>
      </c>
      <c r="CK586">
        <v>22</v>
      </c>
      <c r="CL586" t="s">
        <v>89</v>
      </c>
    </row>
    <row r="587" spans="1:90" x14ac:dyDescent="0.3">
      <c r="A587" t="s">
        <v>72</v>
      </c>
      <c r="B587" t="s">
        <v>73</v>
      </c>
      <c r="C587" t="s">
        <v>74</v>
      </c>
      <c r="E587" t="str">
        <f>"GAB2030125"</f>
        <v>GAB2030125</v>
      </c>
      <c r="F587" s="3">
        <v>45986</v>
      </c>
      <c r="G587">
        <v>202608</v>
      </c>
      <c r="H587" t="s">
        <v>75</v>
      </c>
      <c r="I587" t="s">
        <v>76</v>
      </c>
      <c r="J587" t="s">
        <v>77</v>
      </c>
      <c r="K587" t="s">
        <v>78</v>
      </c>
      <c r="L587" t="s">
        <v>90</v>
      </c>
      <c r="M587" t="s">
        <v>91</v>
      </c>
      <c r="N587" t="s">
        <v>839</v>
      </c>
      <c r="O587" t="s">
        <v>124</v>
      </c>
      <c r="P587" t="str">
        <f>"INVOICE00041861 ORDGS038482   "</f>
        <v xml:space="preserve">INVOICE00041861 ORDGS038482   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26.73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1</v>
      </c>
      <c r="BI587">
        <v>0.3</v>
      </c>
      <c r="BJ587">
        <v>2.2999999999999998</v>
      </c>
      <c r="BK587">
        <v>2.5</v>
      </c>
      <c r="BL587">
        <v>87.47</v>
      </c>
      <c r="BM587">
        <v>13.12</v>
      </c>
      <c r="BN587">
        <v>100.59</v>
      </c>
      <c r="BO587">
        <v>100.59</v>
      </c>
      <c r="BQ587" t="s">
        <v>1572</v>
      </c>
      <c r="BR587" t="s">
        <v>84</v>
      </c>
      <c r="BS587" s="3">
        <v>45988</v>
      </c>
      <c r="BT587" s="4">
        <v>0.38055555555555554</v>
      </c>
      <c r="BU587" t="s">
        <v>1661</v>
      </c>
      <c r="BV587" t="s">
        <v>89</v>
      </c>
      <c r="BY587">
        <v>11582.87</v>
      </c>
      <c r="BZ587" t="s">
        <v>126</v>
      </c>
      <c r="CA587" t="s">
        <v>1662</v>
      </c>
      <c r="CC587" t="s">
        <v>91</v>
      </c>
      <c r="CD587">
        <v>3629</v>
      </c>
      <c r="CE587" t="s">
        <v>843</v>
      </c>
      <c r="CF587" s="3">
        <v>45988</v>
      </c>
      <c r="CI587">
        <v>2</v>
      </c>
      <c r="CJ587">
        <v>2</v>
      </c>
      <c r="CK587">
        <v>21</v>
      </c>
      <c r="CL587" t="s">
        <v>89</v>
      </c>
    </row>
    <row r="588" spans="1:90" x14ac:dyDescent="0.3">
      <c r="A588" t="s">
        <v>72</v>
      </c>
      <c r="B588" t="s">
        <v>73</v>
      </c>
      <c r="C588" t="s">
        <v>74</v>
      </c>
      <c r="E588" t="str">
        <f>"GAB2030126"</f>
        <v>GAB2030126</v>
      </c>
      <c r="F588" s="3">
        <v>45986</v>
      </c>
      <c r="G588">
        <v>202608</v>
      </c>
      <c r="H588" t="s">
        <v>75</v>
      </c>
      <c r="I588" t="s">
        <v>76</v>
      </c>
      <c r="J588" t="s">
        <v>77</v>
      </c>
      <c r="K588" t="s">
        <v>78</v>
      </c>
      <c r="L588" t="s">
        <v>129</v>
      </c>
      <c r="M588" t="s">
        <v>130</v>
      </c>
      <c r="N588" t="s">
        <v>1051</v>
      </c>
      <c r="O588" t="s">
        <v>124</v>
      </c>
      <c r="P588" t="str">
        <f>"INVOICE00041862 ORDGS038324   "</f>
        <v xml:space="preserve">INVOICE00041862 ORDGS038324   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21.38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1</v>
      </c>
      <c r="BI588">
        <v>0.2</v>
      </c>
      <c r="BJ588">
        <v>1.7</v>
      </c>
      <c r="BK588">
        <v>2</v>
      </c>
      <c r="BL588">
        <v>69.98</v>
      </c>
      <c r="BM588">
        <v>10.5</v>
      </c>
      <c r="BN588">
        <v>80.48</v>
      </c>
      <c r="BO588">
        <v>80.48</v>
      </c>
      <c r="BR588" t="s">
        <v>84</v>
      </c>
      <c r="BS588" s="3">
        <v>45988</v>
      </c>
      <c r="BT588" s="4">
        <v>0.68333333333333335</v>
      </c>
      <c r="BU588" t="s">
        <v>1663</v>
      </c>
      <c r="BV588" t="s">
        <v>89</v>
      </c>
      <c r="BW588" t="s">
        <v>865</v>
      </c>
      <c r="BX588" t="s">
        <v>866</v>
      </c>
      <c r="BY588">
        <v>8474.76</v>
      </c>
      <c r="BZ588" t="s">
        <v>126</v>
      </c>
      <c r="CA588" t="s">
        <v>1664</v>
      </c>
      <c r="CC588" t="s">
        <v>130</v>
      </c>
      <c r="CD588" s="5" t="s">
        <v>135</v>
      </c>
      <c r="CE588" t="s">
        <v>367</v>
      </c>
      <c r="CF588" s="3">
        <v>45988</v>
      </c>
      <c r="CI588">
        <v>2</v>
      </c>
      <c r="CJ588">
        <v>2</v>
      </c>
      <c r="CK588">
        <v>21</v>
      </c>
      <c r="CL588" t="s">
        <v>89</v>
      </c>
    </row>
    <row r="589" spans="1:90" x14ac:dyDescent="0.3">
      <c r="A589" t="s">
        <v>72</v>
      </c>
      <c r="B589" t="s">
        <v>73</v>
      </c>
      <c r="C589" t="s">
        <v>74</v>
      </c>
      <c r="E589" t="str">
        <f>"GAB2030127"</f>
        <v>GAB2030127</v>
      </c>
      <c r="F589" s="3">
        <v>45986</v>
      </c>
      <c r="G589">
        <v>202608</v>
      </c>
      <c r="H589" t="s">
        <v>75</v>
      </c>
      <c r="I589" t="s">
        <v>76</v>
      </c>
      <c r="J589" t="s">
        <v>77</v>
      </c>
      <c r="K589" t="s">
        <v>78</v>
      </c>
      <c r="L589" t="s">
        <v>353</v>
      </c>
      <c r="M589" t="s">
        <v>354</v>
      </c>
      <c r="N589" t="s">
        <v>637</v>
      </c>
      <c r="O589" t="s">
        <v>124</v>
      </c>
      <c r="P589" t="str">
        <f>"INVOICE00041863 ORDGS038481   "</f>
        <v xml:space="preserve">INVOICE00041863 ORDGS038481   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50.78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1</v>
      </c>
      <c r="BI589">
        <v>0.4</v>
      </c>
      <c r="BJ589">
        <v>2.5</v>
      </c>
      <c r="BK589">
        <v>2.5</v>
      </c>
      <c r="BL589">
        <v>166.2</v>
      </c>
      <c r="BM589">
        <v>24.93</v>
      </c>
      <c r="BN589">
        <v>191.13</v>
      </c>
      <c r="BO589">
        <v>191.13</v>
      </c>
      <c r="BQ589" t="s">
        <v>1665</v>
      </c>
      <c r="BR589" t="s">
        <v>84</v>
      </c>
      <c r="BS589" s="3">
        <v>45987</v>
      </c>
      <c r="BT589" s="4">
        <v>0.38194444444444442</v>
      </c>
      <c r="BU589" t="s">
        <v>1666</v>
      </c>
      <c r="BV589" t="s">
        <v>86</v>
      </c>
      <c r="BY589">
        <v>12691.35</v>
      </c>
      <c r="BZ589" t="s">
        <v>126</v>
      </c>
      <c r="CA589" t="s">
        <v>358</v>
      </c>
      <c r="CC589" t="s">
        <v>354</v>
      </c>
      <c r="CD589">
        <v>1035</v>
      </c>
      <c r="CE589" t="s">
        <v>912</v>
      </c>
      <c r="CI589">
        <v>1</v>
      </c>
      <c r="CJ589">
        <v>1</v>
      </c>
      <c r="CK589">
        <v>23</v>
      </c>
      <c r="CL589" t="s">
        <v>89</v>
      </c>
    </row>
    <row r="590" spans="1:90" x14ac:dyDescent="0.3">
      <c r="A590" t="s">
        <v>72</v>
      </c>
      <c r="B590" t="s">
        <v>73</v>
      </c>
      <c r="C590" t="s">
        <v>74</v>
      </c>
      <c r="E590" t="str">
        <f>"GAB2030129"</f>
        <v>GAB2030129</v>
      </c>
      <c r="F590" s="3">
        <v>45986</v>
      </c>
      <c r="G590">
        <v>202608</v>
      </c>
      <c r="H590" t="s">
        <v>75</v>
      </c>
      <c r="I590" t="s">
        <v>76</v>
      </c>
      <c r="J590" t="s">
        <v>77</v>
      </c>
      <c r="K590" t="s">
        <v>78</v>
      </c>
      <c r="L590" t="s">
        <v>759</v>
      </c>
      <c r="M590" t="s">
        <v>760</v>
      </c>
      <c r="N590" t="s">
        <v>1193</v>
      </c>
      <c r="O590" t="s">
        <v>124</v>
      </c>
      <c r="P590" t="str">
        <f>"INVOICE00123085 CT098488      "</f>
        <v xml:space="preserve">INVOICE00123085 CT098488      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50.78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1</v>
      </c>
      <c r="BI590">
        <v>0.3</v>
      </c>
      <c r="BJ590">
        <v>2.5</v>
      </c>
      <c r="BK590">
        <v>2.5</v>
      </c>
      <c r="BL590">
        <v>166.2</v>
      </c>
      <c r="BM590">
        <v>24.93</v>
      </c>
      <c r="BN590">
        <v>191.13</v>
      </c>
      <c r="BO590">
        <v>191.13</v>
      </c>
      <c r="BQ590" t="s">
        <v>762</v>
      </c>
      <c r="BR590" t="s">
        <v>84</v>
      </c>
      <c r="BS590" s="3">
        <v>45987</v>
      </c>
      <c r="BT590" s="4">
        <v>0.5180555555555556</v>
      </c>
      <c r="BU590" t="s">
        <v>1667</v>
      </c>
      <c r="BV590" t="s">
        <v>86</v>
      </c>
      <c r="BY590">
        <v>12413.89</v>
      </c>
      <c r="BZ590" t="s">
        <v>126</v>
      </c>
      <c r="CA590" t="s">
        <v>764</v>
      </c>
      <c r="CC590" t="s">
        <v>760</v>
      </c>
      <c r="CD590" s="5" t="s">
        <v>765</v>
      </c>
      <c r="CE590" t="s">
        <v>912</v>
      </c>
      <c r="CF590" s="3">
        <v>45988</v>
      </c>
      <c r="CI590">
        <v>2</v>
      </c>
      <c r="CJ590">
        <v>1</v>
      </c>
      <c r="CK590">
        <v>23</v>
      </c>
      <c r="CL590" t="s">
        <v>89</v>
      </c>
    </row>
    <row r="591" spans="1:90" x14ac:dyDescent="0.3">
      <c r="A591" t="s">
        <v>72</v>
      </c>
      <c r="B591" t="s">
        <v>73</v>
      </c>
      <c r="C591" t="s">
        <v>74</v>
      </c>
      <c r="E591" t="str">
        <f>"GAB2030130"</f>
        <v>GAB2030130</v>
      </c>
      <c r="F591" s="3">
        <v>45986</v>
      </c>
      <c r="G591">
        <v>202608</v>
      </c>
      <c r="H591" t="s">
        <v>75</v>
      </c>
      <c r="I591" t="s">
        <v>76</v>
      </c>
      <c r="J591" t="s">
        <v>77</v>
      </c>
      <c r="K591" t="s">
        <v>78</v>
      </c>
      <c r="L591" t="s">
        <v>423</v>
      </c>
      <c r="M591" t="s">
        <v>424</v>
      </c>
      <c r="N591" t="s">
        <v>425</v>
      </c>
      <c r="O591" t="s">
        <v>124</v>
      </c>
      <c r="P591" t="str">
        <f>"INVOICE00041871 ORDGS038486   "</f>
        <v xml:space="preserve">INVOICE00041871 ORDGS038486   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21.38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1</v>
      </c>
      <c r="BI591">
        <v>0.7</v>
      </c>
      <c r="BJ591">
        <v>1.6</v>
      </c>
      <c r="BK591">
        <v>2</v>
      </c>
      <c r="BL591">
        <v>69.98</v>
      </c>
      <c r="BM591">
        <v>10.5</v>
      </c>
      <c r="BN591">
        <v>80.48</v>
      </c>
      <c r="BO591">
        <v>80.48</v>
      </c>
      <c r="BQ591" t="s">
        <v>1668</v>
      </c>
      <c r="BR591" t="s">
        <v>84</v>
      </c>
      <c r="BS591" s="3">
        <v>45987</v>
      </c>
      <c r="BT591" s="4">
        <v>0.40763888888888888</v>
      </c>
      <c r="BU591" t="s">
        <v>1669</v>
      </c>
      <c r="BV591" t="s">
        <v>86</v>
      </c>
      <c r="BY591">
        <v>8150.34</v>
      </c>
      <c r="BZ591" t="s">
        <v>126</v>
      </c>
      <c r="CA591" t="s">
        <v>1670</v>
      </c>
      <c r="CC591" t="s">
        <v>424</v>
      </c>
      <c r="CD591">
        <v>1541</v>
      </c>
      <c r="CE591" t="s">
        <v>1046</v>
      </c>
      <c r="CF591" s="3">
        <v>45987</v>
      </c>
      <c r="CI591">
        <v>1</v>
      </c>
      <c r="CJ591">
        <v>1</v>
      </c>
      <c r="CK591">
        <v>21</v>
      </c>
      <c r="CL591" t="s">
        <v>89</v>
      </c>
    </row>
    <row r="592" spans="1:90" x14ac:dyDescent="0.3">
      <c r="A592" t="s">
        <v>72</v>
      </c>
      <c r="B592" t="s">
        <v>73</v>
      </c>
      <c r="C592" t="s">
        <v>74</v>
      </c>
      <c r="E592" t="str">
        <f>"GAB2030131"</f>
        <v>GAB2030131</v>
      </c>
      <c r="F592" s="3">
        <v>45986</v>
      </c>
      <c r="G592">
        <v>202608</v>
      </c>
      <c r="H592" t="s">
        <v>75</v>
      </c>
      <c r="I592" t="s">
        <v>76</v>
      </c>
      <c r="J592" t="s">
        <v>77</v>
      </c>
      <c r="K592" t="s">
        <v>78</v>
      </c>
      <c r="L592" t="s">
        <v>246</v>
      </c>
      <c r="M592" t="s">
        <v>247</v>
      </c>
      <c r="N592" t="s">
        <v>1671</v>
      </c>
      <c r="O592" t="s">
        <v>124</v>
      </c>
      <c r="P592" t="str">
        <f>"INVOICE00041878 ORDGS038501   "</f>
        <v xml:space="preserve">INVOICE00041878 ORDGS038501   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21.38</v>
      </c>
      <c r="AR59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1</v>
      </c>
      <c r="BI592">
        <v>0.2</v>
      </c>
      <c r="BJ592">
        <v>1.9</v>
      </c>
      <c r="BK592">
        <v>2</v>
      </c>
      <c r="BL592">
        <v>69.98</v>
      </c>
      <c r="BM592">
        <v>10.5</v>
      </c>
      <c r="BN592">
        <v>80.48</v>
      </c>
      <c r="BO592">
        <v>80.48</v>
      </c>
      <c r="BQ592" t="s">
        <v>380</v>
      </c>
      <c r="BR592" t="s">
        <v>84</v>
      </c>
      <c r="BS592" s="3">
        <v>45987</v>
      </c>
      <c r="BT592" s="4">
        <v>0.40277777777777779</v>
      </c>
      <c r="BU592" t="s">
        <v>1672</v>
      </c>
      <c r="BV592" t="s">
        <v>86</v>
      </c>
      <c r="BY592">
        <v>9691.6200000000008</v>
      </c>
      <c r="BZ592" t="s">
        <v>126</v>
      </c>
      <c r="CC592" t="s">
        <v>247</v>
      </c>
      <c r="CD592">
        <v>9301</v>
      </c>
      <c r="CE592" t="s">
        <v>367</v>
      </c>
      <c r="CF592" s="3">
        <v>45988</v>
      </c>
      <c r="CI592">
        <v>2</v>
      </c>
      <c r="CJ592">
        <v>1</v>
      </c>
      <c r="CK592">
        <v>21</v>
      </c>
      <c r="CL592" t="s">
        <v>89</v>
      </c>
    </row>
    <row r="593" spans="1:90" x14ac:dyDescent="0.3">
      <c r="A593" t="s">
        <v>72</v>
      </c>
      <c r="B593" t="s">
        <v>73</v>
      </c>
      <c r="C593" t="s">
        <v>74</v>
      </c>
      <c r="E593" t="str">
        <f>"GAB2030134"</f>
        <v>GAB2030134</v>
      </c>
      <c r="F593" s="3">
        <v>45986</v>
      </c>
      <c r="G593">
        <v>202608</v>
      </c>
      <c r="H593" t="s">
        <v>75</v>
      </c>
      <c r="I593" t="s">
        <v>76</v>
      </c>
      <c r="J593" t="s">
        <v>77</v>
      </c>
      <c r="K593" t="s">
        <v>78</v>
      </c>
      <c r="L593" t="s">
        <v>75</v>
      </c>
      <c r="M593" t="s">
        <v>76</v>
      </c>
      <c r="N593" t="s">
        <v>386</v>
      </c>
      <c r="O593" t="s">
        <v>124</v>
      </c>
      <c r="P593" t="str">
        <f>"INVOICE00123109 00123084 CT098"</f>
        <v>INVOICE00123109 00123084 CT098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16.7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1</v>
      </c>
      <c r="BI593">
        <v>0.3</v>
      </c>
      <c r="BJ593">
        <v>2.1</v>
      </c>
      <c r="BK593">
        <v>3</v>
      </c>
      <c r="BL593">
        <v>54.66</v>
      </c>
      <c r="BM593">
        <v>8.1999999999999993</v>
      </c>
      <c r="BN593">
        <v>62.86</v>
      </c>
      <c r="BO593">
        <v>62.86</v>
      </c>
      <c r="BQ593" t="s">
        <v>387</v>
      </c>
      <c r="BR593" t="s">
        <v>84</v>
      </c>
      <c r="BS593" s="3">
        <v>45987</v>
      </c>
      <c r="BT593" s="4">
        <v>0.38611111111111113</v>
      </c>
      <c r="BU593" t="s">
        <v>1309</v>
      </c>
      <c r="BV593" t="s">
        <v>86</v>
      </c>
      <c r="BY593">
        <v>10459.85</v>
      </c>
      <c r="BZ593" t="s">
        <v>126</v>
      </c>
      <c r="CA593" t="s">
        <v>1104</v>
      </c>
      <c r="CC593" t="s">
        <v>76</v>
      </c>
      <c r="CD593">
        <v>7800</v>
      </c>
      <c r="CE593" t="s">
        <v>814</v>
      </c>
      <c r="CF593" s="3">
        <v>45988</v>
      </c>
      <c r="CI593">
        <v>1</v>
      </c>
      <c r="CJ593">
        <v>1</v>
      </c>
      <c r="CK593">
        <v>22</v>
      </c>
      <c r="CL593" t="s">
        <v>89</v>
      </c>
    </row>
    <row r="594" spans="1:90" x14ac:dyDescent="0.3">
      <c r="A594" t="s">
        <v>72</v>
      </c>
      <c r="B594" t="s">
        <v>73</v>
      </c>
      <c r="C594" t="s">
        <v>74</v>
      </c>
      <c r="E594" t="str">
        <f>"GAB2030135"</f>
        <v>GAB2030135</v>
      </c>
      <c r="F594" s="3">
        <v>45986</v>
      </c>
      <c r="G594">
        <v>202608</v>
      </c>
      <c r="H594" t="s">
        <v>75</v>
      </c>
      <c r="I594" t="s">
        <v>76</v>
      </c>
      <c r="J594" t="s">
        <v>77</v>
      </c>
      <c r="K594" t="s">
        <v>78</v>
      </c>
      <c r="L594" t="s">
        <v>129</v>
      </c>
      <c r="M594" t="s">
        <v>130</v>
      </c>
      <c r="N594" t="s">
        <v>131</v>
      </c>
      <c r="O594" t="s">
        <v>124</v>
      </c>
      <c r="P594" t="str">
        <f>"INVOICE00123105 CT098494      "</f>
        <v xml:space="preserve">INVOICE00123105 CT098494      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26.73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1</v>
      </c>
      <c r="BI594">
        <v>0.3</v>
      </c>
      <c r="BJ594">
        <v>2.4</v>
      </c>
      <c r="BK594">
        <v>2.5</v>
      </c>
      <c r="BL594">
        <v>87.47</v>
      </c>
      <c r="BM594">
        <v>13.12</v>
      </c>
      <c r="BN594">
        <v>100.59</v>
      </c>
      <c r="BO594">
        <v>100.59</v>
      </c>
      <c r="BQ594" t="s">
        <v>132</v>
      </c>
      <c r="BR594" t="s">
        <v>84</v>
      </c>
      <c r="BS594" s="3">
        <v>45988</v>
      </c>
      <c r="BT594" s="4">
        <v>0.3888888888888889</v>
      </c>
      <c r="BU594" t="s">
        <v>1673</v>
      </c>
      <c r="BV594" t="s">
        <v>89</v>
      </c>
      <c r="BY594">
        <v>12094.32</v>
      </c>
      <c r="BZ594" t="s">
        <v>126</v>
      </c>
      <c r="CA594" t="s">
        <v>1080</v>
      </c>
      <c r="CC594" t="s">
        <v>130</v>
      </c>
      <c r="CD594" s="5" t="s">
        <v>135</v>
      </c>
      <c r="CE594" t="s">
        <v>843</v>
      </c>
      <c r="CF594" s="3">
        <v>45988</v>
      </c>
      <c r="CI594">
        <v>2</v>
      </c>
      <c r="CJ594">
        <v>2</v>
      </c>
      <c r="CK594">
        <v>21</v>
      </c>
      <c r="CL594" t="s">
        <v>89</v>
      </c>
    </row>
    <row r="595" spans="1:90" x14ac:dyDescent="0.3">
      <c r="A595" t="s">
        <v>72</v>
      </c>
      <c r="B595" t="s">
        <v>73</v>
      </c>
      <c r="C595" t="s">
        <v>74</v>
      </c>
      <c r="E595" t="str">
        <f>"GAB2030136"</f>
        <v>GAB2030136</v>
      </c>
      <c r="F595" s="3">
        <v>45986</v>
      </c>
      <c r="G595">
        <v>202608</v>
      </c>
      <c r="H595" t="s">
        <v>75</v>
      </c>
      <c r="I595" t="s">
        <v>76</v>
      </c>
      <c r="J595" t="s">
        <v>77</v>
      </c>
      <c r="K595" t="s">
        <v>78</v>
      </c>
      <c r="L595" t="s">
        <v>169</v>
      </c>
      <c r="M595" t="s">
        <v>170</v>
      </c>
      <c r="N595" t="s">
        <v>1674</v>
      </c>
      <c r="O595" t="s">
        <v>124</v>
      </c>
      <c r="P595" t="str">
        <f>"INVOICE00123110 CT098498      "</f>
        <v xml:space="preserve">INVOICE00123110 CT098498      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42.75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1</v>
      </c>
      <c r="BI595">
        <v>0.3</v>
      </c>
      <c r="BJ595">
        <v>4</v>
      </c>
      <c r="BK595">
        <v>4</v>
      </c>
      <c r="BL595">
        <v>139.91</v>
      </c>
      <c r="BM595">
        <v>20.99</v>
      </c>
      <c r="BN595">
        <v>160.9</v>
      </c>
      <c r="BO595">
        <v>160.9</v>
      </c>
      <c r="BR595" t="s">
        <v>84</v>
      </c>
      <c r="BS595" s="3">
        <v>45987</v>
      </c>
      <c r="BT595" s="4">
        <v>0.43055555555555558</v>
      </c>
      <c r="BU595" t="s">
        <v>1675</v>
      </c>
      <c r="BV595" t="s">
        <v>86</v>
      </c>
      <c r="BY595">
        <v>19809</v>
      </c>
      <c r="BZ595" t="s">
        <v>126</v>
      </c>
      <c r="CA595" t="s">
        <v>1552</v>
      </c>
      <c r="CC595" t="s">
        <v>170</v>
      </c>
      <c r="CD595">
        <v>2000</v>
      </c>
      <c r="CE595" t="s">
        <v>814</v>
      </c>
      <c r="CF595" s="3">
        <v>45988</v>
      </c>
      <c r="CI595">
        <v>1</v>
      </c>
      <c r="CJ595">
        <v>1</v>
      </c>
      <c r="CK595">
        <v>21</v>
      </c>
      <c r="CL595" t="s">
        <v>89</v>
      </c>
    </row>
    <row r="596" spans="1:90" x14ac:dyDescent="0.3">
      <c r="A596" t="s">
        <v>72</v>
      </c>
      <c r="B596" t="s">
        <v>73</v>
      </c>
      <c r="C596" t="s">
        <v>74</v>
      </c>
      <c r="E596" t="str">
        <f>"GAB2030137"</f>
        <v>GAB2030137</v>
      </c>
      <c r="F596" s="3">
        <v>45986</v>
      </c>
      <c r="G596">
        <v>202608</v>
      </c>
      <c r="H596" t="s">
        <v>75</v>
      </c>
      <c r="I596" t="s">
        <v>76</v>
      </c>
      <c r="J596" t="s">
        <v>77</v>
      </c>
      <c r="K596" t="s">
        <v>78</v>
      </c>
      <c r="L596" t="s">
        <v>137</v>
      </c>
      <c r="M596" t="s">
        <v>138</v>
      </c>
      <c r="N596" t="s">
        <v>139</v>
      </c>
      <c r="O596" t="s">
        <v>124</v>
      </c>
      <c r="P596" t="str">
        <f>"INVOICE00123115 CT098499      "</f>
        <v xml:space="preserve">INVOICE00123115 CT098499      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265.94</v>
      </c>
      <c r="AR596">
        <v>0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1</v>
      </c>
      <c r="BI596">
        <v>4.0999999999999996</v>
      </c>
      <c r="BJ596">
        <v>13.9</v>
      </c>
      <c r="BK596">
        <v>14</v>
      </c>
      <c r="BL596">
        <v>870.34</v>
      </c>
      <c r="BM596">
        <v>130.55000000000001</v>
      </c>
      <c r="BN596">
        <v>1000.89</v>
      </c>
      <c r="BO596">
        <v>1000.89</v>
      </c>
      <c r="BR596" t="s">
        <v>84</v>
      </c>
      <c r="BS596" s="3">
        <v>45988</v>
      </c>
      <c r="BT596" s="4">
        <v>0.5444444444444444</v>
      </c>
      <c r="BU596" t="s">
        <v>1643</v>
      </c>
      <c r="BV596" t="s">
        <v>89</v>
      </c>
      <c r="BW596" t="s">
        <v>865</v>
      </c>
      <c r="BX596" t="s">
        <v>866</v>
      </c>
      <c r="BY596">
        <v>69745</v>
      </c>
      <c r="BZ596" t="s">
        <v>126</v>
      </c>
      <c r="CA596" t="s">
        <v>141</v>
      </c>
      <c r="CC596" t="s">
        <v>138</v>
      </c>
      <c r="CD596" s="5" t="s">
        <v>142</v>
      </c>
      <c r="CE596" t="s">
        <v>1676</v>
      </c>
      <c r="CF596" s="3">
        <v>45988</v>
      </c>
      <c r="CI596">
        <v>2</v>
      </c>
      <c r="CJ596">
        <v>2</v>
      </c>
      <c r="CK596">
        <v>23</v>
      </c>
      <c r="CL596" t="s">
        <v>89</v>
      </c>
    </row>
    <row r="597" spans="1:90" x14ac:dyDescent="0.3">
      <c r="A597" t="s">
        <v>72</v>
      </c>
      <c r="B597" t="s">
        <v>73</v>
      </c>
      <c r="C597" t="s">
        <v>74</v>
      </c>
      <c r="E597" t="str">
        <f>"GAB2030138"</f>
        <v>GAB2030138</v>
      </c>
      <c r="F597" s="3">
        <v>45986</v>
      </c>
      <c r="G597">
        <v>202608</v>
      </c>
      <c r="H597" t="s">
        <v>75</v>
      </c>
      <c r="I597" t="s">
        <v>76</v>
      </c>
      <c r="J597" t="s">
        <v>77</v>
      </c>
      <c r="K597" t="s">
        <v>78</v>
      </c>
      <c r="L597" t="s">
        <v>246</v>
      </c>
      <c r="M597" t="s">
        <v>247</v>
      </c>
      <c r="N597" t="s">
        <v>849</v>
      </c>
      <c r="O597" t="s">
        <v>124</v>
      </c>
      <c r="P597" t="str">
        <f>"INVOICE00041860 00041880 ORDGS"</f>
        <v>INVOICE00041860 00041880 ORDGS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32.07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1</v>
      </c>
      <c r="BI597">
        <v>0.3</v>
      </c>
      <c r="BJ597">
        <v>2.7</v>
      </c>
      <c r="BK597">
        <v>3</v>
      </c>
      <c r="BL597">
        <v>104.95</v>
      </c>
      <c r="BM597">
        <v>15.74</v>
      </c>
      <c r="BN597">
        <v>120.69</v>
      </c>
      <c r="BO597">
        <v>120.69</v>
      </c>
      <c r="BQ597" t="s">
        <v>950</v>
      </c>
      <c r="BR597" t="s">
        <v>84</v>
      </c>
      <c r="BS597" s="3">
        <v>45987</v>
      </c>
      <c r="BT597" s="4">
        <v>0.45833333333333331</v>
      </c>
      <c r="BU597" t="s">
        <v>1199</v>
      </c>
      <c r="BV597" t="s">
        <v>86</v>
      </c>
      <c r="BY597">
        <v>13675.82</v>
      </c>
      <c r="BZ597" t="s">
        <v>126</v>
      </c>
      <c r="CC597" t="s">
        <v>247</v>
      </c>
      <c r="CD597">
        <v>9301</v>
      </c>
      <c r="CE597" t="s">
        <v>912</v>
      </c>
      <c r="CF597" s="3">
        <v>45988</v>
      </c>
      <c r="CI597">
        <v>2</v>
      </c>
      <c r="CJ597">
        <v>1</v>
      </c>
      <c r="CK597">
        <v>21</v>
      </c>
      <c r="CL597" t="s">
        <v>89</v>
      </c>
    </row>
    <row r="598" spans="1:90" x14ac:dyDescent="0.3">
      <c r="A598" t="s">
        <v>72</v>
      </c>
      <c r="B598" t="s">
        <v>73</v>
      </c>
      <c r="C598" t="s">
        <v>74</v>
      </c>
      <c r="E598" t="str">
        <f>"GAB2030140"</f>
        <v>GAB2030140</v>
      </c>
      <c r="F598" s="3">
        <v>45986</v>
      </c>
      <c r="G598">
        <v>202608</v>
      </c>
      <c r="H598" t="s">
        <v>75</v>
      </c>
      <c r="I598" t="s">
        <v>76</v>
      </c>
      <c r="J598" t="s">
        <v>77</v>
      </c>
      <c r="K598" t="s">
        <v>78</v>
      </c>
      <c r="L598" t="s">
        <v>1677</v>
      </c>
      <c r="M598" t="s">
        <v>1678</v>
      </c>
      <c r="N598" t="s">
        <v>1679</v>
      </c>
      <c r="O598" t="s">
        <v>124</v>
      </c>
      <c r="P598" t="str">
        <f>"INVOICE00041881 ORDGS038512   "</f>
        <v xml:space="preserve">INVOICE00041881 ORDGS038512   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60.14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1</v>
      </c>
      <c r="BI598">
        <v>1.2</v>
      </c>
      <c r="BJ598">
        <v>2.7</v>
      </c>
      <c r="BK598">
        <v>3</v>
      </c>
      <c r="BL598">
        <v>196.82</v>
      </c>
      <c r="BM598">
        <v>29.52</v>
      </c>
      <c r="BN598">
        <v>226.34</v>
      </c>
      <c r="BO598">
        <v>226.34</v>
      </c>
      <c r="BQ598" t="s">
        <v>1680</v>
      </c>
      <c r="BR598" t="s">
        <v>84</v>
      </c>
      <c r="BS598" s="3">
        <v>45987</v>
      </c>
      <c r="BT598" s="4">
        <v>0.67500000000000004</v>
      </c>
      <c r="BU598" t="s">
        <v>1681</v>
      </c>
      <c r="BV598" t="s">
        <v>86</v>
      </c>
      <c r="BY598">
        <v>13452</v>
      </c>
      <c r="BZ598" t="s">
        <v>126</v>
      </c>
      <c r="CA598">
        <v>9112255145082</v>
      </c>
      <c r="CC598" t="s">
        <v>1678</v>
      </c>
      <c r="CD598">
        <v>6570</v>
      </c>
      <c r="CE598" t="s">
        <v>907</v>
      </c>
      <c r="CF598" s="3">
        <v>45988</v>
      </c>
      <c r="CI598">
        <v>2</v>
      </c>
      <c r="CJ598">
        <v>1</v>
      </c>
      <c r="CK598">
        <v>23</v>
      </c>
      <c r="CL598" t="s">
        <v>89</v>
      </c>
    </row>
    <row r="599" spans="1:90" x14ac:dyDescent="0.3">
      <c r="A599" t="s">
        <v>72</v>
      </c>
      <c r="B599" t="s">
        <v>73</v>
      </c>
      <c r="C599" t="s">
        <v>74</v>
      </c>
      <c r="E599" t="str">
        <f>"GAB2030141"</f>
        <v>GAB2030141</v>
      </c>
      <c r="F599" s="3">
        <v>45986</v>
      </c>
      <c r="G599">
        <v>202608</v>
      </c>
      <c r="H599" t="s">
        <v>75</v>
      </c>
      <c r="I599" t="s">
        <v>76</v>
      </c>
      <c r="J599" t="s">
        <v>77</v>
      </c>
      <c r="K599" t="s">
        <v>78</v>
      </c>
      <c r="L599" t="s">
        <v>584</v>
      </c>
      <c r="M599" t="s">
        <v>585</v>
      </c>
      <c r="N599" t="s">
        <v>1682</v>
      </c>
      <c r="O599" t="s">
        <v>124</v>
      </c>
      <c r="P599" t="str">
        <f>"invoice00041882 ordgs038513   "</f>
        <v xml:space="preserve">invoice00041882 ordgs038513   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41.43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1</v>
      </c>
      <c r="BI599">
        <v>0.2</v>
      </c>
      <c r="BJ599">
        <v>1.7</v>
      </c>
      <c r="BK599">
        <v>2</v>
      </c>
      <c r="BL599">
        <v>135.59</v>
      </c>
      <c r="BM599">
        <v>20.34</v>
      </c>
      <c r="BN599">
        <v>155.93</v>
      </c>
      <c r="BO599">
        <v>155.93</v>
      </c>
      <c r="BQ599" t="s">
        <v>380</v>
      </c>
      <c r="BR599" t="s">
        <v>84</v>
      </c>
      <c r="BS599" s="3">
        <v>45988</v>
      </c>
      <c r="BT599" s="4">
        <v>0.37708333333333333</v>
      </c>
      <c r="BU599" t="s">
        <v>1683</v>
      </c>
      <c r="BV599" t="s">
        <v>89</v>
      </c>
      <c r="BY599">
        <v>8600.85</v>
      </c>
      <c r="BZ599" t="s">
        <v>126</v>
      </c>
      <c r="CA599" t="s">
        <v>588</v>
      </c>
      <c r="CC599" t="s">
        <v>585</v>
      </c>
      <c r="CD599">
        <v>3900</v>
      </c>
      <c r="CE599" t="s">
        <v>1092</v>
      </c>
      <c r="CF599" s="3">
        <v>45988</v>
      </c>
      <c r="CI599">
        <v>2</v>
      </c>
      <c r="CJ599">
        <v>2</v>
      </c>
      <c r="CK599">
        <v>23</v>
      </c>
      <c r="CL599" t="s">
        <v>89</v>
      </c>
    </row>
    <row r="600" spans="1:90" x14ac:dyDescent="0.3">
      <c r="A600" t="s">
        <v>72</v>
      </c>
      <c r="B600" t="s">
        <v>73</v>
      </c>
      <c r="C600" t="s">
        <v>74</v>
      </c>
      <c r="E600" t="str">
        <f>"GAB2030142"</f>
        <v>GAB2030142</v>
      </c>
      <c r="F600" s="3">
        <v>45986</v>
      </c>
      <c r="G600">
        <v>202608</v>
      </c>
      <c r="H600" t="s">
        <v>75</v>
      </c>
      <c r="I600" t="s">
        <v>76</v>
      </c>
      <c r="J600" t="s">
        <v>77</v>
      </c>
      <c r="K600" t="s">
        <v>78</v>
      </c>
      <c r="L600" t="s">
        <v>75</v>
      </c>
      <c r="M600" t="s">
        <v>76</v>
      </c>
      <c r="N600" t="s">
        <v>481</v>
      </c>
      <c r="O600" t="s">
        <v>124</v>
      </c>
      <c r="P600" t="str">
        <f>"invoice 00123065 ordgs038479  "</f>
        <v xml:space="preserve">invoice 00123065 ordgs038479  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16.7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1</v>
      </c>
      <c r="BI600">
        <v>1.2</v>
      </c>
      <c r="BJ600">
        <v>2.4</v>
      </c>
      <c r="BK600">
        <v>3</v>
      </c>
      <c r="BL600">
        <v>54.66</v>
      </c>
      <c r="BM600">
        <v>8.1999999999999993</v>
      </c>
      <c r="BN600">
        <v>62.86</v>
      </c>
      <c r="BO600">
        <v>62.86</v>
      </c>
      <c r="BQ600" t="s">
        <v>1684</v>
      </c>
      <c r="BR600" t="s">
        <v>84</v>
      </c>
      <c r="BS600" s="3">
        <v>45987</v>
      </c>
      <c r="BT600" s="4">
        <v>0.37569444444444444</v>
      </c>
      <c r="BU600" t="s">
        <v>1307</v>
      </c>
      <c r="BV600" t="s">
        <v>86</v>
      </c>
      <c r="BY600">
        <v>11959.36</v>
      </c>
      <c r="BZ600" t="s">
        <v>126</v>
      </c>
      <c r="CA600" t="s">
        <v>1308</v>
      </c>
      <c r="CC600" t="s">
        <v>76</v>
      </c>
      <c r="CD600">
        <v>7441</v>
      </c>
      <c r="CE600" t="s">
        <v>1685</v>
      </c>
      <c r="CF600" s="3">
        <v>45988</v>
      </c>
      <c r="CI600">
        <v>1</v>
      </c>
      <c r="CJ600">
        <v>1</v>
      </c>
      <c r="CK600">
        <v>22</v>
      </c>
      <c r="CL600" t="s">
        <v>89</v>
      </c>
    </row>
    <row r="601" spans="1:90" x14ac:dyDescent="0.3">
      <c r="A601" t="s">
        <v>72</v>
      </c>
      <c r="B601" t="s">
        <v>73</v>
      </c>
      <c r="C601" t="s">
        <v>74</v>
      </c>
      <c r="E601" t="str">
        <f>"GAB2030143"</f>
        <v>GAB2030143</v>
      </c>
      <c r="F601" s="3">
        <v>45986</v>
      </c>
      <c r="G601">
        <v>202608</v>
      </c>
      <c r="H601" t="s">
        <v>75</v>
      </c>
      <c r="I601" t="s">
        <v>76</v>
      </c>
      <c r="J601" t="s">
        <v>77</v>
      </c>
      <c r="K601" t="s">
        <v>78</v>
      </c>
      <c r="L601" t="s">
        <v>195</v>
      </c>
      <c r="M601" t="s">
        <v>196</v>
      </c>
      <c r="N601" t="s">
        <v>641</v>
      </c>
      <c r="O601" t="s">
        <v>124</v>
      </c>
      <c r="P601" t="str">
        <f>"INVOICE 00041883 ORDGS038483  "</f>
        <v xml:space="preserve">INVOICE 00041883 ORDGS038483  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26.73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1</v>
      </c>
      <c r="BI601">
        <v>0.3</v>
      </c>
      <c r="BJ601">
        <v>2.2999999999999998</v>
      </c>
      <c r="BK601">
        <v>2.5</v>
      </c>
      <c r="BL601">
        <v>87.47</v>
      </c>
      <c r="BM601">
        <v>13.12</v>
      </c>
      <c r="BN601">
        <v>100.59</v>
      </c>
      <c r="BO601">
        <v>100.59</v>
      </c>
      <c r="BQ601" t="s">
        <v>1686</v>
      </c>
      <c r="BR601" t="s">
        <v>84</v>
      </c>
      <c r="BS601" s="3">
        <v>45987</v>
      </c>
      <c r="BT601" s="4">
        <v>0.37638888888888888</v>
      </c>
      <c r="BU601" t="s">
        <v>1687</v>
      </c>
      <c r="BV601" t="s">
        <v>86</v>
      </c>
      <c r="BY601">
        <v>11708.34</v>
      </c>
      <c r="BZ601" t="s">
        <v>126</v>
      </c>
      <c r="CA601" t="s">
        <v>644</v>
      </c>
      <c r="CC601" t="s">
        <v>196</v>
      </c>
      <c r="CD601">
        <v>1709</v>
      </c>
      <c r="CE601" t="s">
        <v>149</v>
      </c>
      <c r="CF601" s="3">
        <v>45987</v>
      </c>
      <c r="CI601">
        <v>1</v>
      </c>
      <c r="CJ601">
        <v>1</v>
      </c>
      <c r="CK601">
        <v>21</v>
      </c>
      <c r="CL601" t="s">
        <v>89</v>
      </c>
    </row>
    <row r="602" spans="1:90" x14ac:dyDescent="0.3">
      <c r="A602" t="s">
        <v>72</v>
      </c>
      <c r="B602" t="s">
        <v>73</v>
      </c>
      <c r="C602" t="s">
        <v>74</v>
      </c>
      <c r="E602" t="str">
        <f>"GAB2030144"</f>
        <v>GAB2030144</v>
      </c>
      <c r="F602" s="3">
        <v>45986</v>
      </c>
      <c r="G602">
        <v>202608</v>
      </c>
      <c r="H602" t="s">
        <v>75</v>
      </c>
      <c r="I602" t="s">
        <v>76</v>
      </c>
      <c r="J602" t="s">
        <v>77</v>
      </c>
      <c r="K602" t="s">
        <v>78</v>
      </c>
      <c r="L602" t="s">
        <v>353</v>
      </c>
      <c r="M602" t="s">
        <v>354</v>
      </c>
      <c r="N602" t="s">
        <v>637</v>
      </c>
      <c r="O602" t="s">
        <v>124</v>
      </c>
      <c r="P602" t="str">
        <f>"INVOICE 00041884 ORDGS038505  "</f>
        <v xml:space="preserve">INVOICE 00041884 ORDGS038505  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41.43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1</v>
      </c>
      <c r="BI602">
        <v>0.1</v>
      </c>
      <c r="BJ602">
        <v>1.7</v>
      </c>
      <c r="BK602">
        <v>2</v>
      </c>
      <c r="BL602">
        <v>135.59</v>
      </c>
      <c r="BM602">
        <v>20.34</v>
      </c>
      <c r="BN602">
        <v>155.93</v>
      </c>
      <c r="BO602">
        <v>155.93</v>
      </c>
      <c r="BQ602" t="s">
        <v>1688</v>
      </c>
      <c r="BR602" t="s">
        <v>84</v>
      </c>
      <c r="BS602" s="3">
        <v>45987</v>
      </c>
      <c r="BT602" s="4">
        <v>0.38194444444444442</v>
      </c>
      <c r="BU602" t="s">
        <v>1666</v>
      </c>
      <c r="BV602" t="s">
        <v>86</v>
      </c>
      <c r="BY602">
        <v>8295.6</v>
      </c>
      <c r="BZ602" t="s">
        <v>126</v>
      </c>
      <c r="CA602" t="s">
        <v>358</v>
      </c>
      <c r="CC602" t="s">
        <v>354</v>
      </c>
      <c r="CD602">
        <v>1035</v>
      </c>
      <c r="CE602" t="s">
        <v>154</v>
      </c>
      <c r="CI602">
        <v>1</v>
      </c>
      <c r="CJ602">
        <v>1</v>
      </c>
      <c r="CK602">
        <v>23</v>
      </c>
      <c r="CL602" t="s">
        <v>89</v>
      </c>
    </row>
    <row r="603" spans="1:90" x14ac:dyDescent="0.3">
      <c r="A603" t="s">
        <v>72</v>
      </c>
      <c r="B603" t="s">
        <v>73</v>
      </c>
      <c r="C603" t="s">
        <v>74</v>
      </c>
      <c r="E603" t="str">
        <f>"GAB2030145"</f>
        <v>GAB2030145</v>
      </c>
      <c r="F603" s="3">
        <v>45986</v>
      </c>
      <c r="G603">
        <v>202608</v>
      </c>
      <c r="H603" t="s">
        <v>75</v>
      </c>
      <c r="I603" t="s">
        <v>76</v>
      </c>
      <c r="J603" t="s">
        <v>77</v>
      </c>
      <c r="K603" t="s">
        <v>78</v>
      </c>
      <c r="L603" t="s">
        <v>75</v>
      </c>
      <c r="M603" t="s">
        <v>76</v>
      </c>
      <c r="N603" t="s">
        <v>1031</v>
      </c>
      <c r="O603" t="s">
        <v>124</v>
      </c>
      <c r="P603" t="str">
        <f>"INVOICE 00123116 CT098497     "</f>
        <v xml:space="preserve">INVOICE 00123116 CT098497     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16.7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1</v>
      </c>
      <c r="BI603">
        <v>1</v>
      </c>
      <c r="BJ603">
        <v>2.5</v>
      </c>
      <c r="BK603">
        <v>3</v>
      </c>
      <c r="BL603">
        <v>54.66</v>
      </c>
      <c r="BM603">
        <v>8.1999999999999993</v>
      </c>
      <c r="BN603">
        <v>62.86</v>
      </c>
      <c r="BO603">
        <v>62.86</v>
      </c>
      <c r="BR603" t="s">
        <v>84</v>
      </c>
      <c r="BS603" s="3">
        <v>45987</v>
      </c>
      <c r="BT603" s="4">
        <v>0.375</v>
      </c>
      <c r="BU603" t="s">
        <v>1689</v>
      </c>
      <c r="BV603" t="s">
        <v>86</v>
      </c>
      <c r="BY603">
        <v>12620.1</v>
      </c>
      <c r="BZ603" t="s">
        <v>126</v>
      </c>
      <c r="CA603" t="s">
        <v>153</v>
      </c>
      <c r="CC603" t="s">
        <v>76</v>
      </c>
      <c r="CD603">
        <v>7700</v>
      </c>
      <c r="CE603" t="s">
        <v>1109</v>
      </c>
      <c r="CF603" s="3">
        <v>45988</v>
      </c>
      <c r="CI603">
        <v>1</v>
      </c>
      <c r="CJ603">
        <v>1</v>
      </c>
      <c r="CK603">
        <v>22</v>
      </c>
      <c r="CL603" t="s">
        <v>89</v>
      </c>
    </row>
    <row r="604" spans="1:90" x14ac:dyDescent="0.3">
      <c r="A604" t="s">
        <v>72</v>
      </c>
      <c r="B604" t="s">
        <v>73</v>
      </c>
      <c r="C604" t="s">
        <v>74</v>
      </c>
      <c r="E604" t="str">
        <f>"009945158428"</f>
        <v>009945158428</v>
      </c>
      <c r="F604" s="3">
        <v>45986</v>
      </c>
      <c r="G604">
        <v>202608</v>
      </c>
      <c r="H604" t="s">
        <v>230</v>
      </c>
      <c r="I604" t="s">
        <v>231</v>
      </c>
      <c r="J604" t="s">
        <v>236</v>
      </c>
      <c r="K604" t="s">
        <v>78</v>
      </c>
      <c r="L604" t="s">
        <v>121</v>
      </c>
      <c r="M604" t="s">
        <v>122</v>
      </c>
      <c r="N604" t="s">
        <v>1690</v>
      </c>
      <c r="O604" t="s">
        <v>124</v>
      </c>
      <c r="P604" t="str">
        <f>"NO REF                        "</f>
        <v xml:space="preserve">NO REF                        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21.38</v>
      </c>
      <c r="AR604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1</v>
      </c>
      <c r="BI604">
        <v>1</v>
      </c>
      <c r="BJ604">
        <v>0.2</v>
      </c>
      <c r="BK604">
        <v>1</v>
      </c>
      <c r="BL604">
        <v>69.98</v>
      </c>
      <c r="BM604">
        <v>10.5</v>
      </c>
      <c r="BN604">
        <v>80.48</v>
      </c>
      <c r="BO604">
        <v>80.48</v>
      </c>
      <c r="BQ604" t="s">
        <v>1691</v>
      </c>
      <c r="BR604" t="s">
        <v>241</v>
      </c>
      <c r="BS604" s="3">
        <v>45987</v>
      </c>
      <c r="BT604" s="4">
        <v>0.41597222222222224</v>
      </c>
      <c r="BU604" t="s">
        <v>1692</v>
      </c>
      <c r="BV604" t="s">
        <v>86</v>
      </c>
      <c r="BY604">
        <v>1200</v>
      </c>
      <c r="BZ604" t="s">
        <v>126</v>
      </c>
      <c r="CA604" t="s">
        <v>127</v>
      </c>
      <c r="CC604" t="s">
        <v>122</v>
      </c>
      <c r="CD604">
        <v>1200</v>
      </c>
      <c r="CE604" t="s">
        <v>254</v>
      </c>
      <c r="CF604" s="3">
        <v>45987</v>
      </c>
      <c r="CI604">
        <v>1</v>
      </c>
      <c r="CJ604">
        <v>1</v>
      </c>
      <c r="CK604">
        <v>21</v>
      </c>
      <c r="CL604" t="s">
        <v>89</v>
      </c>
    </row>
    <row r="605" spans="1:90" x14ac:dyDescent="0.3">
      <c r="A605" t="s">
        <v>72</v>
      </c>
      <c r="B605" t="s">
        <v>73</v>
      </c>
      <c r="C605" t="s">
        <v>74</v>
      </c>
      <c r="E605" t="str">
        <f>"080011690933"</f>
        <v>080011690933</v>
      </c>
      <c r="F605" s="3">
        <v>45987</v>
      </c>
      <c r="G605">
        <v>202608</v>
      </c>
      <c r="H605" t="s">
        <v>155</v>
      </c>
      <c r="I605" t="s">
        <v>156</v>
      </c>
      <c r="J605" t="s">
        <v>1693</v>
      </c>
      <c r="K605" t="s">
        <v>78</v>
      </c>
      <c r="L605" t="s">
        <v>75</v>
      </c>
      <c r="M605" t="s">
        <v>76</v>
      </c>
      <c r="N605" t="s">
        <v>236</v>
      </c>
      <c r="O605" t="s">
        <v>82</v>
      </c>
      <c r="P605" t="str">
        <f>"Hester                        "</f>
        <v xml:space="preserve">Hester                        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5.87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41.35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1</v>
      </c>
      <c r="BI605">
        <v>2.8</v>
      </c>
      <c r="BJ605">
        <v>1</v>
      </c>
      <c r="BK605">
        <v>3</v>
      </c>
      <c r="BL605">
        <v>141.19999999999999</v>
      </c>
      <c r="BM605">
        <v>21.18</v>
      </c>
      <c r="BN605">
        <v>162.38</v>
      </c>
      <c r="BO605">
        <v>162.38</v>
      </c>
      <c r="BQ605" t="s">
        <v>997</v>
      </c>
      <c r="BR605" t="s">
        <v>1694</v>
      </c>
      <c r="BS605" t="s">
        <v>305</v>
      </c>
      <c r="BY605">
        <v>5012.7</v>
      </c>
      <c r="BZ605" t="s">
        <v>505</v>
      </c>
      <c r="CC605" t="s">
        <v>76</v>
      </c>
      <c r="CD605">
        <v>7460</v>
      </c>
      <c r="CE605" t="s">
        <v>245</v>
      </c>
      <c r="CI605">
        <v>3</v>
      </c>
      <c r="CJ605" t="s">
        <v>305</v>
      </c>
      <c r="CK605">
        <v>41</v>
      </c>
      <c r="CL605" t="s">
        <v>89</v>
      </c>
    </row>
    <row r="606" spans="1:90" x14ac:dyDescent="0.3">
      <c r="A606" t="s">
        <v>72</v>
      </c>
      <c r="B606" t="s">
        <v>73</v>
      </c>
      <c r="C606" t="s">
        <v>74</v>
      </c>
      <c r="E606" t="str">
        <f>"GAB2030152"</f>
        <v>GAB2030152</v>
      </c>
      <c r="F606" s="3">
        <v>45987</v>
      </c>
      <c r="G606">
        <v>202608</v>
      </c>
      <c r="H606" t="s">
        <v>75</v>
      </c>
      <c r="I606" t="s">
        <v>76</v>
      </c>
      <c r="J606" t="s">
        <v>77</v>
      </c>
      <c r="K606" t="s">
        <v>78</v>
      </c>
      <c r="L606" t="s">
        <v>860</v>
      </c>
      <c r="M606" t="s">
        <v>861</v>
      </c>
      <c r="N606" t="s">
        <v>1695</v>
      </c>
      <c r="O606" t="s">
        <v>82</v>
      </c>
      <c r="P606" t="str">
        <f>"INVOICE00041898 00041893 00041"</f>
        <v>INVOICE00041898 00041893 00041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5.87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126.83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2</v>
      </c>
      <c r="BI606">
        <v>18.899999999999999</v>
      </c>
      <c r="BJ606">
        <v>38</v>
      </c>
      <c r="BK606">
        <v>38</v>
      </c>
      <c r="BL606">
        <v>420.96</v>
      </c>
      <c r="BM606">
        <v>63.14</v>
      </c>
      <c r="BN606">
        <v>484.1</v>
      </c>
      <c r="BO606">
        <v>484.1</v>
      </c>
      <c r="BQ606" t="s">
        <v>118</v>
      </c>
      <c r="BR606" t="s">
        <v>84</v>
      </c>
      <c r="BS606" t="s">
        <v>305</v>
      </c>
      <c r="BY606">
        <v>189990.57</v>
      </c>
      <c r="CC606" t="s">
        <v>861</v>
      </c>
      <c r="CD606" s="5" t="s">
        <v>868</v>
      </c>
      <c r="CE606" t="s">
        <v>103</v>
      </c>
      <c r="CI606">
        <v>2</v>
      </c>
      <c r="CJ606" t="s">
        <v>305</v>
      </c>
      <c r="CK606">
        <v>43</v>
      </c>
      <c r="CL606" t="s">
        <v>89</v>
      </c>
    </row>
    <row r="607" spans="1:90" x14ac:dyDescent="0.3">
      <c r="A607" t="s">
        <v>72</v>
      </c>
      <c r="B607" t="s">
        <v>73</v>
      </c>
      <c r="C607" t="s">
        <v>74</v>
      </c>
      <c r="E607" t="str">
        <f>"GAB2030161"</f>
        <v>GAB2030161</v>
      </c>
      <c r="F607" s="3">
        <v>45987</v>
      </c>
      <c r="G607">
        <v>202608</v>
      </c>
      <c r="H607" t="s">
        <v>75</v>
      </c>
      <c r="I607" t="s">
        <v>76</v>
      </c>
      <c r="J607" t="s">
        <v>77</v>
      </c>
      <c r="K607" t="s">
        <v>78</v>
      </c>
      <c r="L607" t="s">
        <v>441</v>
      </c>
      <c r="M607" t="s">
        <v>442</v>
      </c>
      <c r="N607" t="s">
        <v>443</v>
      </c>
      <c r="O607" t="s">
        <v>82</v>
      </c>
      <c r="P607" t="str">
        <f>"INVOICE00041914 ORDGS038156   "</f>
        <v xml:space="preserve">INVOICE00041914 ORDGS038156   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5.87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41.35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1</v>
      </c>
      <c r="BI607">
        <v>2.9</v>
      </c>
      <c r="BJ607">
        <v>6.4</v>
      </c>
      <c r="BK607">
        <v>7</v>
      </c>
      <c r="BL607">
        <v>141.19999999999999</v>
      </c>
      <c r="BM607">
        <v>21.18</v>
      </c>
      <c r="BN607">
        <v>162.38</v>
      </c>
      <c r="BO607">
        <v>162.38</v>
      </c>
      <c r="BQ607" t="s">
        <v>444</v>
      </c>
      <c r="BR607" t="s">
        <v>84</v>
      </c>
      <c r="BS607" s="3">
        <v>45988</v>
      </c>
      <c r="BT607" s="4">
        <v>0.62291666666666667</v>
      </c>
      <c r="BU607" t="s">
        <v>445</v>
      </c>
      <c r="BV607" t="s">
        <v>86</v>
      </c>
      <c r="BY607">
        <v>32240</v>
      </c>
      <c r="CA607">
        <v>7004265685086</v>
      </c>
      <c r="CC607" t="s">
        <v>442</v>
      </c>
      <c r="CD607">
        <v>6529</v>
      </c>
      <c r="CE607" t="s">
        <v>103</v>
      </c>
      <c r="CI607">
        <v>1</v>
      </c>
      <c r="CJ607">
        <v>1</v>
      </c>
      <c r="CK607">
        <v>41</v>
      </c>
      <c r="CL607" t="s">
        <v>89</v>
      </c>
    </row>
    <row r="608" spans="1:90" x14ac:dyDescent="0.3">
      <c r="A608" t="s">
        <v>72</v>
      </c>
      <c r="B608" t="s">
        <v>73</v>
      </c>
      <c r="C608" t="s">
        <v>74</v>
      </c>
      <c r="E608" t="str">
        <f>"GAB2030162"</f>
        <v>GAB2030162</v>
      </c>
      <c r="F608" s="3">
        <v>45987</v>
      </c>
      <c r="G608">
        <v>202608</v>
      </c>
      <c r="H608" t="s">
        <v>75</v>
      </c>
      <c r="I608" t="s">
        <v>76</v>
      </c>
      <c r="J608" t="s">
        <v>77</v>
      </c>
      <c r="K608" t="s">
        <v>78</v>
      </c>
      <c r="L608" t="s">
        <v>353</v>
      </c>
      <c r="M608" t="s">
        <v>354</v>
      </c>
      <c r="N608" t="s">
        <v>589</v>
      </c>
      <c r="O608" t="s">
        <v>82</v>
      </c>
      <c r="P608" t="str">
        <f>"INVOICE00041916 ORDGS038534   "</f>
        <v xml:space="preserve">INVOICE00041916 ORDGS038534   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5.87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123.86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0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2</v>
      </c>
      <c r="BI608">
        <v>13.7</v>
      </c>
      <c r="BJ608">
        <v>36.799999999999997</v>
      </c>
      <c r="BK608">
        <v>37</v>
      </c>
      <c r="BL608">
        <v>411.22</v>
      </c>
      <c r="BM608">
        <v>61.68</v>
      </c>
      <c r="BN608">
        <v>472.9</v>
      </c>
      <c r="BO608">
        <v>472.9</v>
      </c>
      <c r="BQ608" t="s">
        <v>185</v>
      </c>
      <c r="BR608" t="s">
        <v>84</v>
      </c>
      <c r="BS608" t="s">
        <v>305</v>
      </c>
      <c r="BY608">
        <v>183981.82</v>
      </c>
      <c r="CC608" t="s">
        <v>354</v>
      </c>
      <c r="CD608">
        <v>1050</v>
      </c>
      <c r="CE608" t="s">
        <v>103</v>
      </c>
      <c r="CI608">
        <v>2</v>
      </c>
      <c r="CJ608" t="s">
        <v>305</v>
      </c>
      <c r="CK608">
        <v>43</v>
      </c>
      <c r="CL608" t="s">
        <v>89</v>
      </c>
    </row>
    <row r="609" spans="1:90" x14ac:dyDescent="0.3">
      <c r="A609" t="s">
        <v>72</v>
      </c>
      <c r="B609" t="s">
        <v>73</v>
      </c>
      <c r="C609" t="s">
        <v>74</v>
      </c>
      <c r="E609" t="str">
        <f>"GAB2030168"</f>
        <v>GAB2030168</v>
      </c>
      <c r="F609" s="3">
        <v>45987</v>
      </c>
      <c r="G609">
        <v>202608</v>
      </c>
      <c r="H609" t="s">
        <v>75</v>
      </c>
      <c r="I609" t="s">
        <v>76</v>
      </c>
      <c r="J609" t="s">
        <v>77</v>
      </c>
      <c r="K609" t="s">
        <v>78</v>
      </c>
      <c r="L609" t="s">
        <v>169</v>
      </c>
      <c r="M609" t="s">
        <v>170</v>
      </c>
      <c r="N609" t="s">
        <v>551</v>
      </c>
      <c r="O609" t="s">
        <v>82</v>
      </c>
      <c r="P609" t="str">
        <f>"INVOICE00041922 ORDGS038518   "</f>
        <v xml:space="preserve">INVOICE00041922 ORDGS038518   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5.87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41.35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1</v>
      </c>
      <c r="BI609">
        <v>0.1</v>
      </c>
      <c r="BJ609">
        <v>2.2000000000000002</v>
      </c>
      <c r="BK609">
        <v>3</v>
      </c>
      <c r="BL609">
        <v>141.19999999999999</v>
      </c>
      <c r="BM609">
        <v>21.18</v>
      </c>
      <c r="BN609">
        <v>162.38</v>
      </c>
      <c r="BO609">
        <v>162.38</v>
      </c>
      <c r="BQ609" t="s">
        <v>552</v>
      </c>
      <c r="BR609" t="s">
        <v>84</v>
      </c>
      <c r="BS609" t="s">
        <v>305</v>
      </c>
      <c r="BY609">
        <v>11096.54</v>
      </c>
      <c r="CC609" t="s">
        <v>170</v>
      </c>
      <c r="CD609">
        <v>2001</v>
      </c>
      <c r="CE609" t="s">
        <v>315</v>
      </c>
      <c r="CI609">
        <v>2</v>
      </c>
      <c r="CJ609" t="s">
        <v>305</v>
      </c>
      <c r="CK609">
        <v>41</v>
      </c>
      <c r="CL609" t="s">
        <v>89</v>
      </c>
    </row>
    <row r="610" spans="1:90" x14ac:dyDescent="0.3">
      <c r="A610" t="s">
        <v>72</v>
      </c>
      <c r="B610" t="s">
        <v>73</v>
      </c>
      <c r="C610" t="s">
        <v>74</v>
      </c>
      <c r="E610" t="str">
        <f>"GAB2030169"</f>
        <v>GAB2030169</v>
      </c>
      <c r="F610" s="3">
        <v>45987</v>
      </c>
      <c r="G610">
        <v>202608</v>
      </c>
      <c r="H610" t="s">
        <v>75</v>
      </c>
      <c r="I610" t="s">
        <v>76</v>
      </c>
      <c r="J610" t="s">
        <v>77</v>
      </c>
      <c r="K610" t="s">
        <v>78</v>
      </c>
      <c r="L610" t="s">
        <v>435</v>
      </c>
      <c r="M610" t="s">
        <v>435</v>
      </c>
      <c r="N610" t="s">
        <v>577</v>
      </c>
      <c r="O610" t="s">
        <v>82</v>
      </c>
      <c r="P610" t="str">
        <f>"INVOICE00123155 CT098526      "</f>
        <v xml:space="preserve">INVOICE00123155 CT098526      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5.87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45.67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1</v>
      </c>
      <c r="BI610">
        <v>1.6</v>
      </c>
      <c r="BJ610">
        <v>6.5</v>
      </c>
      <c r="BK610">
        <v>7</v>
      </c>
      <c r="BL610">
        <v>155.33000000000001</v>
      </c>
      <c r="BM610">
        <v>23.3</v>
      </c>
      <c r="BN610">
        <v>178.63</v>
      </c>
      <c r="BO610">
        <v>178.63</v>
      </c>
      <c r="BQ610" t="s">
        <v>578</v>
      </c>
      <c r="BR610" t="s">
        <v>84</v>
      </c>
      <c r="BS610" s="3">
        <v>45988</v>
      </c>
      <c r="BT610" s="4">
        <v>0.79652777777777772</v>
      </c>
      <c r="BU610" t="s">
        <v>1696</v>
      </c>
      <c r="BV610" t="s">
        <v>86</v>
      </c>
      <c r="BY610">
        <v>32743.75</v>
      </c>
      <c r="CA610" t="s">
        <v>1048</v>
      </c>
      <c r="CC610" t="s">
        <v>435</v>
      </c>
      <c r="CD610">
        <v>7646</v>
      </c>
      <c r="CE610" t="s">
        <v>103</v>
      </c>
      <c r="CI610">
        <v>0</v>
      </c>
      <c r="CJ610">
        <v>0</v>
      </c>
      <c r="CK610">
        <v>44</v>
      </c>
      <c r="CL610" t="s">
        <v>89</v>
      </c>
    </row>
    <row r="611" spans="1:90" x14ac:dyDescent="0.3">
      <c r="A611" t="s">
        <v>72</v>
      </c>
      <c r="B611" t="s">
        <v>73</v>
      </c>
      <c r="C611" t="s">
        <v>74</v>
      </c>
      <c r="E611" t="str">
        <f>"GAB2030171"</f>
        <v>GAB2030171</v>
      </c>
      <c r="F611" s="3">
        <v>45987</v>
      </c>
      <c r="G611">
        <v>202608</v>
      </c>
      <c r="H611" t="s">
        <v>75</v>
      </c>
      <c r="I611" t="s">
        <v>76</v>
      </c>
      <c r="J611" t="s">
        <v>77</v>
      </c>
      <c r="K611" t="s">
        <v>78</v>
      </c>
      <c r="L611" t="s">
        <v>79</v>
      </c>
      <c r="M611" t="s">
        <v>80</v>
      </c>
      <c r="N611" t="s">
        <v>81</v>
      </c>
      <c r="O611" t="s">
        <v>82</v>
      </c>
      <c r="P611" t="str">
        <f>"INVOICE00123152 CT098522      "</f>
        <v xml:space="preserve">INVOICE00123152 CT098522      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5.87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113.05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3</v>
      </c>
      <c r="BI611">
        <v>23.6</v>
      </c>
      <c r="BJ611">
        <v>56.9</v>
      </c>
      <c r="BK611">
        <v>57</v>
      </c>
      <c r="BL611">
        <v>375.86</v>
      </c>
      <c r="BM611">
        <v>56.38</v>
      </c>
      <c r="BN611">
        <v>432.24</v>
      </c>
      <c r="BO611">
        <v>432.24</v>
      </c>
      <c r="BQ611" t="s">
        <v>974</v>
      </c>
      <c r="BR611" t="s">
        <v>84</v>
      </c>
      <c r="BS611" t="s">
        <v>305</v>
      </c>
      <c r="BY611">
        <v>284522.71000000002</v>
      </c>
      <c r="CC611" t="s">
        <v>80</v>
      </c>
      <c r="CD611" s="5" t="s">
        <v>87</v>
      </c>
      <c r="CE611" t="s">
        <v>103</v>
      </c>
      <c r="CI611">
        <v>3</v>
      </c>
      <c r="CJ611" t="s">
        <v>305</v>
      </c>
      <c r="CK611">
        <v>41</v>
      </c>
      <c r="CL611" t="s">
        <v>89</v>
      </c>
    </row>
    <row r="612" spans="1:90" x14ac:dyDescent="0.3">
      <c r="A612" t="s">
        <v>72</v>
      </c>
      <c r="B612" t="s">
        <v>73</v>
      </c>
      <c r="C612" t="s">
        <v>74</v>
      </c>
      <c r="E612" t="str">
        <f>"GAB2030172"</f>
        <v>GAB2030172</v>
      </c>
      <c r="F612" s="3">
        <v>45987</v>
      </c>
      <c r="G612">
        <v>202608</v>
      </c>
      <c r="H612" t="s">
        <v>75</v>
      </c>
      <c r="I612" t="s">
        <v>76</v>
      </c>
      <c r="J612" t="s">
        <v>77</v>
      </c>
      <c r="K612" t="s">
        <v>78</v>
      </c>
      <c r="L612" t="s">
        <v>79</v>
      </c>
      <c r="M612" t="s">
        <v>80</v>
      </c>
      <c r="N612" t="s">
        <v>303</v>
      </c>
      <c r="O612" t="s">
        <v>82</v>
      </c>
      <c r="P612" t="str">
        <f>"INVOICE00123153 CT098516      "</f>
        <v xml:space="preserve">INVOICE00123153 CT098516      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5.87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113.05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3</v>
      </c>
      <c r="BI612">
        <v>20.7</v>
      </c>
      <c r="BJ612">
        <v>56.4</v>
      </c>
      <c r="BK612">
        <v>57</v>
      </c>
      <c r="BL612">
        <v>375.86</v>
      </c>
      <c r="BM612">
        <v>56.38</v>
      </c>
      <c r="BN612">
        <v>432.24</v>
      </c>
      <c r="BO612">
        <v>432.24</v>
      </c>
      <c r="BQ612" t="s">
        <v>304</v>
      </c>
      <c r="BR612" t="s">
        <v>84</v>
      </c>
      <c r="BS612" t="s">
        <v>305</v>
      </c>
      <c r="BY612">
        <v>281886.34999999998</v>
      </c>
      <c r="CC612" t="s">
        <v>80</v>
      </c>
      <c r="CD612" s="5" t="s">
        <v>87</v>
      </c>
      <c r="CE612" t="s">
        <v>103</v>
      </c>
      <c r="CI612">
        <v>3</v>
      </c>
      <c r="CJ612" t="s">
        <v>305</v>
      </c>
      <c r="CK612">
        <v>41</v>
      </c>
      <c r="CL612" t="s">
        <v>89</v>
      </c>
    </row>
    <row r="613" spans="1:90" x14ac:dyDescent="0.3">
      <c r="A613" t="s">
        <v>72</v>
      </c>
      <c r="B613" t="s">
        <v>73</v>
      </c>
      <c r="C613" t="s">
        <v>74</v>
      </c>
      <c r="E613" t="str">
        <f>"GAB2030173"</f>
        <v>GAB2030173</v>
      </c>
      <c r="F613" s="3">
        <v>45987</v>
      </c>
      <c r="G613">
        <v>202608</v>
      </c>
      <c r="H613" t="s">
        <v>75</v>
      </c>
      <c r="I613" t="s">
        <v>76</v>
      </c>
      <c r="J613" t="s">
        <v>77</v>
      </c>
      <c r="K613" t="s">
        <v>78</v>
      </c>
      <c r="L613" t="s">
        <v>1697</v>
      </c>
      <c r="M613" t="s">
        <v>1698</v>
      </c>
      <c r="N613" t="s">
        <v>1699</v>
      </c>
      <c r="O613" t="s">
        <v>82</v>
      </c>
      <c r="P613" t="str">
        <f>"INVOICE00041921 ORDGS038540   "</f>
        <v xml:space="preserve">INVOICE00041921 ORDGS038540   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5.87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45.67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2</v>
      </c>
      <c r="BI613">
        <v>3.4</v>
      </c>
      <c r="BJ613">
        <v>7.5</v>
      </c>
      <c r="BK613">
        <v>8</v>
      </c>
      <c r="BL613">
        <v>155.33000000000001</v>
      </c>
      <c r="BM613">
        <v>23.3</v>
      </c>
      <c r="BN613">
        <v>178.63</v>
      </c>
      <c r="BO613">
        <v>178.63</v>
      </c>
      <c r="BQ613" t="s">
        <v>1700</v>
      </c>
      <c r="BR613" t="s">
        <v>84</v>
      </c>
      <c r="BS613" s="3">
        <v>45988</v>
      </c>
      <c r="BT613" s="4">
        <v>0.53333333333333333</v>
      </c>
      <c r="BU613" t="s">
        <v>1701</v>
      </c>
      <c r="BV613" t="s">
        <v>86</v>
      </c>
      <c r="BY613">
        <v>37663.53</v>
      </c>
      <c r="CC613" t="s">
        <v>1698</v>
      </c>
      <c r="CD613">
        <v>8240</v>
      </c>
      <c r="CE613" t="s">
        <v>103</v>
      </c>
      <c r="CI613">
        <v>2</v>
      </c>
      <c r="CJ613">
        <v>1</v>
      </c>
      <c r="CK613">
        <v>44</v>
      </c>
      <c r="CL613" t="s">
        <v>89</v>
      </c>
    </row>
    <row r="614" spans="1:90" x14ac:dyDescent="0.3">
      <c r="A614" t="s">
        <v>72</v>
      </c>
      <c r="B614" t="s">
        <v>73</v>
      </c>
      <c r="C614" t="s">
        <v>74</v>
      </c>
      <c r="E614" t="str">
        <f>"GAB2030175"</f>
        <v>GAB2030175</v>
      </c>
      <c r="F614" s="3">
        <v>45987</v>
      </c>
      <c r="G614">
        <v>202608</v>
      </c>
      <c r="H614" t="s">
        <v>75</v>
      </c>
      <c r="I614" t="s">
        <v>76</v>
      </c>
      <c r="J614" t="s">
        <v>77</v>
      </c>
      <c r="K614" t="s">
        <v>78</v>
      </c>
      <c r="L614" t="s">
        <v>1702</v>
      </c>
      <c r="M614" t="s">
        <v>1703</v>
      </c>
      <c r="N614" t="s">
        <v>1704</v>
      </c>
      <c r="O614" t="s">
        <v>82</v>
      </c>
      <c r="P614" t="str">
        <f>"INVOICE00123166 CT098447      "</f>
        <v xml:space="preserve">INVOICE00123166 CT098447      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5.87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58.32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  <c r="BA614">
        <v>0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2</v>
      </c>
      <c r="BI614">
        <v>5.3</v>
      </c>
      <c r="BJ614">
        <v>5.9</v>
      </c>
      <c r="BK614">
        <v>6</v>
      </c>
      <c r="BL614">
        <v>196.74</v>
      </c>
      <c r="BM614">
        <v>29.51</v>
      </c>
      <c r="BN614">
        <v>226.25</v>
      </c>
      <c r="BO614">
        <v>226.25</v>
      </c>
      <c r="BQ614" t="s">
        <v>1705</v>
      </c>
      <c r="BR614" t="s">
        <v>84</v>
      </c>
      <c r="BS614" t="s">
        <v>305</v>
      </c>
      <c r="BY614">
        <v>29255.68</v>
      </c>
      <c r="CC614" t="s">
        <v>1703</v>
      </c>
      <c r="CD614" s="5" t="s">
        <v>1706</v>
      </c>
      <c r="CE614" t="s">
        <v>1519</v>
      </c>
      <c r="CI614">
        <v>2</v>
      </c>
      <c r="CJ614" t="s">
        <v>305</v>
      </c>
      <c r="CK614">
        <v>43</v>
      </c>
      <c r="CL614" t="s">
        <v>89</v>
      </c>
    </row>
    <row r="615" spans="1:90" x14ac:dyDescent="0.3">
      <c r="A615" t="s">
        <v>72</v>
      </c>
      <c r="B615" t="s">
        <v>73</v>
      </c>
      <c r="C615" t="s">
        <v>74</v>
      </c>
      <c r="E615" t="str">
        <f>"GAB2030176"</f>
        <v>GAB2030176</v>
      </c>
      <c r="F615" s="3">
        <v>45987</v>
      </c>
      <c r="G615">
        <v>202608</v>
      </c>
      <c r="H615" t="s">
        <v>75</v>
      </c>
      <c r="I615" t="s">
        <v>76</v>
      </c>
      <c r="J615" t="s">
        <v>77</v>
      </c>
      <c r="K615" t="s">
        <v>78</v>
      </c>
      <c r="L615" t="s">
        <v>1707</v>
      </c>
      <c r="M615" t="s">
        <v>1708</v>
      </c>
      <c r="N615" t="s">
        <v>1709</v>
      </c>
      <c r="O615" t="s">
        <v>82</v>
      </c>
      <c r="P615" t="str">
        <f>"INVOICE00123163 CT097996      "</f>
        <v xml:space="preserve">INVOICE00123163 CT097996      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5.87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60.13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0</v>
      </c>
      <c r="AY615">
        <v>0</v>
      </c>
      <c r="AZ615">
        <v>0</v>
      </c>
      <c r="BA615">
        <v>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1</v>
      </c>
      <c r="BI615">
        <v>10.1</v>
      </c>
      <c r="BJ615">
        <v>25.4</v>
      </c>
      <c r="BK615">
        <v>26</v>
      </c>
      <c r="BL615">
        <v>202.66</v>
      </c>
      <c r="BM615">
        <v>30.4</v>
      </c>
      <c r="BN615">
        <v>233.06</v>
      </c>
      <c r="BO615">
        <v>233.06</v>
      </c>
      <c r="BQ615" t="s">
        <v>1710</v>
      </c>
      <c r="BR615" t="s">
        <v>84</v>
      </c>
      <c r="BS615" t="s">
        <v>305</v>
      </c>
      <c r="BY615">
        <v>127240.75</v>
      </c>
      <c r="CC615" t="s">
        <v>1708</v>
      </c>
      <c r="CD615">
        <v>4126</v>
      </c>
      <c r="CE615" t="s">
        <v>1519</v>
      </c>
      <c r="CI615">
        <v>3</v>
      </c>
      <c r="CJ615" t="s">
        <v>305</v>
      </c>
      <c r="CK615">
        <v>41</v>
      </c>
      <c r="CL615" t="s">
        <v>89</v>
      </c>
    </row>
    <row r="616" spans="1:90" x14ac:dyDescent="0.3">
      <c r="A616" t="s">
        <v>72</v>
      </c>
      <c r="B616" t="s">
        <v>73</v>
      </c>
      <c r="C616" t="s">
        <v>74</v>
      </c>
      <c r="E616" t="str">
        <f>"GAB2030146"</f>
        <v>GAB2030146</v>
      </c>
      <c r="F616" s="3">
        <v>45987</v>
      </c>
      <c r="G616">
        <v>202608</v>
      </c>
      <c r="H616" t="s">
        <v>75</v>
      </c>
      <c r="I616" t="s">
        <v>76</v>
      </c>
      <c r="J616" t="s">
        <v>77</v>
      </c>
      <c r="K616" t="s">
        <v>78</v>
      </c>
      <c r="L616" t="s">
        <v>75</v>
      </c>
      <c r="M616" t="s">
        <v>76</v>
      </c>
      <c r="N616" t="s">
        <v>1016</v>
      </c>
      <c r="O616" t="s">
        <v>124</v>
      </c>
      <c r="P616" t="str">
        <f>"INVOICE00123122 CT098507      "</f>
        <v xml:space="preserve">INVOICE00123122 CT098507      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16.7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1</v>
      </c>
      <c r="BI616">
        <v>0.1</v>
      </c>
      <c r="BJ616">
        <v>2.2999999999999998</v>
      </c>
      <c r="BK616">
        <v>3</v>
      </c>
      <c r="BL616">
        <v>54.66</v>
      </c>
      <c r="BM616">
        <v>8.1999999999999993</v>
      </c>
      <c r="BN616">
        <v>62.86</v>
      </c>
      <c r="BO616">
        <v>62.86</v>
      </c>
      <c r="BQ616" t="s">
        <v>1711</v>
      </c>
      <c r="BR616" t="s">
        <v>84</v>
      </c>
      <c r="BS616" s="3">
        <v>45988</v>
      </c>
      <c r="BT616" s="4">
        <v>0.42499999999999999</v>
      </c>
      <c r="BU616" t="s">
        <v>1712</v>
      </c>
      <c r="BV616" t="s">
        <v>86</v>
      </c>
      <c r="BY616">
        <v>11491.2</v>
      </c>
      <c r="CA616" t="s">
        <v>530</v>
      </c>
      <c r="CC616" t="s">
        <v>76</v>
      </c>
      <c r="CD616">
        <v>8001</v>
      </c>
      <c r="CE616" t="s">
        <v>338</v>
      </c>
      <c r="CI616">
        <v>1</v>
      </c>
      <c r="CJ616">
        <v>1</v>
      </c>
      <c r="CK616">
        <v>22</v>
      </c>
      <c r="CL616" t="s">
        <v>89</v>
      </c>
    </row>
    <row r="617" spans="1:90" x14ac:dyDescent="0.3">
      <c r="A617" t="s">
        <v>72</v>
      </c>
      <c r="B617" t="s">
        <v>73</v>
      </c>
      <c r="C617" t="s">
        <v>74</v>
      </c>
      <c r="E617" t="str">
        <f>"GAB2030147"</f>
        <v>GAB2030147</v>
      </c>
      <c r="F617" s="3">
        <v>45987</v>
      </c>
      <c r="G617">
        <v>202608</v>
      </c>
      <c r="H617" t="s">
        <v>75</v>
      </c>
      <c r="I617" t="s">
        <v>76</v>
      </c>
      <c r="J617" t="s">
        <v>77</v>
      </c>
      <c r="K617" t="s">
        <v>78</v>
      </c>
      <c r="L617" t="s">
        <v>121</v>
      </c>
      <c r="M617" t="s">
        <v>122</v>
      </c>
      <c r="N617" t="s">
        <v>663</v>
      </c>
      <c r="O617" t="s">
        <v>124</v>
      </c>
      <c r="P617" t="str">
        <f>"INVOICE00123123 CT098506      "</f>
        <v xml:space="preserve">INVOICE00123123 CT098506      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21.38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1</v>
      </c>
      <c r="BI617">
        <v>0.2</v>
      </c>
      <c r="BJ617">
        <v>1.9</v>
      </c>
      <c r="BK617">
        <v>2</v>
      </c>
      <c r="BL617">
        <v>69.98</v>
      </c>
      <c r="BM617">
        <v>10.5</v>
      </c>
      <c r="BN617">
        <v>80.48</v>
      </c>
      <c r="BO617">
        <v>80.48</v>
      </c>
      <c r="BQ617" t="s">
        <v>664</v>
      </c>
      <c r="BR617" t="s">
        <v>84</v>
      </c>
      <c r="BS617" t="s">
        <v>305</v>
      </c>
      <c r="BY617">
        <v>9683.1</v>
      </c>
      <c r="CC617" t="s">
        <v>122</v>
      </c>
      <c r="CD617">
        <v>1200</v>
      </c>
      <c r="CE617" t="s">
        <v>814</v>
      </c>
      <c r="CI617">
        <v>2</v>
      </c>
      <c r="CJ617" t="s">
        <v>305</v>
      </c>
      <c r="CK617">
        <v>21</v>
      </c>
      <c r="CL617" t="s">
        <v>89</v>
      </c>
    </row>
    <row r="618" spans="1:90" x14ac:dyDescent="0.3">
      <c r="A618" t="s">
        <v>72</v>
      </c>
      <c r="B618" t="s">
        <v>73</v>
      </c>
      <c r="C618" t="s">
        <v>74</v>
      </c>
      <c r="E618" t="str">
        <f>"GAB2030148"</f>
        <v>GAB2030148</v>
      </c>
      <c r="F618" s="3">
        <v>45987</v>
      </c>
      <c r="G618">
        <v>202608</v>
      </c>
      <c r="H618" t="s">
        <v>75</v>
      </c>
      <c r="I618" t="s">
        <v>76</v>
      </c>
      <c r="J618" t="s">
        <v>77</v>
      </c>
      <c r="K618" t="s">
        <v>78</v>
      </c>
      <c r="L618" t="s">
        <v>207</v>
      </c>
      <c r="M618" t="s">
        <v>208</v>
      </c>
      <c r="N618" t="s">
        <v>1713</v>
      </c>
      <c r="O618" t="s">
        <v>124</v>
      </c>
      <c r="P618" t="str">
        <f>"INVOICE00123124 CT098508      "</f>
        <v xml:space="preserve">INVOICE00123124 CT098508      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26.73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1</v>
      </c>
      <c r="BI618">
        <v>0.1</v>
      </c>
      <c r="BJ618">
        <v>2.5</v>
      </c>
      <c r="BK618">
        <v>2.5</v>
      </c>
      <c r="BL618">
        <v>87.47</v>
      </c>
      <c r="BM618">
        <v>13.12</v>
      </c>
      <c r="BN618">
        <v>100.59</v>
      </c>
      <c r="BO618">
        <v>100.59</v>
      </c>
      <c r="BQ618" t="s">
        <v>1714</v>
      </c>
      <c r="BR618" t="s">
        <v>84</v>
      </c>
      <c r="BS618" t="s">
        <v>305</v>
      </c>
      <c r="BY618">
        <v>12489.75</v>
      </c>
      <c r="CC618" t="s">
        <v>208</v>
      </c>
      <c r="CD618">
        <v>8301</v>
      </c>
      <c r="CE618" t="s">
        <v>367</v>
      </c>
      <c r="CI618">
        <v>2</v>
      </c>
      <c r="CJ618" t="s">
        <v>305</v>
      </c>
      <c r="CK618">
        <v>21</v>
      </c>
      <c r="CL618" t="s">
        <v>89</v>
      </c>
    </row>
    <row r="619" spans="1:90" x14ac:dyDescent="0.3">
      <c r="A619" t="s">
        <v>72</v>
      </c>
      <c r="B619" t="s">
        <v>73</v>
      </c>
      <c r="C619" t="s">
        <v>74</v>
      </c>
      <c r="E619" t="str">
        <f>"GAB2030151"</f>
        <v>GAB2030151</v>
      </c>
      <c r="F619" s="3">
        <v>45987</v>
      </c>
      <c r="G619">
        <v>202608</v>
      </c>
      <c r="H619" t="s">
        <v>75</v>
      </c>
      <c r="I619" t="s">
        <v>76</v>
      </c>
      <c r="J619" t="s">
        <v>77</v>
      </c>
      <c r="K619" t="s">
        <v>78</v>
      </c>
      <c r="L619" t="s">
        <v>1173</v>
      </c>
      <c r="M619" t="s">
        <v>1174</v>
      </c>
      <c r="N619" t="s">
        <v>1353</v>
      </c>
      <c r="O619" t="s">
        <v>124</v>
      </c>
      <c r="P619" t="str">
        <f>"INVOICE00041899 ORDGS038489   "</f>
        <v xml:space="preserve">INVOICE00041899 ORDGS038489   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26.73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1</v>
      </c>
      <c r="BI619">
        <v>0.9</v>
      </c>
      <c r="BJ619">
        <v>2.5</v>
      </c>
      <c r="BK619">
        <v>2.5</v>
      </c>
      <c r="BL619">
        <v>87.47</v>
      </c>
      <c r="BM619">
        <v>13.12</v>
      </c>
      <c r="BN619">
        <v>100.59</v>
      </c>
      <c r="BO619">
        <v>100.59</v>
      </c>
      <c r="BQ619" t="s">
        <v>1354</v>
      </c>
      <c r="BR619" t="s">
        <v>84</v>
      </c>
      <c r="BS619" s="3">
        <v>45988</v>
      </c>
      <c r="BT619" s="4">
        <v>0.41666666666666669</v>
      </c>
      <c r="BU619" t="s">
        <v>1715</v>
      </c>
      <c r="BV619" t="s">
        <v>86</v>
      </c>
      <c r="BY619">
        <v>12437.2</v>
      </c>
      <c r="CC619" t="s">
        <v>1174</v>
      </c>
      <c r="CD619">
        <v>1560</v>
      </c>
      <c r="CE619" t="s">
        <v>946</v>
      </c>
      <c r="CF619" s="3">
        <v>45989</v>
      </c>
      <c r="CI619">
        <v>1</v>
      </c>
      <c r="CJ619">
        <v>1</v>
      </c>
      <c r="CK619">
        <v>21</v>
      </c>
      <c r="CL619" t="s">
        <v>89</v>
      </c>
    </row>
    <row r="620" spans="1:90" x14ac:dyDescent="0.3">
      <c r="A620" t="s">
        <v>72</v>
      </c>
      <c r="B620" t="s">
        <v>73</v>
      </c>
      <c r="C620" t="s">
        <v>74</v>
      </c>
      <c r="E620" t="str">
        <f>"GAB2030153"</f>
        <v>GAB2030153</v>
      </c>
      <c r="F620" s="3">
        <v>45987</v>
      </c>
      <c r="G620">
        <v>202608</v>
      </c>
      <c r="H620" t="s">
        <v>75</v>
      </c>
      <c r="I620" t="s">
        <v>76</v>
      </c>
      <c r="J620" t="s">
        <v>77</v>
      </c>
      <c r="K620" t="s">
        <v>78</v>
      </c>
      <c r="L620" t="s">
        <v>75</v>
      </c>
      <c r="M620" t="s">
        <v>76</v>
      </c>
      <c r="N620" t="s">
        <v>1716</v>
      </c>
      <c r="O620" t="s">
        <v>124</v>
      </c>
      <c r="P620" t="str">
        <f>"INVOICE00123133 CT098512      "</f>
        <v xml:space="preserve">INVOICE00123133 CT098512      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16.7</v>
      </c>
      <c r="AR620">
        <v>0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1</v>
      </c>
      <c r="BI620">
        <v>0.3</v>
      </c>
      <c r="BJ620">
        <v>2.5</v>
      </c>
      <c r="BK620">
        <v>3</v>
      </c>
      <c r="BL620">
        <v>54.66</v>
      </c>
      <c r="BM620">
        <v>8.1999999999999993</v>
      </c>
      <c r="BN620">
        <v>62.86</v>
      </c>
      <c r="BO620">
        <v>62.86</v>
      </c>
      <c r="BQ620" t="s">
        <v>1717</v>
      </c>
      <c r="BR620" t="s">
        <v>84</v>
      </c>
      <c r="BS620" s="3">
        <v>45988</v>
      </c>
      <c r="BT620" s="4">
        <v>0.4152777777777778</v>
      </c>
      <c r="BU620" t="s">
        <v>1718</v>
      </c>
      <c r="BV620" t="s">
        <v>86</v>
      </c>
      <c r="BY620">
        <v>12406.6</v>
      </c>
      <c r="CA620" t="s">
        <v>1719</v>
      </c>
      <c r="CC620" t="s">
        <v>76</v>
      </c>
      <c r="CD620">
        <v>7800</v>
      </c>
      <c r="CE620" t="s">
        <v>1096</v>
      </c>
      <c r="CI620">
        <v>1</v>
      </c>
      <c r="CJ620">
        <v>1</v>
      </c>
      <c r="CK620">
        <v>22</v>
      </c>
      <c r="CL620" t="s">
        <v>89</v>
      </c>
    </row>
    <row r="621" spans="1:90" x14ac:dyDescent="0.3">
      <c r="A621" t="s">
        <v>72</v>
      </c>
      <c r="B621" t="s">
        <v>73</v>
      </c>
      <c r="C621" t="s">
        <v>74</v>
      </c>
      <c r="E621" t="str">
        <f>"GAB2030154"</f>
        <v>GAB2030154</v>
      </c>
      <c r="F621" s="3">
        <v>45987</v>
      </c>
      <c r="G621">
        <v>202608</v>
      </c>
      <c r="H621" t="s">
        <v>75</v>
      </c>
      <c r="I621" t="s">
        <v>76</v>
      </c>
      <c r="J621" t="s">
        <v>77</v>
      </c>
      <c r="K621" t="s">
        <v>78</v>
      </c>
      <c r="L621" t="s">
        <v>394</v>
      </c>
      <c r="M621" t="s">
        <v>395</v>
      </c>
      <c r="N621" t="s">
        <v>1720</v>
      </c>
      <c r="O621" t="s">
        <v>124</v>
      </c>
      <c r="P621" t="str">
        <f>"INVOICE00041900 ORDGS038529   "</f>
        <v xml:space="preserve">INVOICE00041900 ORDGS038529   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60.14</v>
      </c>
      <c r="AR621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1</v>
      </c>
      <c r="BI621">
        <v>0.4</v>
      </c>
      <c r="BJ621">
        <v>2.7</v>
      </c>
      <c r="BK621">
        <v>3</v>
      </c>
      <c r="BL621">
        <v>196.82</v>
      </c>
      <c r="BM621">
        <v>29.52</v>
      </c>
      <c r="BN621">
        <v>226.34</v>
      </c>
      <c r="BO621">
        <v>226.34</v>
      </c>
      <c r="BQ621" t="s">
        <v>1721</v>
      </c>
      <c r="BR621" t="s">
        <v>84</v>
      </c>
      <c r="BS621" s="3">
        <v>45988</v>
      </c>
      <c r="BT621" s="4">
        <v>0.41249999999999998</v>
      </c>
      <c r="BU621" t="s">
        <v>1722</v>
      </c>
      <c r="BV621" t="s">
        <v>86</v>
      </c>
      <c r="BY621">
        <v>13253.76</v>
      </c>
      <c r="CA621" t="s">
        <v>398</v>
      </c>
      <c r="CC621" t="s">
        <v>395</v>
      </c>
      <c r="CD621" s="5" t="s">
        <v>399</v>
      </c>
      <c r="CE621" t="s">
        <v>953</v>
      </c>
      <c r="CI621">
        <v>2</v>
      </c>
      <c r="CJ621">
        <v>1</v>
      </c>
      <c r="CK621">
        <v>23</v>
      </c>
      <c r="CL621" t="s">
        <v>89</v>
      </c>
    </row>
    <row r="622" spans="1:90" x14ac:dyDescent="0.3">
      <c r="A622" t="s">
        <v>72</v>
      </c>
      <c r="B622" t="s">
        <v>73</v>
      </c>
      <c r="C622" t="s">
        <v>74</v>
      </c>
      <c r="E622" t="str">
        <f>"GAB2030155"</f>
        <v>GAB2030155</v>
      </c>
      <c r="F622" s="3">
        <v>45987</v>
      </c>
      <c r="G622">
        <v>202608</v>
      </c>
      <c r="H622" t="s">
        <v>75</v>
      </c>
      <c r="I622" t="s">
        <v>76</v>
      </c>
      <c r="J622" t="s">
        <v>77</v>
      </c>
      <c r="K622" t="s">
        <v>78</v>
      </c>
      <c r="L622" t="s">
        <v>224</v>
      </c>
      <c r="M622" t="s">
        <v>225</v>
      </c>
      <c r="N622" t="s">
        <v>226</v>
      </c>
      <c r="O622" t="s">
        <v>124</v>
      </c>
      <c r="P622" t="str">
        <f>"INVOICE00123136 CT098515      "</f>
        <v xml:space="preserve">INVOICE00123136 CT098515      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41.43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  <c r="BA622">
        <v>0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1</v>
      </c>
      <c r="BI622">
        <v>0.6</v>
      </c>
      <c r="BJ622">
        <v>1.7</v>
      </c>
      <c r="BK622">
        <v>2</v>
      </c>
      <c r="BL622">
        <v>135.59</v>
      </c>
      <c r="BM622">
        <v>20.34</v>
      </c>
      <c r="BN622">
        <v>155.93</v>
      </c>
      <c r="BO622">
        <v>155.93</v>
      </c>
      <c r="BQ622" t="s">
        <v>1359</v>
      </c>
      <c r="BR622" t="s">
        <v>84</v>
      </c>
      <c r="BS622" t="s">
        <v>305</v>
      </c>
      <c r="BY622">
        <v>8339.76</v>
      </c>
      <c r="CC622" t="s">
        <v>225</v>
      </c>
      <c r="CD622">
        <v>9700</v>
      </c>
      <c r="CE622" t="s">
        <v>1723</v>
      </c>
      <c r="CI622">
        <v>2</v>
      </c>
      <c r="CJ622" t="s">
        <v>305</v>
      </c>
      <c r="CK622">
        <v>23</v>
      </c>
      <c r="CL622" t="s">
        <v>89</v>
      </c>
    </row>
    <row r="623" spans="1:90" x14ac:dyDescent="0.3">
      <c r="A623" t="s">
        <v>72</v>
      </c>
      <c r="B623" t="s">
        <v>73</v>
      </c>
      <c r="C623" t="s">
        <v>74</v>
      </c>
      <c r="E623" t="str">
        <f>"GAB2030156"</f>
        <v>GAB2030156</v>
      </c>
      <c r="F623" s="3">
        <v>45987</v>
      </c>
      <c r="G623">
        <v>202608</v>
      </c>
      <c r="H623" t="s">
        <v>75</v>
      </c>
      <c r="I623" t="s">
        <v>76</v>
      </c>
      <c r="J623" t="s">
        <v>77</v>
      </c>
      <c r="K623" t="s">
        <v>78</v>
      </c>
      <c r="L623" t="s">
        <v>75</v>
      </c>
      <c r="M623" t="s">
        <v>76</v>
      </c>
      <c r="N623" t="s">
        <v>966</v>
      </c>
      <c r="O623" t="s">
        <v>124</v>
      </c>
      <c r="P623" t="str">
        <f>"INVOICE00123137 CT098514      "</f>
        <v xml:space="preserve">INVOICE00123137 CT098514      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16.7</v>
      </c>
      <c r="AR623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1</v>
      </c>
      <c r="BI623">
        <v>0.3</v>
      </c>
      <c r="BJ623">
        <v>2.5</v>
      </c>
      <c r="BK623">
        <v>3</v>
      </c>
      <c r="BL623">
        <v>54.66</v>
      </c>
      <c r="BM623">
        <v>8.1999999999999993</v>
      </c>
      <c r="BN623">
        <v>62.86</v>
      </c>
      <c r="BO623">
        <v>62.86</v>
      </c>
      <c r="BQ623" t="s">
        <v>1724</v>
      </c>
      <c r="BR623" t="s">
        <v>84</v>
      </c>
      <c r="BS623" s="3">
        <v>45988</v>
      </c>
      <c r="BT623" s="4">
        <v>0.42499999999999999</v>
      </c>
      <c r="BU623" t="s">
        <v>1725</v>
      </c>
      <c r="BV623" t="s">
        <v>86</v>
      </c>
      <c r="BY623">
        <v>12496.68</v>
      </c>
      <c r="CA623" t="s">
        <v>484</v>
      </c>
      <c r="CC623" t="s">
        <v>76</v>
      </c>
      <c r="CD623">
        <v>7441</v>
      </c>
      <c r="CE623" t="s">
        <v>912</v>
      </c>
      <c r="CI623">
        <v>1</v>
      </c>
      <c r="CJ623">
        <v>1</v>
      </c>
      <c r="CK623">
        <v>22</v>
      </c>
      <c r="CL623" t="s">
        <v>89</v>
      </c>
    </row>
    <row r="624" spans="1:90" x14ac:dyDescent="0.3">
      <c r="A624" t="s">
        <v>72</v>
      </c>
      <c r="B624" t="s">
        <v>73</v>
      </c>
      <c r="C624" t="s">
        <v>74</v>
      </c>
      <c r="E624" t="str">
        <f>"GAB2030157"</f>
        <v>GAB2030157</v>
      </c>
      <c r="F624" s="3">
        <v>45987</v>
      </c>
      <c r="G624">
        <v>202608</v>
      </c>
      <c r="H624" t="s">
        <v>75</v>
      </c>
      <c r="I624" t="s">
        <v>76</v>
      </c>
      <c r="J624" t="s">
        <v>77</v>
      </c>
      <c r="K624" t="s">
        <v>78</v>
      </c>
      <c r="L624" t="s">
        <v>292</v>
      </c>
      <c r="M624" t="s">
        <v>293</v>
      </c>
      <c r="N624" t="s">
        <v>554</v>
      </c>
      <c r="O624" t="s">
        <v>124</v>
      </c>
      <c r="P624" t="str">
        <f>"INVOICE00123138 CT098519      "</f>
        <v xml:space="preserve">INVOICE00123138 CT098519      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32.07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1</v>
      </c>
      <c r="BI624">
        <v>0.3</v>
      </c>
      <c r="BJ624">
        <v>2.6</v>
      </c>
      <c r="BK624">
        <v>3</v>
      </c>
      <c r="BL624">
        <v>104.95</v>
      </c>
      <c r="BM624">
        <v>15.74</v>
      </c>
      <c r="BN624">
        <v>120.69</v>
      </c>
      <c r="BO624">
        <v>120.69</v>
      </c>
      <c r="BR624" t="s">
        <v>84</v>
      </c>
      <c r="BS624" s="3">
        <v>45988</v>
      </c>
      <c r="BT624" s="4">
        <v>0.40347222222222223</v>
      </c>
      <c r="BU624" t="s">
        <v>1726</v>
      </c>
      <c r="BV624" t="s">
        <v>86</v>
      </c>
      <c r="BY624">
        <v>12763.52</v>
      </c>
      <c r="CC624" t="s">
        <v>293</v>
      </c>
      <c r="CD624">
        <v>1449</v>
      </c>
      <c r="CE624" t="s">
        <v>912</v>
      </c>
      <c r="CF624" s="3">
        <v>45989</v>
      </c>
      <c r="CI624">
        <v>1</v>
      </c>
      <c r="CJ624">
        <v>1</v>
      </c>
      <c r="CK624">
        <v>21</v>
      </c>
      <c r="CL624" t="s">
        <v>89</v>
      </c>
    </row>
    <row r="625" spans="1:90" x14ac:dyDescent="0.3">
      <c r="A625" t="s">
        <v>72</v>
      </c>
      <c r="B625" t="s">
        <v>73</v>
      </c>
      <c r="C625" t="s">
        <v>74</v>
      </c>
      <c r="E625" t="str">
        <f>"GAB2030158"</f>
        <v>GAB2030158</v>
      </c>
      <c r="F625" s="3">
        <v>45987</v>
      </c>
      <c r="G625">
        <v>202608</v>
      </c>
      <c r="H625" t="s">
        <v>75</v>
      </c>
      <c r="I625" t="s">
        <v>76</v>
      </c>
      <c r="J625" t="s">
        <v>77</v>
      </c>
      <c r="K625" t="s">
        <v>78</v>
      </c>
      <c r="L625" t="s">
        <v>230</v>
      </c>
      <c r="M625" t="s">
        <v>231</v>
      </c>
      <c r="N625" t="s">
        <v>462</v>
      </c>
      <c r="O625" t="s">
        <v>124</v>
      </c>
      <c r="P625" t="str">
        <f>"INVOICE00123139 CT098517      "</f>
        <v xml:space="preserve">INVOICE00123139 CT098517      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26.73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1</v>
      </c>
      <c r="BI625">
        <v>0.1</v>
      </c>
      <c r="BJ625">
        <v>2.1</v>
      </c>
      <c r="BK625">
        <v>2.5</v>
      </c>
      <c r="BL625">
        <v>87.47</v>
      </c>
      <c r="BM625">
        <v>13.12</v>
      </c>
      <c r="BN625">
        <v>100.59</v>
      </c>
      <c r="BO625">
        <v>100.59</v>
      </c>
      <c r="BQ625" t="s">
        <v>1605</v>
      </c>
      <c r="BR625" t="s">
        <v>84</v>
      </c>
      <c r="BS625" s="3">
        <v>45988</v>
      </c>
      <c r="BT625" s="4">
        <v>0.37083333333333335</v>
      </c>
      <c r="BU625" t="s">
        <v>1727</v>
      </c>
      <c r="BV625" t="s">
        <v>86</v>
      </c>
      <c r="BY625">
        <v>10332</v>
      </c>
      <c r="CA625">
        <v>9107126013089</v>
      </c>
      <c r="CC625" t="s">
        <v>231</v>
      </c>
      <c r="CD625" s="5" t="s">
        <v>382</v>
      </c>
      <c r="CE625" t="s">
        <v>367</v>
      </c>
      <c r="CF625" s="3">
        <v>45988</v>
      </c>
      <c r="CI625">
        <v>1</v>
      </c>
      <c r="CJ625">
        <v>1</v>
      </c>
      <c r="CK625">
        <v>21</v>
      </c>
      <c r="CL625" t="s">
        <v>89</v>
      </c>
    </row>
    <row r="626" spans="1:90" x14ac:dyDescent="0.3">
      <c r="A626" t="s">
        <v>72</v>
      </c>
      <c r="B626" t="s">
        <v>73</v>
      </c>
      <c r="C626" t="s">
        <v>74</v>
      </c>
      <c r="E626" t="str">
        <f>"GAB2030159"</f>
        <v>GAB2030159</v>
      </c>
      <c r="F626" s="3">
        <v>45987</v>
      </c>
      <c r="G626">
        <v>202608</v>
      </c>
      <c r="H626" t="s">
        <v>75</v>
      </c>
      <c r="I626" t="s">
        <v>76</v>
      </c>
      <c r="J626" t="s">
        <v>77</v>
      </c>
      <c r="K626" t="s">
        <v>78</v>
      </c>
      <c r="L626" t="s">
        <v>175</v>
      </c>
      <c r="M626" t="s">
        <v>176</v>
      </c>
      <c r="N626" t="s">
        <v>177</v>
      </c>
      <c r="O626" t="s">
        <v>124</v>
      </c>
      <c r="P626" t="str">
        <f>"INVOICE00123140 CT098518      "</f>
        <v xml:space="preserve">INVOICE00123140 CT098518      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41.43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16.739999999999998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1</v>
      </c>
      <c r="BI626">
        <v>0.6</v>
      </c>
      <c r="BJ626">
        <v>1.9</v>
      </c>
      <c r="BK626">
        <v>2</v>
      </c>
      <c r="BL626">
        <v>152.33000000000001</v>
      </c>
      <c r="BM626">
        <v>22.85</v>
      </c>
      <c r="BN626">
        <v>175.18</v>
      </c>
      <c r="BO626">
        <v>175.18</v>
      </c>
      <c r="BQ626" t="s">
        <v>251</v>
      </c>
      <c r="BR626" t="s">
        <v>84</v>
      </c>
      <c r="BS626" t="s">
        <v>305</v>
      </c>
      <c r="BY626">
        <v>9627.9500000000007</v>
      </c>
      <c r="BZ626" t="s">
        <v>30</v>
      </c>
      <c r="CC626" t="s">
        <v>176</v>
      </c>
      <c r="CD626">
        <v>2745</v>
      </c>
      <c r="CE626" t="s">
        <v>1134</v>
      </c>
      <c r="CI626">
        <v>2</v>
      </c>
      <c r="CJ626" t="s">
        <v>305</v>
      </c>
      <c r="CK626">
        <v>23</v>
      </c>
      <c r="CL626" t="s">
        <v>89</v>
      </c>
    </row>
    <row r="627" spans="1:90" x14ac:dyDescent="0.3">
      <c r="A627" t="s">
        <v>72</v>
      </c>
      <c r="B627" t="s">
        <v>73</v>
      </c>
      <c r="C627" t="s">
        <v>74</v>
      </c>
      <c r="E627" t="str">
        <f>"GAB2030160"</f>
        <v>GAB2030160</v>
      </c>
      <c r="F627" s="3">
        <v>45987</v>
      </c>
      <c r="G627">
        <v>202608</v>
      </c>
      <c r="H627" t="s">
        <v>75</v>
      </c>
      <c r="I627" t="s">
        <v>76</v>
      </c>
      <c r="J627" t="s">
        <v>77</v>
      </c>
      <c r="K627" t="s">
        <v>78</v>
      </c>
      <c r="L627" t="s">
        <v>1081</v>
      </c>
      <c r="M627" t="s">
        <v>1082</v>
      </c>
      <c r="N627" t="s">
        <v>1083</v>
      </c>
      <c r="O627" t="s">
        <v>124</v>
      </c>
      <c r="P627" t="str">
        <f>"INVOICE00041913 ORDGS038533   "</f>
        <v xml:space="preserve">INVOICE00041913 ORDGS038533   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60.14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1</v>
      </c>
      <c r="BI627">
        <v>0.1</v>
      </c>
      <c r="BJ627">
        <v>2.9</v>
      </c>
      <c r="BK627">
        <v>3</v>
      </c>
      <c r="BL627">
        <v>196.82</v>
      </c>
      <c r="BM627">
        <v>29.52</v>
      </c>
      <c r="BN627">
        <v>226.34</v>
      </c>
      <c r="BO627">
        <v>226.34</v>
      </c>
      <c r="BQ627" t="s">
        <v>740</v>
      </c>
      <c r="BR627" t="s">
        <v>84</v>
      </c>
      <c r="BS627" s="3">
        <v>45988</v>
      </c>
      <c r="BT627" s="4">
        <v>0.3888888888888889</v>
      </c>
      <c r="BU627" t="s">
        <v>1352</v>
      </c>
      <c r="BV627" t="s">
        <v>86</v>
      </c>
      <c r="BY627">
        <v>14314</v>
      </c>
      <c r="CC627" t="s">
        <v>1082</v>
      </c>
      <c r="CD627">
        <v>9499</v>
      </c>
      <c r="CE627" t="s">
        <v>367</v>
      </c>
      <c r="CI627">
        <v>2</v>
      </c>
      <c r="CJ627">
        <v>1</v>
      </c>
      <c r="CK627">
        <v>23</v>
      </c>
      <c r="CL627" t="s">
        <v>89</v>
      </c>
    </row>
    <row r="628" spans="1:90" x14ac:dyDescent="0.3">
      <c r="A628" t="s">
        <v>72</v>
      </c>
      <c r="B628" t="s">
        <v>73</v>
      </c>
      <c r="C628" t="s">
        <v>74</v>
      </c>
      <c r="E628" t="str">
        <f>"GAB2030163"</f>
        <v>GAB2030163</v>
      </c>
      <c r="F628" s="3">
        <v>45987</v>
      </c>
      <c r="G628">
        <v>202608</v>
      </c>
      <c r="H628" t="s">
        <v>75</v>
      </c>
      <c r="I628" t="s">
        <v>76</v>
      </c>
      <c r="J628" t="s">
        <v>77</v>
      </c>
      <c r="K628" t="s">
        <v>78</v>
      </c>
      <c r="L628" t="s">
        <v>541</v>
      </c>
      <c r="M628" t="s">
        <v>542</v>
      </c>
      <c r="N628" t="s">
        <v>543</v>
      </c>
      <c r="O628" t="s">
        <v>124</v>
      </c>
      <c r="P628" t="str">
        <f>"INVOICE00123141 CT098513      "</f>
        <v xml:space="preserve">INVOICE00123141 CT098513      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37.4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  <c r="BA628">
        <v>0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1</v>
      </c>
      <c r="BI628">
        <v>0.3</v>
      </c>
      <c r="BJ628">
        <v>2.4</v>
      </c>
      <c r="BK628">
        <v>2.5</v>
      </c>
      <c r="BL628">
        <v>122.39</v>
      </c>
      <c r="BM628">
        <v>18.36</v>
      </c>
      <c r="BN628">
        <v>140.75</v>
      </c>
      <c r="BO628">
        <v>140.75</v>
      </c>
      <c r="BR628" t="s">
        <v>84</v>
      </c>
      <c r="BS628" s="3">
        <v>45988</v>
      </c>
      <c r="BT628" s="4">
        <v>0.54305555555555551</v>
      </c>
      <c r="BU628" t="s">
        <v>1728</v>
      </c>
      <c r="BV628" t="s">
        <v>86</v>
      </c>
      <c r="BY628">
        <v>12213.18</v>
      </c>
      <c r="CA628" t="s">
        <v>1729</v>
      </c>
      <c r="CC628" t="s">
        <v>542</v>
      </c>
      <c r="CD628">
        <v>6705</v>
      </c>
      <c r="CE628" t="s">
        <v>181</v>
      </c>
      <c r="CF628" s="3">
        <v>45989</v>
      </c>
      <c r="CI628">
        <v>2</v>
      </c>
      <c r="CJ628">
        <v>1</v>
      </c>
      <c r="CK628">
        <v>24</v>
      </c>
      <c r="CL628" t="s">
        <v>89</v>
      </c>
    </row>
    <row r="629" spans="1:90" x14ac:dyDescent="0.3">
      <c r="A629" t="s">
        <v>72</v>
      </c>
      <c r="B629" t="s">
        <v>73</v>
      </c>
      <c r="C629" t="s">
        <v>74</v>
      </c>
      <c r="E629" t="str">
        <f>"GAB2030164"</f>
        <v>GAB2030164</v>
      </c>
      <c r="F629" s="3">
        <v>45987</v>
      </c>
      <c r="G629">
        <v>202608</v>
      </c>
      <c r="H629" t="s">
        <v>75</v>
      </c>
      <c r="I629" t="s">
        <v>76</v>
      </c>
      <c r="J629" t="s">
        <v>77</v>
      </c>
      <c r="K629" t="s">
        <v>78</v>
      </c>
      <c r="L629" t="s">
        <v>169</v>
      </c>
      <c r="M629" t="s">
        <v>170</v>
      </c>
      <c r="N629" t="s">
        <v>930</v>
      </c>
      <c r="O629" t="s">
        <v>124</v>
      </c>
      <c r="P629" t="str">
        <f>"INVOICE00123147 CT098523      "</f>
        <v xml:space="preserve">INVOICE00123147 CT098523      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26.73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  <c r="AZ629">
        <v>0</v>
      </c>
      <c r="BA629">
        <v>0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1</v>
      </c>
      <c r="BI629">
        <v>0.1</v>
      </c>
      <c r="BJ629">
        <v>2.2999999999999998</v>
      </c>
      <c r="BK629">
        <v>2.5</v>
      </c>
      <c r="BL629">
        <v>87.47</v>
      </c>
      <c r="BM629">
        <v>13.12</v>
      </c>
      <c r="BN629">
        <v>100.59</v>
      </c>
      <c r="BO629">
        <v>100.59</v>
      </c>
      <c r="BQ629" t="s">
        <v>931</v>
      </c>
      <c r="BR629" t="s">
        <v>84</v>
      </c>
      <c r="BS629" s="3">
        <v>45988</v>
      </c>
      <c r="BT629" s="4">
        <v>0.39791666666666664</v>
      </c>
      <c r="BU629" t="s">
        <v>1730</v>
      </c>
      <c r="BV629" t="s">
        <v>86</v>
      </c>
      <c r="BY629">
        <v>11501.82</v>
      </c>
      <c r="CC629" t="s">
        <v>170</v>
      </c>
      <c r="CD629">
        <v>2196</v>
      </c>
      <c r="CE629" t="s">
        <v>367</v>
      </c>
      <c r="CF629" s="3">
        <v>45989</v>
      </c>
      <c r="CI629">
        <v>1</v>
      </c>
      <c r="CJ629">
        <v>1</v>
      </c>
      <c r="CK629">
        <v>21</v>
      </c>
      <c r="CL629" t="s">
        <v>89</v>
      </c>
    </row>
    <row r="630" spans="1:90" x14ac:dyDescent="0.3">
      <c r="A630" t="s">
        <v>72</v>
      </c>
      <c r="B630" t="s">
        <v>73</v>
      </c>
      <c r="C630" t="s">
        <v>74</v>
      </c>
      <c r="E630" t="str">
        <f>"GAB2030165"</f>
        <v>GAB2030165</v>
      </c>
      <c r="F630" s="3">
        <v>45987</v>
      </c>
      <c r="G630">
        <v>202608</v>
      </c>
      <c r="H630" t="s">
        <v>75</v>
      </c>
      <c r="I630" t="s">
        <v>76</v>
      </c>
      <c r="J630" t="s">
        <v>77</v>
      </c>
      <c r="K630" t="s">
        <v>78</v>
      </c>
      <c r="L630" t="s">
        <v>394</v>
      </c>
      <c r="M630" t="s">
        <v>395</v>
      </c>
      <c r="N630" t="s">
        <v>677</v>
      </c>
      <c r="O630" t="s">
        <v>124</v>
      </c>
      <c r="P630" t="str">
        <f>"INVOICE00041917 ORDGS038521   "</f>
        <v xml:space="preserve">INVOICE00041917 ORDGS038521   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50.78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  <c r="BA630">
        <v>0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1</v>
      </c>
      <c r="BI630">
        <v>0.4</v>
      </c>
      <c r="BJ630">
        <v>2.5</v>
      </c>
      <c r="BK630">
        <v>2.5</v>
      </c>
      <c r="BL630">
        <v>166.2</v>
      </c>
      <c r="BM630">
        <v>24.93</v>
      </c>
      <c r="BN630">
        <v>191.13</v>
      </c>
      <c r="BO630">
        <v>191.13</v>
      </c>
      <c r="BQ630" t="s">
        <v>1731</v>
      </c>
      <c r="BR630" t="s">
        <v>84</v>
      </c>
      <c r="BS630" s="3">
        <v>45988</v>
      </c>
      <c r="BT630" s="4">
        <v>0.39930555555555558</v>
      </c>
      <c r="BU630" t="s">
        <v>679</v>
      </c>
      <c r="BV630" t="s">
        <v>86</v>
      </c>
      <c r="BY630">
        <v>12370.56</v>
      </c>
      <c r="CA630" t="s">
        <v>398</v>
      </c>
      <c r="CC630" t="s">
        <v>395</v>
      </c>
      <c r="CD630" s="5" t="s">
        <v>399</v>
      </c>
      <c r="CE630" t="s">
        <v>807</v>
      </c>
      <c r="CI630">
        <v>2</v>
      </c>
      <c r="CJ630">
        <v>1</v>
      </c>
      <c r="CK630">
        <v>23</v>
      </c>
      <c r="CL630" t="s">
        <v>89</v>
      </c>
    </row>
    <row r="631" spans="1:90" x14ac:dyDescent="0.3">
      <c r="A631" t="s">
        <v>72</v>
      </c>
      <c r="B631" t="s">
        <v>73</v>
      </c>
      <c r="C631" t="s">
        <v>74</v>
      </c>
      <c r="E631" t="str">
        <f>"GAB2030166"</f>
        <v>GAB2030166</v>
      </c>
      <c r="F631" s="3">
        <v>45987</v>
      </c>
      <c r="G631">
        <v>202608</v>
      </c>
      <c r="H631" t="s">
        <v>75</v>
      </c>
      <c r="I631" t="s">
        <v>76</v>
      </c>
      <c r="J631" t="s">
        <v>77</v>
      </c>
      <c r="K631" t="s">
        <v>78</v>
      </c>
      <c r="L631" t="s">
        <v>90</v>
      </c>
      <c r="M631" t="s">
        <v>91</v>
      </c>
      <c r="N631" t="s">
        <v>1732</v>
      </c>
      <c r="O631" t="s">
        <v>124</v>
      </c>
      <c r="P631" t="str">
        <f>"INVOICE00041918 ORDGS038510   "</f>
        <v xml:space="preserve">INVOICE00041918 ORDGS038510   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21.38</v>
      </c>
      <c r="AR631">
        <v>0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1</v>
      </c>
      <c r="BI631">
        <v>0.2</v>
      </c>
      <c r="BJ631">
        <v>2</v>
      </c>
      <c r="BK631">
        <v>2</v>
      </c>
      <c r="BL631">
        <v>69.98</v>
      </c>
      <c r="BM631">
        <v>10.5</v>
      </c>
      <c r="BN631">
        <v>80.48</v>
      </c>
      <c r="BO631">
        <v>80.48</v>
      </c>
      <c r="BQ631" t="s">
        <v>1733</v>
      </c>
      <c r="BR631" t="s">
        <v>84</v>
      </c>
      <c r="BS631" t="s">
        <v>305</v>
      </c>
      <c r="BY631">
        <v>9883.7999999999993</v>
      </c>
      <c r="CC631" t="s">
        <v>91</v>
      </c>
      <c r="CD631">
        <v>4068</v>
      </c>
      <c r="CE631" t="s">
        <v>843</v>
      </c>
      <c r="CI631">
        <v>2</v>
      </c>
      <c r="CJ631" t="s">
        <v>305</v>
      </c>
      <c r="CK631">
        <v>21</v>
      </c>
      <c r="CL631" t="s">
        <v>89</v>
      </c>
    </row>
    <row r="632" spans="1:90" x14ac:dyDescent="0.3">
      <c r="A632" t="s">
        <v>72</v>
      </c>
      <c r="B632" t="s">
        <v>73</v>
      </c>
      <c r="C632" t="s">
        <v>74</v>
      </c>
      <c r="E632" t="str">
        <f>"GAB2030167"</f>
        <v>GAB2030167</v>
      </c>
      <c r="F632" s="3">
        <v>45987</v>
      </c>
      <c r="G632">
        <v>202608</v>
      </c>
      <c r="H632" t="s">
        <v>75</v>
      </c>
      <c r="I632" t="s">
        <v>76</v>
      </c>
      <c r="J632" t="s">
        <v>77</v>
      </c>
      <c r="K632" t="s">
        <v>78</v>
      </c>
      <c r="L632" t="s">
        <v>509</v>
      </c>
      <c r="M632" t="s">
        <v>510</v>
      </c>
      <c r="N632" t="s">
        <v>694</v>
      </c>
      <c r="O632" t="s">
        <v>124</v>
      </c>
      <c r="P632" t="str">
        <f>"INVOICE00041919 ORDGS038509   "</f>
        <v xml:space="preserve">INVOICE00041919 ORDGS038509   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21.38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1</v>
      </c>
      <c r="BI632">
        <v>0.5</v>
      </c>
      <c r="BJ632">
        <v>1.8</v>
      </c>
      <c r="BK632">
        <v>2</v>
      </c>
      <c r="BL632">
        <v>69.98</v>
      </c>
      <c r="BM632">
        <v>10.5</v>
      </c>
      <c r="BN632">
        <v>80.48</v>
      </c>
      <c r="BO632">
        <v>80.48</v>
      </c>
      <c r="BQ632" t="s">
        <v>1734</v>
      </c>
      <c r="BR632" t="s">
        <v>84</v>
      </c>
      <c r="BS632" s="3">
        <v>45988</v>
      </c>
      <c r="BT632" s="4">
        <v>0.33194444444444443</v>
      </c>
      <c r="BU632" t="s">
        <v>1735</v>
      </c>
      <c r="BV632" t="s">
        <v>86</v>
      </c>
      <c r="BY632">
        <v>8835.75</v>
      </c>
      <c r="CC632" t="s">
        <v>510</v>
      </c>
      <c r="CD632">
        <v>1619</v>
      </c>
      <c r="CE632" t="s">
        <v>1134</v>
      </c>
      <c r="CF632" s="3">
        <v>45989</v>
      </c>
      <c r="CI632">
        <v>1</v>
      </c>
      <c r="CJ632">
        <v>1</v>
      </c>
      <c r="CK632">
        <v>21</v>
      </c>
      <c r="CL632" t="s">
        <v>89</v>
      </c>
    </row>
    <row r="633" spans="1:90" x14ac:dyDescent="0.3">
      <c r="A633" t="s">
        <v>72</v>
      </c>
      <c r="B633" t="s">
        <v>73</v>
      </c>
      <c r="C633" t="s">
        <v>74</v>
      </c>
      <c r="E633" t="str">
        <f>"GAB2030170"</f>
        <v>GAB2030170</v>
      </c>
      <c r="F633" s="3">
        <v>45987</v>
      </c>
      <c r="G633">
        <v>202608</v>
      </c>
      <c r="H633" t="s">
        <v>75</v>
      </c>
      <c r="I633" t="s">
        <v>76</v>
      </c>
      <c r="J633" t="s">
        <v>77</v>
      </c>
      <c r="K633" t="s">
        <v>78</v>
      </c>
      <c r="L633" t="s">
        <v>330</v>
      </c>
      <c r="M633" t="s">
        <v>331</v>
      </c>
      <c r="N633" t="s">
        <v>332</v>
      </c>
      <c r="O633" t="s">
        <v>124</v>
      </c>
      <c r="P633" t="str">
        <f>"INVOICE00123156 CT098528      "</f>
        <v xml:space="preserve">INVOICE00123156 CT098528      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21.38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16.739999999999998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1</v>
      </c>
      <c r="BI633">
        <v>0.1</v>
      </c>
      <c r="BJ633">
        <v>1.9</v>
      </c>
      <c r="BK633">
        <v>2</v>
      </c>
      <c r="BL633">
        <v>86.72</v>
      </c>
      <c r="BM633">
        <v>13.01</v>
      </c>
      <c r="BN633">
        <v>99.73</v>
      </c>
      <c r="BO633">
        <v>99.73</v>
      </c>
      <c r="BQ633" t="s">
        <v>400</v>
      </c>
      <c r="BR633" t="s">
        <v>84</v>
      </c>
      <c r="BS633" s="3">
        <v>45988</v>
      </c>
      <c r="BT633" s="4">
        <v>0.38819444444444445</v>
      </c>
      <c r="BU633" t="s">
        <v>1736</v>
      </c>
      <c r="BV633" t="s">
        <v>86</v>
      </c>
      <c r="BY633">
        <v>9630.7199999999993</v>
      </c>
      <c r="BZ633" t="s">
        <v>30</v>
      </c>
      <c r="CC633" t="s">
        <v>331</v>
      </c>
      <c r="CD633">
        <v>1475</v>
      </c>
      <c r="CE633" t="s">
        <v>367</v>
      </c>
      <c r="CF633" s="3">
        <v>45988</v>
      </c>
      <c r="CI633">
        <v>1</v>
      </c>
      <c r="CJ633">
        <v>1</v>
      </c>
      <c r="CK633">
        <v>21</v>
      </c>
      <c r="CL633" t="s">
        <v>89</v>
      </c>
    </row>
    <row r="634" spans="1:90" x14ac:dyDescent="0.3">
      <c r="A634" t="s">
        <v>72</v>
      </c>
      <c r="B634" t="s">
        <v>73</v>
      </c>
      <c r="C634" t="s">
        <v>74</v>
      </c>
      <c r="E634" t="str">
        <f>"GAB2030174"</f>
        <v>GAB2030174</v>
      </c>
      <c r="F634" s="3">
        <v>45987</v>
      </c>
      <c r="G634">
        <v>202608</v>
      </c>
      <c r="H634" t="s">
        <v>75</v>
      </c>
      <c r="I634" t="s">
        <v>76</v>
      </c>
      <c r="J634" t="s">
        <v>77</v>
      </c>
      <c r="K634" t="s">
        <v>78</v>
      </c>
      <c r="L634" t="s">
        <v>75</v>
      </c>
      <c r="M634" t="s">
        <v>76</v>
      </c>
      <c r="N634" t="s">
        <v>481</v>
      </c>
      <c r="O634" t="s">
        <v>124</v>
      </c>
      <c r="P634" t="str">
        <f>"INVOICE00123130 00123154 CT098"</f>
        <v>INVOICE00123130 00123154 CT098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16.7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  <c r="BA634">
        <v>0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1</v>
      </c>
      <c r="BI634">
        <v>0.3</v>
      </c>
      <c r="BJ634">
        <v>2.4</v>
      </c>
      <c r="BK634">
        <v>3</v>
      </c>
      <c r="BL634">
        <v>54.66</v>
      </c>
      <c r="BM634">
        <v>8.1999999999999993</v>
      </c>
      <c r="BN634">
        <v>62.86</v>
      </c>
      <c r="BO634">
        <v>62.86</v>
      </c>
      <c r="BQ634" t="s">
        <v>482</v>
      </c>
      <c r="BR634" t="s">
        <v>84</v>
      </c>
      <c r="BS634" s="3">
        <v>45988</v>
      </c>
      <c r="BT634" s="4">
        <v>0.37569444444444444</v>
      </c>
      <c r="BU634" t="s">
        <v>483</v>
      </c>
      <c r="BV634" t="s">
        <v>86</v>
      </c>
      <c r="BY634">
        <v>11979.9</v>
      </c>
      <c r="CA634" t="s">
        <v>484</v>
      </c>
      <c r="CC634" t="s">
        <v>76</v>
      </c>
      <c r="CD634">
        <v>7441</v>
      </c>
      <c r="CE634" t="s">
        <v>953</v>
      </c>
      <c r="CI634">
        <v>1</v>
      </c>
      <c r="CJ634">
        <v>1</v>
      </c>
      <c r="CK634">
        <v>22</v>
      </c>
      <c r="CL634" t="s">
        <v>89</v>
      </c>
    </row>
    <row r="635" spans="1:90" x14ac:dyDescent="0.3">
      <c r="A635" t="s">
        <v>72</v>
      </c>
      <c r="B635" t="s">
        <v>73</v>
      </c>
      <c r="C635" t="s">
        <v>74</v>
      </c>
      <c r="E635" t="str">
        <f>"GAB2029992"</f>
        <v>GAB2029992</v>
      </c>
      <c r="F635" s="3">
        <v>45981</v>
      </c>
      <c r="G635">
        <v>202608</v>
      </c>
      <c r="H635" t="s">
        <v>75</v>
      </c>
      <c r="I635" t="s">
        <v>76</v>
      </c>
      <c r="J635" t="s">
        <v>236</v>
      </c>
      <c r="K635" t="s">
        <v>78</v>
      </c>
      <c r="L635" t="s">
        <v>1408</v>
      </c>
      <c r="M635" t="s">
        <v>1409</v>
      </c>
      <c r="N635" t="s">
        <v>1737</v>
      </c>
      <c r="O635" t="s">
        <v>124</v>
      </c>
      <c r="P635" t="str">
        <f>"INVOIVE00041702 00041701 ORDGS"</f>
        <v>INVOIVE00041702 00041701 ORDGS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  <c r="BA635">
        <v>0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1</v>
      </c>
      <c r="BI635">
        <v>5</v>
      </c>
      <c r="BJ635">
        <v>11.7</v>
      </c>
      <c r="BK635">
        <v>12</v>
      </c>
      <c r="BL635">
        <v>0</v>
      </c>
      <c r="BM635">
        <v>0</v>
      </c>
      <c r="BN635">
        <v>0</v>
      </c>
      <c r="BO635">
        <v>0</v>
      </c>
      <c r="BQ635" t="s">
        <v>185</v>
      </c>
      <c r="BR635" t="s">
        <v>252</v>
      </c>
      <c r="BS635" t="s">
        <v>305</v>
      </c>
      <c r="BY635">
        <v>58311</v>
      </c>
      <c r="BZ635" t="s">
        <v>1738</v>
      </c>
      <c r="CC635" t="s">
        <v>1409</v>
      </c>
      <c r="CD635" s="5" t="s">
        <v>1413</v>
      </c>
      <c r="CE635" t="s">
        <v>1739</v>
      </c>
      <c r="CI635">
        <v>1</v>
      </c>
      <c r="CJ635" t="s">
        <v>305</v>
      </c>
      <c r="CK635">
        <v>-1</v>
      </c>
      <c r="CL635" t="s">
        <v>89</v>
      </c>
    </row>
    <row r="636" spans="1:90" x14ac:dyDescent="0.3">
      <c r="A636" t="s">
        <v>72</v>
      </c>
      <c r="B636" t="s">
        <v>73</v>
      </c>
      <c r="C636" t="s">
        <v>74</v>
      </c>
      <c r="E636" t="str">
        <f>"GAB2030178"</f>
        <v>GAB2030178</v>
      </c>
      <c r="F636" s="3">
        <v>45988</v>
      </c>
      <c r="G636">
        <v>202608</v>
      </c>
      <c r="H636" t="s">
        <v>75</v>
      </c>
      <c r="I636" t="s">
        <v>76</v>
      </c>
      <c r="J636" t="s">
        <v>77</v>
      </c>
      <c r="K636" t="s">
        <v>78</v>
      </c>
      <c r="L636" t="s">
        <v>938</v>
      </c>
      <c r="M636" t="s">
        <v>939</v>
      </c>
      <c r="N636" t="s">
        <v>1740</v>
      </c>
      <c r="O636" t="s">
        <v>82</v>
      </c>
      <c r="P636" t="str">
        <f>"INVOICE00123170 CT097762      "</f>
        <v xml:space="preserve">INVOICE00123170 CT097762      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5.87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58.42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  <c r="BA636">
        <v>0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1</v>
      </c>
      <c r="BI636">
        <v>10</v>
      </c>
      <c r="BJ636">
        <v>24.8</v>
      </c>
      <c r="BK636">
        <v>25</v>
      </c>
      <c r="BL636">
        <v>197.07</v>
      </c>
      <c r="BM636">
        <v>29.56</v>
      </c>
      <c r="BN636">
        <v>226.63</v>
      </c>
      <c r="BO636">
        <v>226.63</v>
      </c>
      <c r="BQ636" t="s">
        <v>1741</v>
      </c>
      <c r="BR636" t="s">
        <v>84</v>
      </c>
      <c r="BS636" t="s">
        <v>305</v>
      </c>
      <c r="BV636" t="s">
        <v>89</v>
      </c>
      <c r="BY636">
        <v>124080</v>
      </c>
      <c r="CC636" t="s">
        <v>939</v>
      </c>
      <c r="CD636">
        <v>2158</v>
      </c>
      <c r="CE636" t="s">
        <v>1519</v>
      </c>
      <c r="CI636">
        <v>2</v>
      </c>
      <c r="CJ636" t="s">
        <v>305</v>
      </c>
      <c r="CK636">
        <v>41</v>
      </c>
      <c r="CL636" t="s">
        <v>89</v>
      </c>
    </row>
    <row r="637" spans="1:90" x14ac:dyDescent="0.3">
      <c r="A637" t="s">
        <v>72</v>
      </c>
      <c r="B637" t="s">
        <v>73</v>
      </c>
      <c r="C637" t="s">
        <v>74</v>
      </c>
      <c r="E637" t="str">
        <f>"GAB2030179"</f>
        <v>GAB2030179</v>
      </c>
      <c r="F637" s="3">
        <v>45988</v>
      </c>
      <c r="G637">
        <v>202608</v>
      </c>
      <c r="H637" t="s">
        <v>75</v>
      </c>
      <c r="I637" t="s">
        <v>76</v>
      </c>
      <c r="J637" t="s">
        <v>77</v>
      </c>
      <c r="K637" t="s">
        <v>78</v>
      </c>
      <c r="L637" t="s">
        <v>195</v>
      </c>
      <c r="M637" t="s">
        <v>196</v>
      </c>
      <c r="N637" t="s">
        <v>197</v>
      </c>
      <c r="O637" t="s">
        <v>82</v>
      </c>
      <c r="P637" t="str">
        <f>"INVOICE00123168 CT098530      "</f>
        <v xml:space="preserve">INVOICE00123168 CT098530      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5.87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41.35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1</v>
      </c>
      <c r="BI637">
        <v>2</v>
      </c>
      <c r="BJ637">
        <v>6.1</v>
      </c>
      <c r="BK637">
        <v>7</v>
      </c>
      <c r="BL637">
        <v>141.19999999999999</v>
      </c>
      <c r="BM637">
        <v>21.18</v>
      </c>
      <c r="BN637">
        <v>162.38</v>
      </c>
      <c r="BO637">
        <v>162.38</v>
      </c>
      <c r="BR637" t="s">
        <v>84</v>
      </c>
      <c r="BS637" t="s">
        <v>305</v>
      </c>
      <c r="BV637" t="s">
        <v>89</v>
      </c>
      <c r="BY637">
        <v>30720</v>
      </c>
      <c r="CC637" t="s">
        <v>196</v>
      </c>
      <c r="CD637">
        <v>1725</v>
      </c>
      <c r="CE637" t="s">
        <v>103</v>
      </c>
      <c r="CI637">
        <v>2</v>
      </c>
      <c r="CJ637" t="s">
        <v>305</v>
      </c>
      <c r="CK637">
        <v>41</v>
      </c>
      <c r="CL637" t="s">
        <v>89</v>
      </c>
    </row>
    <row r="638" spans="1:90" x14ac:dyDescent="0.3">
      <c r="A638" t="s">
        <v>72</v>
      </c>
      <c r="B638" t="s">
        <v>73</v>
      </c>
      <c r="C638" t="s">
        <v>74</v>
      </c>
      <c r="E638" t="str">
        <f>"GAB2030183"</f>
        <v>GAB2030183</v>
      </c>
      <c r="F638" s="3">
        <v>45988</v>
      </c>
      <c r="G638">
        <v>202608</v>
      </c>
      <c r="H638" t="s">
        <v>75</v>
      </c>
      <c r="I638" t="s">
        <v>76</v>
      </c>
      <c r="J638" t="s">
        <v>77</v>
      </c>
      <c r="K638" t="s">
        <v>78</v>
      </c>
      <c r="L638" t="s">
        <v>1742</v>
      </c>
      <c r="M638" t="s">
        <v>1743</v>
      </c>
      <c r="N638" t="s">
        <v>1744</v>
      </c>
      <c r="O638" t="s">
        <v>82</v>
      </c>
      <c r="P638" t="str">
        <f>"INVOICE00041946 00041947 00041"</f>
        <v>INVOICE00041946 00041947 00041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5.87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117.9</v>
      </c>
      <c r="AR638">
        <v>0</v>
      </c>
      <c r="AS638">
        <v>0</v>
      </c>
      <c r="AT638">
        <v>0</v>
      </c>
      <c r="AU638">
        <v>0</v>
      </c>
      <c r="AV638">
        <v>0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2</v>
      </c>
      <c r="BI638">
        <v>19</v>
      </c>
      <c r="BJ638">
        <v>34.200000000000003</v>
      </c>
      <c r="BK638">
        <v>35</v>
      </c>
      <c r="BL638">
        <v>391.72</v>
      </c>
      <c r="BM638">
        <v>58.76</v>
      </c>
      <c r="BN638">
        <v>450.48</v>
      </c>
      <c r="BO638">
        <v>450.48</v>
      </c>
      <c r="BQ638" t="s">
        <v>185</v>
      </c>
      <c r="BR638" t="s">
        <v>84</v>
      </c>
      <c r="BS638" t="s">
        <v>305</v>
      </c>
      <c r="BV638" t="s">
        <v>89</v>
      </c>
      <c r="BY638">
        <v>171057</v>
      </c>
      <c r="CC638" t="s">
        <v>1743</v>
      </c>
      <c r="CD638">
        <v>1061</v>
      </c>
      <c r="CE638" t="s">
        <v>103</v>
      </c>
      <c r="CI638">
        <v>3</v>
      </c>
      <c r="CJ638" t="s">
        <v>305</v>
      </c>
      <c r="CK638">
        <v>43</v>
      </c>
      <c r="CL638" t="s">
        <v>89</v>
      </c>
    </row>
    <row r="639" spans="1:90" x14ac:dyDescent="0.3">
      <c r="A639" t="s">
        <v>72</v>
      </c>
      <c r="B639" t="s">
        <v>73</v>
      </c>
      <c r="C639" t="s">
        <v>74</v>
      </c>
      <c r="E639" t="str">
        <f>"GAB2030189"</f>
        <v>GAB2030189</v>
      </c>
      <c r="F639" s="3">
        <v>45988</v>
      </c>
      <c r="G639">
        <v>202608</v>
      </c>
      <c r="H639" t="s">
        <v>75</v>
      </c>
      <c r="I639" t="s">
        <v>76</v>
      </c>
      <c r="J639" t="s">
        <v>77</v>
      </c>
      <c r="K639" t="s">
        <v>78</v>
      </c>
      <c r="L639" t="s">
        <v>656</v>
      </c>
      <c r="M639" t="s">
        <v>657</v>
      </c>
      <c r="N639" t="s">
        <v>1159</v>
      </c>
      <c r="O639" t="s">
        <v>82</v>
      </c>
      <c r="P639" t="str">
        <f>"INVOICE00041963 ORDGS038199   "</f>
        <v xml:space="preserve">INVOICE00041963 ORDGS038199   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5.87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45.67</v>
      </c>
      <c r="AR639">
        <v>0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0</v>
      </c>
      <c r="AY639">
        <v>0</v>
      </c>
      <c r="AZ639">
        <v>0</v>
      </c>
      <c r="BA639">
        <v>0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2</v>
      </c>
      <c r="BI639">
        <v>4</v>
      </c>
      <c r="BJ639">
        <v>8.8000000000000007</v>
      </c>
      <c r="BK639">
        <v>9</v>
      </c>
      <c r="BL639">
        <v>155.33000000000001</v>
      </c>
      <c r="BM639">
        <v>23.3</v>
      </c>
      <c r="BN639">
        <v>178.63</v>
      </c>
      <c r="BO639">
        <v>178.63</v>
      </c>
      <c r="BQ639" t="s">
        <v>185</v>
      </c>
      <c r="BR639" t="s">
        <v>84</v>
      </c>
      <c r="BS639" t="s">
        <v>305</v>
      </c>
      <c r="BV639" t="s">
        <v>89</v>
      </c>
      <c r="BY639">
        <v>44112</v>
      </c>
      <c r="CC639" t="s">
        <v>657</v>
      </c>
      <c r="CD639">
        <v>6850</v>
      </c>
      <c r="CE639" t="s">
        <v>103</v>
      </c>
      <c r="CI639">
        <v>0</v>
      </c>
      <c r="CJ639">
        <v>0</v>
      </c>
      <c r="CK639">
        <v>44</v>
      </c>
      <c r="CL639" t="s">
        <v>89</v>
      </c>
    </row>
    <row r="640" spans="1:90" x14ac:dyDescent="0.3">
      <c r="A640" t="s">
        <v>72</v>
      </c>
      <c r="B640" t="s">
        <v>73</v>
      </c>
      <c r="C640" t="s">
        <v>74</v>
      </c>
      <c r="E640" t="str">
        <f>"GAB2030190"</f>
        <v>GAB2030190</v>
      </c>
      <c r="F640" s="3">
        <v>45988</v>
      </c>
      <c r="G640">
        <v>202608</v>
      </c>
      <c r="H640" t="s">
        <v>75</v>
      </c>
      <c r="I640" t="s">
        <v>76</v>
      </c>
      <c r="J640" t="s">
        <v>77</v>
      </c>
      <c r="K640" t="s">
        <v>78</v>
      </c>
      <c r="L640" t="s">
        <v>75</v>
      </c>
      <c r="M640" t="s">
        <v>76</v>
      </c>
      <c r="N640" t="s">
        <v>1745</v>
      </c>
      <c r="O640" t="s">
        <v>82</v>
      </c>
      <c r="P640" t="str">
        <f>"INVOICE00123179 CT098535      "</f>
        <v xml:space="preserve">INVOICE00123179 CT098535      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5.87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31.91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0</v>
      </c>
      <c r="AY640">
        <v>0</v>
      </c>
      <c r="AZ640">
        <v>0</v>
      </c>
      <c r="BA640">
        <v>0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1</v>
      </c>
      <c r="BI640">
        <v>3</v>
      </c>
      <c r="BJ640">
        <v>6.1</v>
      </c>
      <c r="BK640">
        <v>7</v>
      </c>
      <c r="BL640">
        <v>110.3</v>
      </c>
      <c r="BM640">
        <v>16.55</v>
      </c>
      <c r="BN640">
        <v>126.85</v>
      </c>
      <c r="BO640">
        <v>126.85</v>
      </c>
      <c r="BQ640" t="s">
        <v>1746</v>
      </c>
      <c r="BR640" t="s">
        <v>84</v>
      </c>
      <c r="BS640" t="s">
        <v>305</v>
      </c>
      <c r="BV640" t="s">
        <v>89</v>
      </c>
      <c r="BY640">
        <v>30720</v>
      </c>
      <c r="CC640" t="s">
        <v>76</v>
      </c>
      <c r="CD640">
        <v>7806</v>
      </c>
      <c r="CE640" t="s">
        <v>103</v>
      </c>
      <c r="CI640">
        <v>1</v>
      </c>
      <c r="CJ640" t="s">
        <v>305</v>
      </c>
      <c r="CK640">
        <v>42</v>
      </c>
      <c r="CL640" t="s">
        <v>89</v>
      </c>
    </row>
    <row r="641" spans="1:90" x14ac:dyDescent="0.3">
      <c r="A641" t="s">
        <v>72</v>
      </c>
      <c r="B641" t="s">
        <v>73</v>
      </c>
      <c r="C641" t="s">
        <v>74</v>
      </c>
      <c r="E641" t="str">
        <f>"GAB2030197"</f>
        <v>GAB2030197</v>
      </c>
      <c r="F641" s="3">
        <v>45988</v>
      </c>
      <c r="G641">
        <v>202608</v>
      </c>
      <c r="H641" t="s">
        <v>75</v>
      </c>
      <c r="I641" t="s">
        <v>76</v>
      </c>
      <c r="J641" t="s">
        <v>77</v>
      </c>
      <c r="K641" t="s">
        <v>78</v>
      </c>
      <c r="L641" t="s">
        <v>75</v>
      </c>
      <c r="M641" t="s">
        <v>76</v>
      </c>
      <c r="N641" t="s">
        <v>1526</v>
      </c>
      <c r="O641" t="s">
        <v>82</v>
      </c>
      <c r="P641" t="str">
        <f>"INVOICE00123195 CT098545      "</f>
        <v xml:space="preserve">INVOICE00123195 CT098545      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5.87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31.91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0</v>
      </c>
      <c r="AY641">
        <v>0</v>
      </c>
      <c r="AZ641">
        <v>0</v>
      </c>
      <c r="BA641">
        <v>0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1</v>
      </c>
      <c r="BI641">
        <v>6</v>
      </c>
      <c r="BJ641">
        <v>11.7</v>
      </c>
      <c r="BK641">
        <v>12</v>
      </c>
      <c r="BL641">
        <v>110.3</v>
      </c>
      <c r="BM641">
        <v>16.55</v>
      </c>
      <c r="BN641">
        <v>126.85</v>
      </c>
      <c r="BO641">
        <v>126.85</v>
      </c>
      <c r="BQ641" t="s">
        <v>1527</v>
      </c>
      <c r="BR641" t="s">
        <v>84</v>
      </c>
      <c r="BS641" t="s">
        <v>305</v>
      </c>
      <c r="BV641" t="s">
        <v>89</v>
      </c>
      <c r="BY641">
        <v>58311</v>
      </c>
      <c r="CC641" t="s">
        <v>76</v>
      </c>
      <c r="CD641">
        <v>7550</v>
      </c>
      <c r="CE641" t="s">
        <v>103</v>
      </c>
      <c r="CI641">
        <v>1</v>
      </c>
      <c r="CJ641" t="s">
        <v>305</v>
      </c>
      <c r="CK641">
        <v>42</v>
      </c>
      <c r="CL641" t="s">
        <v>89</v>
      </c>
    </row>
    <row r="642" spans="1:90" x14ac:dyDescent="0.3">
      <c r="A642" t="s">
        <v>72</v>
      </c>
      <c r="B642" t="s">
        <v>73</v>
      </c>
      <c r="C642" t="s">
        <v>74</v>
      </c>
      <c r="E642" t="str">
        <f>"GAB2030208"</f>
        <v>GAB2030208</v>
      </c>
      <c r="F642" s="3">
        <v>45988</v>
      </c>
      <c r="G642">
        <v>202608</v>
      </c>
      <c r="H642" t="s">
        <v>75</v>
      </c>
      <c r="I642" t="s">
        <v>76</v>
      </c>
      <c r="J642" t="s">
        <v>77</v>
      </c>
      <c r="K642" t="s">
        <v>78</v>
      </c>
      <c r="L642" t="s">
        <v>75</v>
      </c>
      <c r="M642" t="s">
        <v>76</v>
      </c>
      <c r="N642" t="s">
        <v>1747</v>
      </c>
      <c r="O642" t="s">
        <v>82</v>
      </c>
      <c r="P642" t="str">
        <f>"INVOICE00041986 00041967 00041"</f>
        <v>INVOICE00041986 00041967 00041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5.87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31.91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0</v>
      </c>
      <c r="AY642">
        <v>0</v>
      </c>
      <c r="AZ642">
        <v>0</v>
      </c>
      <c r="BA642">
        <v>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1</v>
      </c>
      <c r="BI642">
        <v>3</v>
      </c>
      <c r="BJ642">
        <v>6.1</v>
      </c>
      <c r="BK642">
        <v>7</v>
      </c>
      <c r="BL642">
        <v>110.3</v>
      </c>
      <c r="BM642">
        <v>16.55</v>
      </c>
      <c r="BN642">
        <v>126.85</v>
      </c>
      <c r="BO642">
        <v>126.85</v>
      </c>
      <c r="BQ642" t="s">
        <v>1748</v>
      </c>
      <c r="BR642" t="s">
        <v>84</v>
      </c>
      <c r="BS642" t="s">
        <v>305</v>
      </c>
      <c r="BV642" t="s">
        <v>89</v>
      </c>
      <c r="BY642">
        <v>30720</v>
      </c>
      <c r="CC642" t="s">
        <v>76</v>
      </c>
      <c r="CD642">
        <v>7935</v>
      </c>
      <c r="CE642" t="s">
        <v>103</v>
      </c>
      <c r="CI642">
        <v>1</v>
      </c>
      <c r="CJ642" t="s">
        <v>305</v>
      </c>
      <c r="CK642">
        <v>42</v>
      </c>
      <c r="CL642" t="s">
        <v>89</v>
      </c>
    </row>
    <row r="643" spans="1:90" x14ac:dyDescent="0.3">
      <c r="A643" t="s">
        <v>72</v>
      </c>
      <c r="B643" t="s">
        <v>73</v>
      </c>
      <c r="C643" t="s">
        <v>74</v>
      </c>
      <c r="E643" t="str">
        <f>"GAB2030209"</f>
        <v>GAB2030209</v>
      </c>
      <c r="F643" s="3">
        <v>45988</v>
      </c>
      <c r="G643">
        <v>202608</v>
      </c>
      <c r="H643" t="s">
        <v>75</v>
      </c>
      <c r="I643" t="s">
        <v>76</v>
      </c>
      <c r="J643" t="s">
        <v>77</v>
      </c>
      <c r="K643" t="s">
        <v>78</v>
      </c>
      <c r="L643" t="s">
        <v>75</v>
      </c>
      <c r="M643" t="s">
        <v>76</v>
      </c>
      <c r="N643" t="s">
        <v>1749</v>
      </c>
      <c r="O643" t="s">
        <v>82</v>
      </c>
      <c r="P643" t="str">
        <f>"INVOICE00123198 CT098537      "</f>
        <v xml:space="preserve">INVOICE00123198 CT098537      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5.87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31.91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0</v>
      </c>
      <c r="AY643">
        <v>0</v>
      </c>
      <c r="AZ643">
        <v>0</v>
      </c>
      <c r="BA643">
        <v>0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1</v>
      </c>
      <c r="BI643">
        <v>2</v>
      </c>
      <c r="BJ643">
        <v>6.1</v>
      </c>
      <c r="BK643">
        <v>7</v>
      </c>
      <c r="BL643">
        <v>110.3</v>
      </c>
      <c r="BM643">
        <v>16.55</v>
      </c>
      <c r="BN643">
        <v>126.85</v>
      </c>
      <c r="BO643">
        <v>126.85</v>
      </c>
      <c r="BR643" t="s">
        <v>84</v>
      </c>
      <c r="BS643" t="s">
        <v>305</v>
      </c>
      <c r="BV643" t="s">
        <v>89</v>
      </c>
      <c r="BY643">
        <v>30720</v>
      </c>
      <c r="CC643" t="s">
        <v>76</v>
      </c>
      <c r="CD643">
        <v>7500</v>
      </c>
      <c r="CE643" t="s">
        <v>103</v>
      </c>
      <c r="CI643">
        <v>1</v>
      </c>
      <c r="CJ643" t="s">
        <v>305</v>
      </c>
      <c r="CK643">
        <v>42</v>
      </c>
      <c r="CL643" t="s">
        <v>89</v>
      </c>
    </row>
    <row r="644" spans="1:90" x14ac:dyDescent="0.3">
      <c r="A644" t="s">
        <v>72</v>
      </c>
      <c r="B644" t="s">
        <v>73</v>
      </c>
      <c r="C644" t="s">
        <v>74</v>
      </c>
      <c r="E644" t="str">
        <f>"GAB2030177"</f>
        <v>GAB2030177</v>
      </c>
      <c r="F644" s="3">
        <v>45988</v>
      </c>
      <c r="G644">
        <v>202608</v>
      </c>
      <c r="H644" t="s">
        <v>75</v>
      </c>
      <c r="I644" t="s">
        <v>76</v>
      </c>
      <c r="J644" t="s">
        <v>77</v>
      </c>
      <c r="K644" t="s">
        <v>78</v>
      </c>
      <c r="L644" t="s">
        <v>79</v>
      </c>
      <c r="M644" t="s">
        <v>80</v>
      </c>
      <c r="N644" t="s">
        <v>1037</v>
      </c>
      <c r="O644" t="s">
        <v>124</v>
      </c>
      <c r="P644" t="str">
        <f>"JEFFREY JACOBS                "</f>
        <v xml:space="preserve">JEFFREY JACOBS                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96.17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0</v>
      </c>
      <c r="AY644">
        <v>0</v>
      </c>
      <c r="AZ644">
        <v>0</v>
      </c>
      <c r="BA644">
        <v>0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1</v>
      </c>
      <c r="BI644">
        <v>8</v>
      </c>
      <c r="BJ644">
        <v>8.6999999999999993</v>
      </c>
      <c r="BK644">
        <v>9</v>
      </c>
      <c r="BL644">
        <v>314.73</v>
      </c>
      <c r="BM644">
        <v>47.21</v>
      </c>
      <c r="BN644">
        <v>361.94</v>
      </c>
      <c r="BO644">
        <v>361.94</v>
      </c>
      <c r="BQ644" t="s">
        <v>1750</v>
      </c>
      <c r="BR644" t="s">
        <v>84</v>
      </c>
      <c r="BS644" t="s">
        <v>305</v>
      </c>
      <c r="BV644" t="s">
        <v>89</v>
      </c>
      <c r="BY644">
        <v>43290</v>
      </c>
      <c r="BZ644" t="s">
        <v>126</v>
      </c>
      <c r="CC644" t="s">
        <v>80</v>
      </c>
      <c r="CD644" s="5" t="s">
        <v>87</v>
      </c>
      <c r="CE644" t="s">
        <v>1751</v>
      </c>
      <c r="CI644">
        <v>1</v>
      </c>
      <c r="CJ644" t="s">
        <v>305</v>
      </c>
      <c r="CK644">
        <v>21</v>
      </c>
      <c r="CL644" t="s">
        <v>89</v>
      </c>
    </row>
    <row r="645" spans="1:90" x14ac:dyDescent="0.3">
      <c r="A645" t="s">
        <v>72</v>
      </c>
      <c r="B645" t="s">
        <v>73</v>
      </c>
      <c r="C645" t="s">
        <v>74</v>
      </c>
      <c r="E645" t="str">
        <f>"GAB2030180"</f>
        <v>GAB2030180</v>
      </c>
      <c r="F645" s="3">
        <v>45988</v>
      </c>
      <c r="G645">
        <v>202608</v>
      </c>
      <c r="H645" t="s">
        <v>75</v>
      </c>
      <c r="I645" t="s">
        <v>76</v>
      </c>
      <c r="J645" t="s">
        <v>77</v>
      </c>
      <c r="K645" t="s">
        <v>78</v>
      </c>
      <c r="L645" t="s">
        <v>79</v>
      </c>
      <c r="M645" t="s">
        <v>80</v>
      </c>
      <c r="N645" t="s">
        <v>1037</v>
      </c>
      <c r="O645" t="s">
        <v>124</v>
      </c>
      <c r="P645" t="str">
        <f>"INVOICE00123167 CT098536      "</f>
        <v xml:space="preserve">INVOICE00123167 CT098536      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42.75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0</v>
      </c>
      <c r="AY645">
        <v>0</v>
      </c>
      <c r="AZ645">
        <v>0</v>
      </c>
      <c r="BA645">
        <v>0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1</v>
      </c>
      <c r="BI645">
        <v>1</v>
      </c>
      <c r="BJ645">
        <v>3.8</v>
      </c>
      <c r="BK645">
        <v>4</v>
      </c>
      <c r="BL645">
        <v>139.91</v>
      </c>
      <c r="BM645">
        <v>20.99</v>
      </c>
      <c r="BN645">
        <v>160.9</v>
      </c>
      <c r="BO645">
        <v>160.9</v>
      </c>
      <c r="BR645" t="s">
        <v>84</v>
      </c>
      <c r="BS645" t="s">
        <v>305</v>
      </c>
      <c r="BV645" t="s">
        <v>89</v>
      </c>
      <c r="BY645">
        <v>19200</v>
      </c>
      <c r="BZ645" t="s">
        <v>126</v>
      </c>
      <c r="CC645" t="s">
        <v>80</v>
      </c>
      <c r="CD645" s="5" t="s">
        <v>87</v>
      </c>
      <c r="CE645" t="s">
        <v>912</v>
      </c>
      <c r="CI645">
        <v>1</v>
      </c>
      <c r="CJ645" t="s">
        <v>305</v>
      </c>
      <c r="CK645">
        <v>21</v>
      </c>
      <c r="CL645" t="s">
        <v>89</v>
      </c>
    </row>
    <row r="646" spans="1:90" x14ac:dyDescent="0.3">
      <c r="A646" t="s">
        <v>72</v>
      </c>
      <c r="B646" t="s">
        <v>73</v>
      </c>
      <c r="C646" t="s">
        <v>74</v>
      </c>
      <c r="E646" t="str">
        <f>"GAB2030184"</f>
        <v>GAB2030184</v>
      </c>
      <c r="F646" s="3">
        <v>45988</v>
      </c>
      <c r="G646">
        <v>202608</v>
      </c>
      <c r="H646" t="s">
        <v>75</v>
      </c>
      <c r="I646" t="s">
        <v>76</v>
      </c>
      <c r="J646" t="s">
        <v>77</v>
      </c>
      <c r="K646" t="s">
        <v>78</v>
      </c>
      <c r="L646" t="s">
        <v>195</v>
      </c>
      <c r="M646" t="s">
        <v>196</v>
      </c>
      <c r="N646" t="s">
        <v>641</v>
      </c>
      <c r="O646" t="s">
        <v>124</v>
      </c>
      <c r="P646" t="str">
        <f>"INVOICE00041959 ORDGS038544   "</f>
        <v xml:space="preserve">INVOICE00041959 ORDGS038544   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42.75</v>
      </c>
      <c r="AR646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0</v>
      </c>
      <c r="AY646">
        <v>0</v>
      </c>
      <c r="AZ646">
        <v>0</v>
      </c>
      <c r="BA646">
        <v>0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1</v>
      </c>
      <c r="BI646">
        <v>1</v>
      </c>
      <c r="BJ646">
        <v>3.8</v>
      </c>
      <c r="BK646">
        <v>4</v>
      </c>
      <c r="BL646">
        <v>139.91</v>
      </c>
      <c r="BM646">
        <v>20.99</v>
      </c>
      <c r="BN646">
        <v>160.9</v>
      </c>
      <c r="BO646">
        <v>160.9</v>
      </c>
      <c r="BQ646" t="s">
        <v>780</v>
      </c>
      <c r="BR646" t="s">
        <v>84</v>
      </c>
      <c r="BS646" t="s">
        <v>305</v>
      </c>
      <c r="BV646" t="s">
        <v>89</v>
      </c>
      <c r="BY646">
        <v>19200</v>
      </c>
      <c r="BZ646" t="s">
        <v>126</v>
      </c>
      <c r="CC646" t="s">
        <v>196</v>
      </c>
      <c r="CD646">
        <v>1709</v>
      </c>
      <c r="CE646" t="s">
        <v>807</v>
      </c>
      <c r="CI646">
        <v>1</v>
      </c>
      <c r="CJ646" t="s">
        <v>305</v>
      </c>
      <c r="CK646">
        <v>21</v>
      </c>
      <c r="CL646" t="s">
        <v>89</v>
      </c>
    </row>
    <row r="647" spans="1:90" x14ac:dyDescent="0.3">
      <c r="A647" t="s">
        <v>72</v>
      </c>
      <c r="B647" t="s">
        <v>73</v>
      </c>
      <c r="C647" t="s">
        <v>74</v>
      </c>
      <c r="E647" t="str">
        <f>"GAB2030185"</f>
        <v>GAB2030185</v>
      </c>
      <c r="F647" s="3">
        <v>45988</v>
      </c>
      <c r="G647">
        <v>202608</v>
      </c>
      <c r="H647" t="s">
        <v>75</v>
      </c>
      <c r="I647" t="s">
        <v>76</v>
      </c>
      <c r="J647" t="s">
        <v>77</v>
      </c>
      <c r="K647" t="s">
        <v>78</v>
      </c>
      <c r="L647" t="s">
        <v>162</v>
      </c>
      <c r="M647" t="s">
        <v>163</v>
      </c>
      <c r="N647" t="s">
        <v>546</v>
      </c>
      <c r="O647" t="s">
        <v>124</v>
      </c>
      <c r="P647" t="str">
        <f>"INVOICE00041957 ORDGS038561   "</f>
        <v xml:space="preserve">INVOICE00041957 ORDGS038561   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21.38</v>
      </c>
      <c r="AR647">
        <v>0</v>
      </c>
      <c r="AS647">
        <v>0</v>
      </c>
      <c r="AT647">
        <v>0</v>
      </c>
      <c r="AU647">
        <v>0</v>
      </c>
      <c r="AV647">
        <v>0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1</v>
      </c>
      <c r="BI647">
        <v>1</v>
      </c>
      <c r="BJ647">
        <v>1.4</v>
      </c>
      <c r="BK647">
        <v>1.5</v>
      </c>
      <c r="BL647">
        <v>69.98</v>
      </c>
      <c r="BM647">
        <v>10.5</v>
      </c>
      <c r="BN647">
        <v>80.48</v>
      </c>
      <c r="BO647">
        <v>80.48</v>
      </c>
      <c r="BQ647" t="s">
        <v>934</v>
      </c>
      <c r="BR647" t="s">
        <v>84</v>
      </c>
      <c r="BS647" t="s">
        <v>305</v>
      </c>
      <c r="BV647" t="s">
        <v>89</v>
      </c>
      <c r="BY647">
        <v>7200</v>
      </c>
      <c r="BZ647" t="s">
        <v>126</v>
      </c>
      <c r="CC647" t="s">
        <v>163</v>
      </c>
      <c r="CD647">
        <v>6001</v>
      </c>
      <c r="CE647" t="s">
        <v>843</v>
      </c>
      <c r="CI647">
        <v>2</v>
      </c>
      <c r="CJ647" t="s">
        <v>305</v>
      </c>
      <c r="CK647">
        <v>21</v>
      </c>
      <c r="CL647" t="s">
        <v>89</v>
      </c>
    </row>
    <row r="648" spans="1:90" x14ac:dyDescent="0.3">
      <c r="A648" t="s">
        <v>72</v>
      </c>
      <c r="B648" t="s">
        <v>73</v>
      </c>
      <c r="C648" t="s">
        <v>74</v>
      </c>
      <c r="E648" t="str">
        <f>"GAB2030186"</f>
        <v>GAB2030186</v>
      </c>
      <c r="F648" s="3">
        <v>45988</v>
      </c>
      <c r="G648">
        <v>202608</v>
      </c>
      <c r="H648" t="s">
        <v>75</v>
      </c>
      <c r="I648" t="s">
        <v>76</v>
      </c>
      <c r="J648" t="s">
        <v>77</v>
      </c>
      <c r="K648" t="s">
        <v>78</v>
      </c>
      <c r="L648" t="s">
        <v>75</v>
      </c>
      <c r="M648" t="s">
        <v>76</v>
      </c>
      <c r="N648" t="s">
        <v>150</v>
      </c>
      <c r="O648" t="s">
        <v>124</v>
      </c>
      <c r="P648" t="str">
        <f>"INVOICE00041955 ORDGS038546   "</f>
        <v xml:space="preserve">INVOICE00041955 ORDGS038546   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16.7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1</v>
      </c>
      <c r="BI648">
        <v>1</v>
      </c>
      <c r="BJ648">
        <v>2.4</v>
      </c>
      <c r="BK648">
        <v>3</v>
      </c>
      <c r="BL648">
        <v>54.66</v>
      </c>
      <c r="BM648">
        <v>8.1999999999999993</v>
      </c>
      <c r="BN648">
        <v>62.86</v>
      </c>
      <c r="BO648">
        <v>62.86</v>
      </c>
      <c r="BQ648" t="s">
        <v>371</v>
      </c>
      <c r="BR648" t="s">
        <v>84</v>
      </c>
      <c r="BS648" t="s">
        <v>305</v>
      </c>
      <c r="BV648" t="s">
        <v>89</v>
      </c>
      <c r="BY648">
        <v>12000</v>
      </c>
      <c r="BZ648" t="s">
        <v>126</v>
      </c>
      <c r="CC648" t="s">
        <v>76</v>
      </c>
      <c r="CD648">
        <v>7735</v>
      </c>
      <c r="CE648" t="s">
        <v>367</v>
      </c>
      <c r="CI648">
        <v>1</v>
      </c>
      <c r="CJ648" t="s">
        <v>305</v>
      </c>
      <c r="CK648">
        <v>22</v>
      </c>
      <c r="CL648" t="s">
        <v>89</v>
      </c>
    </row>
    <row r="649" spans="1:90" x14ac:dyDescent="0.3">
      <c r="A649" t="s">
        <v>72</v>
      </c>
      <c r="B649" t="s">
        <v>73</v>
      </c>
      <c r="C649" t="s">
        <v>74</v>
      </c>
      <c r="E649" t="str">
        <f>"GAB2030187"</f>
        <v>GAB2030187</v>
      </c>
      <c r="F649" s="3">
        <v>45988</v>
      </c>
      <c r="G649">
        <v>202608</v>
      </c>
      <c r="H649" t="s">
        <v>75</v>
      </c>
      <c r="I649" t="s">
        <v>76</v>
      </c>
      <c r="J649" t="s">
        <v>77</v>
      </c>
      <c r="K649" t="s">
        <v>78</v>
      </c>
      <c r="L649" t="s">
        <v>1217</v>
      </c>
      <c r="M649" t="s">
        <v>1218</v>
      </c>
      <c r="N649" t="s">
        <v>1219</v>
      </c>
      <c r="O649" t="s">
        <v>124</v>
      </c>
      <c r="P649" t="str">
        <f>"INVOICE00041954 ORDGS038538   "</f>
        <v xml:space="preserve">INVOICE00041954 ORDGS038538   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50.78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0</v>
      </c>
      <c r="AY649">
        <v>0</v>
      </c>
      <c r="AZ649">
        <v>0</v>
      </c>
      <c r="BA649">
        <v>0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1</v>
      </c>
      <c r="BI649">
        <v>1</v>
      </c>
      <c r="BJ649">
        <v>2.4</v>
      </c>
      <c r="BK649">
        <v>2.5</v>
      </c>
      <c r="BL649">
        <v>166.2</v>
      </c>
      <c r="BM649">
        <v>24.93</v>
      </c>
      <c r="BN649">
        <v>191.13</v>
      </c>
      <c r="BO649">
        <v>191.13</v>
      </c>
      <c r="BQ649" t="s">
        <v>1752</v>
      </c>
      <c r="BR649" t="s">
        <v>84</v>
      </c>
      <c r="BS649" t="s">
        <v>305</v>
      </c>
      <c r="BV649" t="s">
        <v>89</v>
      </c>
      <c r="BY649">
        <v>12000</v>
      </c>
      <c r="BZ649" t="s">
        <v>126</v>
      </c>
      <c r="CC649" t="s">
        <v>1218</v>
      </c>
      <c r="CD649">
        <v>1438</v>
      </c>
      <c r="CE649" t="s">
        <v>843</v>
      </c>
      <c r="CI649">
        <v>1</v>
      </c>
      <c r="CJ649" t="s">
        <v>305</v>
      </c>
      <c r="CK649">
        <v>23</v>
      </c>
      <c r="CL649" t="s">
        <v>89</v>
      </c>
    </row>
    <row r="650" spans="1:90" x14ac:dyDescent="0.3">
      <c r="A650" t="s">
        <v>72</v>
      </c>
      <c r="B650" t="s">
        <v>73</v>
      </c>
      <c r="C650" t="s">
        <v>74</v>
      </c>
      <c r="E650" t="str">
        <f>"GAB2030191"</f>
        <v>GAB2030191</v>
      </c>
      <c r="F650" s="3">
        <v>45988</v>
      </c>
      <c r="G650">
        <v>202608</v>
      </c>
      <c r="H650" t="s">
        <v>75</v>
      </c>
      <c r="I650" t="s">
        <v>76</v>
      </c>
      <c r="J650" t="s">
        <v>77</v>
      </c>
      <c r="K650" t="s">
        <v>78</v>
      </c>
      <c r="L650" t="s">
        <v>292</v>
      </c>
      <c r="M650" t="s">
        <v>293</v>
      </c>
      <c r="N650" t="s">
        <v>404</v>
      </c>
      <c r="O650" t="s">
        <v>124</v>
      </c>
      <c r="P650" t="str">
        <f>"INVOICE00041968 ORDGS038555   "</f>
        <v xml:space="preserve">INVOICE00041968 ORDGS038555   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26.73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0</v>
      </c>
      <c r="AY650">
        <v>0</v>
      </c>
      <c r="AZ650">
        <v>0</v>
      </c>
      <c r="BA650">
        <v>0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1</v>
      </c>
      <c r="BI650">
        <v>1</v>
      </c>
      <c r="BJ650">
        <v>2.4</v>
      </c>
      <c r="BK650">
        <v>2.5</v>
      </c>
      <c r="BL650">
        <v>87.47</v>
      </c>
      <c r="BM650">
        <v>13.12</v>
      </c>
      <c r="BN650">
        <v>100.59</v>
      </c>
      <c r="BO650">
        <v>100.59</v>
      </c>
      <c r="BR650" t="s">
        <v>84</v>
      </c>
      <c r="BS650" t="s">
        <v>305</v>
      </c>
      <c r="BV650" t="s">
        <v>89</v>
      </c>
      <c r="BY650">
        <v>12000</v>
      </c>
      <c r="BZ650" t="s">
        <v>126</v>
      </c>
      <c r="CC650" t="s">
        <v>293</v>
      </c>
      <c r="CD650">
        <v>1449</v>
      </c>
      <c r="CE650" t="s">
        <v>843</v>
      </c>
      <c r="CI650">
        <v>1</v>
      </c>
      <c r="CJ650" t="s">
        <v>305</v>
      </c>
      <c r="CK650">
        <v>21</v>
      </c>
      <c r="CL650" t="s">
        <v>89</v>
      </c>
    </row>
    <row r="651" spans="1:90" x14ac:dyDescent="0.3">
      <c r="A651" t="s">
        <v>72</v>
      </c>
      <c r="B651" t="s">
        <v>73</v>
      </c>
      <c r="C651" t="s">
        <v>74</v>
      </c>
      <c r="E651" t="str">
        <f>"GAB2030192"</f>
        <v>GAB2030192</v>
      </c>
      <c r="F651" s="3">
        <v>45988</v>
      </c>
      <c r="G651">
        <v>202608</v>
      </c>
      <c r="H651" t="s">
        <v>75</v>
      </c>
      <c r="I651" t="s">
        <v>76</v>
      </c>
      <c r="J651" t="s">
        <v>77</v>
      </c>
      <c r="K651" t="s">
        <v>78</v>
      </c>
      <c r="L651" t="s">
        <v>1432</v>
      </c>
      <c r="M651" t="s">
        <v>1433</v>
      </c>
      <c r="N651" t="s">
        <v>1434</v>
      </c>
      <c r="O651" t="s">
        <v>124</v>
      </c>
      <c r="P651" t="str">
        <f>"INVOICE00123184 CT098539      "</f>
        <v xml:space="preserve">INVOICE00123184 CT098539      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78.849999999999994</v>
      </c>
      <c r="AR651">
        <v>0</v>
      </c>
      <c r="AS651">
        <v>0</v>
      </c>
      <c r="AT651">
        <v>0</v>
      </c>
      <c r="AU651">
        <v>0</v>
      </c>
      <c r="AV651">
        <v>0</v>
      </c>
      <c r="AW651">
        <v>16.739999999999998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1</v>
      </c>
      <c r="BI651">
        <v>1</v>
      </c>
      <c r="BJ651">
        <v>3.8</v>
      </c>
      <c r="BK651">
        <v>4</v>
      </c>
      <c r="BL651">
        <v>274.79000000000002</v>
      </c>
      <c r="BM651">
        <v>41.22</v>
      </c>
      <c r="BN651">
        <v>316.01</v>
      </c>
      <c r="BO651">
        <v>316.01</v>
      </c>
      <c r="BR651" t="s">
        <v>84</v>
      </c>
      <c r="BS651" t="s">
        <v>305</v>
      </c>
      <c r="BV651" t="s">
        <v>89</v>
      </c>
      <c r="BY651">
        <v>19200</v>
      </c>
      <c r="BZ651" t="s">
        <v>180</v>
      </c>
      <c r="CC651" t="s">
        <v>1433</v>
      </c>
      <c r="CD651">
        <v>1983</v>
      </c>
      <c r="CE651" t="s">
        <v>814</v>
      </c>
      <c r="CI651">
        <v>1</v>
      </c>
      <c r="CJ651" t="s">
        <v>305</v>
      </c>
      <c r="CK651">
        <v>23</v>
      </c>
      <c r="CL651" t="s">
        <v>89</v>
      </c>
    </row>
    <row r="652" spans="1:90" x14ac:dyDescent="0.3">
      <c r="A652" t="s">
        <v>72</v>
      </c>
      <c r="B652" t="s">
        <v>73</v>
      </c>
      <c r="C652" t="s">
        <v>74</v>
      </c>
      <c r="E652" t="str">
        <f>"GAB2030193"</f>
        <v>GAB2030193</v>
      </c>
      <c r="F652" s="3">
        <v>45988</v>
      </c>
      <c r="G652">
        <v>202608</v>
      </c>
      <c r="H652" t="s">
        <v>75</v>
      </c>
      <c r="I652" t="s">
        <v>76</v>
      </c>
      <c r="J652" t="s">
        <v>77</v>
      </c>
      <c r="K652" t="s">
        <v>78</v>
      </c>
      <c r="L652" t="s">
        <v>195</v>
      </c>
      <c r="M652" t="s">
        <v>196</v>
      </c>
      <c r="N652" t="s">
        <v>1269</v>
      </c>
      <c r="O652" t="s">
        <v>124</v>
      </c>
      <c r="P652" t="str">
        <f>"INVOICE00041970 ORDGS038562   "</f>
        <v xml:space="preserve">INVOICE00041970 ORDGS038562   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26.73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0</v>
      </c>
      <c r="AY652">
        <v>0</v>
      </c>
      <c r="AZ652">
        <v>0</v>
      </c>
      <c r="BA652">
        <v>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1</v>
      </c>
      <c r="BI652">
        <v>1</v>
      </c>
      <c r="BJ652">
        <v>2.4</v>
      </c>
      <c r="BK652">
        <v>2.5</v>
      </c>
      <c r="BL652">
        <v>87.47</v>
      </c>
      <c r="BM652">
        <v>13.12</v>
      </c>
      <c r="BN652">
        <v>100.59</v>
      </c>
      <c r="BO652">
        <v>100.59</v>
      </c>
      <c r="BQ652" t="s">
        <v>1270</v>
      </c>
      <c r="BR652" t="s">
        <v>84</v>
      </c>
      <c r="BS652" t="s">
        <v>305</v>
      </c>
      <c r="BV652" t="s">
        <v>89</v>
      </c>
      <c r="BY652">
        <v>12000</v>
      </c>
      <c r="BZ652" t="s">
        <v>126</v>
      </c>
      <c r="CC652" t="s">
        <v>196</v>
      </c>
      <c r="CD652">
        <v>1724</v>
      </c>
      <c r="CE652" t="s">
        <v>367</v>
      </c>
      <c r="CI652">
        <v>1</v>
      </c>
      <c r="CJ652" t="s">
        <v>305</v>
      </c>
      <c r="CK652">
        <v>21</v>
      </c>
      <c r="CL652" t="s">
        <v>89</v>
      </c>
    </row>
    <row r="653" spans="1:90" x14ac:dyDescent="0.3">
      <c r="A653" t="s">
        <v>72</v>
      </c>
      <c r="B653" t="s">
        <v>73</v>
      </c>
      <c r="C653" t="s">
        <v>74</v>
      </c>
      <c r="E653" t="str">
        <f>"GAB2030196"</f>
        <v>GAB2030196</v>
      </c>
      <c r="F653" s="3">
        <v>45988</v>
      </c>
      <c r="G653">
        <v>202608</v>
      </c>
      <c r="H653" t="s">
        <v>75</v>
      </c>
      <c r="I653" t="s">
        <v>76</v>
      </c>
      <c r="J653" t="s">
        <v>77</v>
      </c>
      <c r="K653" t="s">
        <v>78</v>
      </c>
      <c r="L653" t="s">
        <v>353</v>
      </c>
      <c r="M653" t="s">
        <v>354</v>
      </c>
      <c r="N653" t="s">
        <v>637</v>
      </c>
      <c r="O653" t="s">
        <v>124</v>
      </c>
      <c r="P653" t="str">
        <f>"INVOICE00041962 00041969 ORDGS"</f>
        <v>INVOICE00041962 00041969 ORDGS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50.78</v>
      </c>
      <c r="AR653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  <c r="AZ653">
        <v>0</v>
      </c>
      <c r="BA653">
        <v>0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1</v>
      </c>
      <c r="BI653">
        <v>1</v>
      </c>
      <c r="BJ653">
        <v>2.4</v>
      </c>
      <c r="BK653">
        <v>2.5</v>
      </c>
      <c r="BL653">
        <v>166.2</v>
      </c>
      <c r="BM653">
        <v>24.93</v>
      </c>
      <c r="BN653">
        <v>191.13</v>
      </c>
      <c r="BO653">
        <v>191.13</v>
      </c>
      <c r="BQ653" t="s">
        <v>1665</v>
      </c>
      <c r="BR653" t="s">
        <v>84</v>
      </c>
      <c r="BS653" t="s">
        <v>305</v>
      </c>
      <c r="BV653" t="s">
        <v>89</v>
      </c>
      <c r="BY653">
        <v>12000</v>
      </c>
      <c r="BZ653" t="s">
        <v>126</v>
      </c>
      <c r="CC653" t="s">
        <v>354</v>
      </c>
      <c r="CD653">
        <v>1035</v>
      </c>
      <c r="CE653" t="s">
        <v>843</v>
      </c>
      <c r="CI653">
        <v>1</v>
      </c>
      <c r="CJ653" t="s">
        <v>305</v>
      </c>
      <c r="CK653">
        <v>23</v>
      </c>
      <c r="CL653" t="s">
        <v>89</v>
      </c>
    </row>
    <row r="654" spans="1:90" x14ac:dyDescent="0.3">
      <c r="A654" t="s">
        <v>72</v>
      </c>
      <c r="B654" t="s">
        <v>73</v>
      </c>
      <c r="C654" t="s">
        <v>74</v>
      </c>
      <c r="E654" t="str">
        <f>"GAB2030198"</f>
        <v>GAB2030198</v>
      </c>
      <c r="F654" s="3">
        <v>45988</v>
      </c>
      <c r="G654">
        <v>202608</v>
      </c>
      <c r="H654" t="s">
        <v>75</v>
      </c>
      <c r="I654" t="s">
        <v>76</v>
      </c>
      <c r="J654" t="s">
        <v>77</v>
      </c>
      <c r="K654" t="s">
        <v>78</v>
      </c>
      <c r="L654" t="s">
        <v>162</v>
      </c>
      <c r="M654" t="s">
        <v>163</v>
      </c>
      <c r="N654" t="s">
        <v>1753</v>
      </c>
      <c r="O654" t="s">
        <v>124</v>
      </c>
      <c r="P654" t="str">
        <f>"INVOICE00123197 CT098546      "</f>
        <v xml:space="preserve">INVOICE00123197 CT098546      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21.38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0</v>
      </c>
      <c r="AX654">
        <v>0</v>
      </c>
      <c r="AY654">
        <v>0</v>
      </c>
      <c r="AZ654">
        <v>0</v>
      </c>
      <c r="BA654">
        <v>0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1</v>
      </c>
      <c r="BI654">
        <v>1</v>
      </c>
      <c r="BJ654">
        <v>1.4</v>
      </c>
      <c r="BK654">
        <v>1.5</v>
      </c>
      <c r="BL654">
        <v>69.98</v>
      </c>
      <c r="BM654">
        <v>10.5</v>
      </c>
      <c r="BN654">
        <v>80.48</v>
      </c>
      <c r="BO654">
        <v>80.48</v>
      </c>
      <c r="BR654" t="s">
        <v>84</v>
      </c>
      <c r="BS654" t="s">
        <v>305</v>
      </c>
      <c r="BV654" t="s">
        <v>89</v>
      </c>
      <c r="BY654">
        <v>7200</v>
      </c>
      <c r="BZ654" t="s">
        <v>126</v>
      </c>
      <c r="CC654" t="s">
        <v>163</v>
      </c>
      <c r="CD654">
        <v>6001</v>
      </c>
      <c r="CE654" t="s">
        <v>367</v>
      </c>
      <c r="CI654">
        <v>2</v>
      </c>
      <c r="CJ654" t="s">
        <v>305</v>
      </c>
      <c r="CK654">
        <v>21</v>
      </c>
      <c r="CL654" t="s">
        <v>89</v>
      </c>
    </row>
    <row r="655" spans="1:90" x14ac:dyDescent="0.3">
      <c r="A655" t="s">
        <v>72</v>
      </c>
      <c r="B655" t="s">
        <v>73</v>
      </c>
      <c r="C655" t="s">
        <v>74</v>
      </c>
      <c r="E655" t="str">
        <f>"GAB2030199"</f>
        <v>GAB2030199</v>
      </c>
      <c r="F655" s="3">
        <v>45988</v>
      </c>
      <c r="G655">
        <v>202608</v>
      </c>
      <c r="H655" t="s">
        <v>75</v>
      </c>
      <c r="I655" t="s">
        <v>76</v>
      </c>
      <c r="J655" t="s">
        <v>77</v>
      </c>
      <c r="K655" t="s">
        <v>78</v>
      </c>
      <c r="L655" t="s">
        <v>75</v>
      </c>
      <c r="M655" t="s">
        <v>76</v>
      </c>
      <c r="N655" t="s">
        <v>833</v>
      </c>
      <c r="O655" t="s">
        <v>124</v>
      </c>
      <c r="P655" t="str">
        <f>"INVOICE00123196 CT098544      "</f>
        <v xml:space="preserve">INVOICE00123196 CT098544      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16.7</v>
      </c>
      <c r="AR655">
        <v>0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0</v>
      </c>
      <c r="AY655">
        <v>0</v>
      </c>
      <c r="AZ655">
        <v>0</v>
      </c>
      <c r="BA655">
        <v>0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1</v>
      </c>
      <c r="BI655">
        <v>1</v>
      </c>
      <c r="BJ655">
        <v>2.4</v>
      </c>
      <c r="BK655">
        <v>3</v>
      </c>
      <c r="BL655">
        <v>54.66</v>
      </c>
      <c r="BM655">
        <v>8.1999999999999993</v>
      </c>
      <c r="BN655">
        <v>62.86</v>
      </c>
      <c r="BO655">
        <v>62.86</v>
      </c>
      <c r="BQ655" t="s">
        <v>834</v>
      </c>
      <c r="BR655" t="s">
        <v>84</v>
      </c>
      <c r="BS655" t="s">
        <v>305</v>
      </c>
      <c r="BV655" t="s">
        <v>89</v>
      </c>
      <c r="BY655">
        <v>12000</v>
      </c>
      <c r="BZ655" t="s">
        <v>126</v>
      </c>
      <c r="CC655" t="s">
        <v>76</v>
      </c>
      <c r="CD655">
        <v>7975</v>
      </c>
      <c r="CE655" t="s">
        <v>843</v>
      </c>
      <c r="CI655">
        <v>1</v>
      </c>
      <c r="CJ655" t="s">
        <v>305</v>
      </c>
      <c r="CK655">
        <v>22</v>
      </c>
      <c r="CL655" t="s">
        <v>89</v>
      </c>
    </row>
    <row r="656" spans="1:90" x14ac:dyDescent="0.3">
      <c r="A656" t="s">
        <v>72</v>
      </c>
      <c r="B656" t="s">
        <v>73</v>
      </c>
      <c r="C656" t="s">
        <v>74</v>
      </c>
      <c r="E656" t="str">
        <f>"GAB2030201"</f>
        <v>GAB2030201</v>
      </c>
      <c r="F656" s="3">
        <v>45988</v>
      </c>
      <c r="G656">
        <v>202608</v>
      </c>
      <c r="H656" t="s">
        <v>75</v>
      </c>
      <c r="I656" t="s">
        <v>76</v>
      </c>
      <c r="J656" t="s">
        <v>77</v>
      </c>
      <c r="K656" t="s">
        <v>78</v>
      </c>
      <c r="L656" t="s">
        <v>230</v>
      </c>
      <c r="M656" t="s">
        <v>231</v>
      </c>
      <c r="N656" t="s">
        <v>335</v>
      </c>
      <c r="O656" t="s">
        <v>124</v>
      </c>
      <c r="P656" t="str">
        <f>"INVOICE00041978 ORDGS038576   "</f>
        <v xml:space="preserve">INVOICE00041978 ORDGS038576   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21.38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1</v>
      </c>
      <c r="BI656">
        <v>1</v>
      </c>
      <c r="BJ656">
        <v>1.7</v>
      </c>
      <c r="BK656">
        <v>2</v>
      </c>
      <c r="BL656">
        <v>69.98</v>
      </c>
      <c r="BM656">
        <v>10.5</v>
      </c>
      <c r="BN656">
        <v>80.48</v>
      </c>
      <c r="BO656">
        <v>80.48</v>
      </c>
      <c r="BQ656" t="s">
        <v>1115</v>
      </c>
      <c r="BR656" t="s">
        <v>84</v>
      </c>
      <c r="BS656" s="3">
        <v>45989</v>
      </c>
      <c r="BT656" s="4">
        <v>0.3215277777777778</v>
      </c>
      <c r="BU656" t="s">
        <v>1754</v>
      </c>
      <c r="BV656" t="s">
        <v>86</v>
      </c>
      <c r="BY656">
        <v>8448</v>
      </c>
      <c r="BZ656" t="s">
        <v>126</v>
      </c>
      <c r="CA656">
        <v>9107126013089</v>
      </c>
      <c r="CC656" t="s">
        <v>231</v>
      </c>
      <c r="CD656" s="5" t="s">
        <v>235</v>
      </c>
      <c r="CE656" t="s">
        <v>1755</v>
      </c>
      <c r="CI656">
        <v>1</v>
      </c>
      <c r="CJ656">
        <v>1</v>
      </c>
      <c r="CK656">
        <v>21</v>
      </c>
      <c r="CL656" t="s">
        <v>89</v>
      </c>
    </row>
    <row r="657" spans="1:90" x14ac:dyDescent="0.3">
      <c r="A657" t="s">
        <v>72</v>
      </c>
      <c r="B657" t="s">
        <v>73</v>
      </c>
      <c r="C657" t="s">
        <v>74</v>
      </c>
      <c r="E657" t="str">
        <f>"GAB2030202"</f>
        <v>GAB2030202</v>
      </c>
      <c r="F657" s="3">
        <v>45988</v>
      </c>
      <c r="G657">
        <v>202608</v>
      </c>
      <c r="H657" t="s">
        <v>75</v>
      </c>
      <c r="I657" t="s">
        <v>76</v>
      </c>
      <c r="J657" t="s">
        <v>77</v>
      </c>
      <c r="K657" t="s">
        <v>78</v>
      </c>
      <c r="L657" t="s">
        <v>79</v>
      </c>
      <c r="M657" t="s">
        <v>80</v>
      </c>
      <c r="N657" t="s">
        <v>1037</v>
      </c>
      <c r="O657" t="s">
        <v>124</v>
      </c>
      <c r="P657" t="str">
        <f>"MICHELLE FICK                 "</f>
        <v xml:space="preserve">MICHELLE FICK                 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26.73</v>
      </c>
      <c r="AR657">
        <v>0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0</v>
      </c>
      <c r="AY657">
        <v>0</v>
      </c>
      <c r="AZ657">
        <v>0</v>
      </c>
      <c r="BA657">
        <v>0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1</v>
      </c>
      <c r="BI657">
        <v>1</v>
      </c>
      <c r="BJ657">
        <v>2.4</v>
      </c>
      <c r="BK657">
        <v>2.5</v>
      </c>
      <c r="BL657">
        <v>87.47</v>
      </c>
      <c r="BM657">
        <v>13.12</v>
      </c>
      <c r="BN657">
        <v>100.59</v>
      </c>
      <c r="BO657">
        <v>100.59</v>
      </c>
      <c r="BQ657" t="s">
        <v>322</v>
      </c>
      <c r="BR657" t="s">
        <v>84</v>
      </c>
      <c r="BS657" t="s">
        <v>305</v>
      </c>
      <c r="BV657" t="s">
        <v>89</v>
      </c>
      <c r="BY657">
        <v>12000</v>
      </c>
      <c r="BZ657" t="s">
        <v>126</v>
      </c>
      <c r="CC657" t="s">
        <v>80</v>
      </c>
      <c r="CD657" s="5" t="s">
        <v>87</v>
      </c>
      <c r="CE657" t="s">
        <v>1756</v>
      </c>
      <c r="CI657">
        <v>1</v>
      </c>
      <c r="CJ657" t="s">
        <v>305</v>
      </c>
      <c r="CK657">
        <v>21</v>
      </c>
      <c r="CL657" t="s">
        <v>89</v>
      </c>
    </row>
    <row r="658" spans="1:90" x14ac:dyDescent="0.3">
      <c r="A658" t="s">
        <v>72</v>
      </c>
      <c r="B658" t="s">
        <v>73</v>
      </c>
      <c r="C658" t="s">
        <v>74</v>
      </c>
      <c r="E658" t="str">
        <f>"GAB2030203"</f>
        <v>GAB2030203</v>
      </c>
      <c r="F658" s="3">
        <v>45988</v>
      </c>
      <c r="G658">
        <v>202608</v>
      </c>
      <c r="H658" t="s">
        <v>75</v>
      </c>
      <c r="I658" t="s">
        <v>76</v>
      </c>
      <c r="J658" t="s">
        <v>77</v>
      </c>
      <c r="K658" t="s">
        <v>78</v>
      </c>
      <c r="L658" t="s">
        <v>394</v>
      </c>
      <c r="M658" t="s">
        <v>395</v>
      </c>
      <c r="N658" t="s">
        <v>677</v>
      </c>
      <c r="O658" t="s">
        <v>124</v>
      </c>
      <c r="P658" t="str">
        <f>"INVOICE00041945 00041985 ORDGS"</f>
        <v>INVOICE00041945 00041985 ORDGS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78.849999999999994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0</v>
      </c>
      <c r="AX658">
        <v>0</v>
      </c>
      <c r="AY658">
        <v>0</v>
      </c>
      <c r="AZ658">
        <v>0</v>
      </c>
      <c r="BA658">
        <v>0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1</v>
      </c>
      <c r="BI658">
        <v>1</v>
      </c>
      <c r="BJ658">
        <v>3.8</v>
      </c>
      <c r="BK658">
        <v>4</v>
      </c>
      <c r="BL658">
        <v>258.05</v>
      </c>
      <c r="BM658">
        <v>38.71</v>
      </c>
      <c r="BN658">
        <v>296.76</v>
      </c>
      <c r="BO658">
        <v>296.76</v>
      </c>
      <c r="BQ658" t="s">
        <v>1757</v>
      </c>
      <c r="BR658" t="s">
        <v>84</v>
      </c>
      <c r="BS658" t="s">
        <v>305</v>
      </c>
      <c r="BV658" t="s">
        <v>89</v>
      </c>
      <c r="BY658">
        <v>19200</v>
      </c>
      <c r="BZ658" t="s">
        <v>126</v>
      </c>
      <c r="CC658" t="s">
        <v>395</v>
      </c>
      <c r="CD658" s="5" t="s">
        <v>399</v>
      </c>
      <c r="CE658" t="s">
        <v>953</v>
      </c>
      <c r="CI658">
        <v>2</v>
      </c>
      <c r="CJ658" t="s">
        <v>305</v>
      </c>
      <c r="CK658">
        <v>23</v>
      </c>
      <c r="CL658" t="s">
        <v>89</v>
      </c>
    </row>
    <row r="659" spans="1:90" x14ac:dyDescent="0.3">
      <c r="A659" t="s">
        <v>72</v>
      </c>
      <c r="B659" t="s">
        <v>73</v>
      </c>
      <c r="C659" t="s">
        <v>74</v>
      </c>
      <c r="E659" t="str">
        <f>"GAB2030204"</f>
        <v>GAB2030204</v>
      </c>
      <c r="F659" s="3">
        <v>45988</v>
      </c>
      <c r="G659">
        <v>202608</v>
      </c>
      <c r="H659" t="s">
        <v>75</v>
      </c>
      <c r="I659" t="s">
        <v>76</v>
      </c>
      <c r="J659" t="s">
        <v>77</v>
      </c>
      <c r="K659" t="s">
        <v>78</v>
      </c>
      <c r="L659" t="s">
        <v>79</v>
      </c>
      <c r="M659" t="s">
        <v>80</v>
      </c>
      <c r="N659" t="s">
        <v>1037</v>
      </c>
      <c r="O659" t="s">
        <v>124</v>
      </c>
      <c r="P659" t="str">
        <f>"INVOICE00123201 CT098547      "</f>
        <v xml:space="preserve">INVOICE00123201 CT098547      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21.38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0</v>
      </c>
      <c r="AY659">
        <v>0</v>
      </c>
      <c r="AZ659">
        <v>0</v>
      </c>
      <c r="BA659">
        <v>0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1</v>
      </c>
      <c r="BI659">
        <v>1</v>
      </c>
      <c r="BJ659">
        <v>1.7</v>
      </c>
      <c r="BK659">
        <v>2</v>
      </c>
      <c r="BL659">
        <v>69.98</v>
      </c>
      <c r="BM659">
        <v>10.5</v>
      </c>
      <c r="BN659">
        <v>80.48</v>
      </c>
      <c r="BO659">
        <v>80.48</v>
      </c>
      <c r="BR659" t="s">
        <v>84</v>
      </c>
      <c r="BS659" t="s">
        <v>305</v>
      </c>
      <c r="BV659" t="s">
        <v>89</v>
      </c>
      <c r="BY659">
        <v>8448</v>
      </c>
      <c r="BZ659" t="s">
        <v>126</v>
      </c>
      <c r="CC659" t="s">
        <v>80</v>
      </c>
      <c r="CD659" s="5" t="s">
        <v>87</v>
      </c>
      <c r="CE659" t="s">
        <v>1758</v>
      </c>
      <c r="CI659">
        <v>1</v>
      </c>
      <c r="CJ659" t="s">
        <v>305</v>
      </c>
      <c r="CK659">
        <v>21</v>
      </c>
      <c r="CL659" t="s">
        <v>89</v>
      </c>
    </row>
    <row r="660" spans="1:90" x14ac:dyDescent="0.3">
      <c r="A660" t="s">
        <v>72</v>
      </c>
      <c r="B660" t="s">
        <v>73</v>
      </c>
      <c r="C660" t="s">
        <v>74</v>
      </c>
      <c r="E660" t="str">
        <f>"GAB2030205"</f>
        <v>GAB2030205</v>
      </c>
      <c r="F660" s="3">
        <v>45988</v>
      </c>
      <c r="G660">
        <v>202608</v>
      </c>
      <c r="H660" t="s">
        <v>75</v>
      </c>
      <c r="I660" t="s">
        <v>76</v>
      </c>
      <c r="J660" t="s">
        <v>77</v>
      </c>
      <c r="K660" t="s">
        <v>78</v>
      </c>
      <c r="L660" t="s">
        <v>169</v>
      </c>
      <c r="M660" t="s">
        <v>170</v>
      </c>
      <c r="N660" t="s">
        <v>1314</v>
      </c>
      <c r="O660" t="s">
        <v>124</v>
      </c>
      <c r="P660" t="str">
        <f>"INVOICE00041984 ORDGS038569   "</f>
        <v xml:space="preserve">INVOICE00041984 ORDGS038569   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26.73</v>
      </c>
      <c r="AR660">
        <v>0</v>
      </c>
      <c r="AS660">
        <v>0</v>
      </c>
      <c r="AT660">
        <v>0</v>
      </c>
      <c r="AU660">
        <v>0</v>
      </c>
      <c r="AV660">
        <v>0</v>
      </c>
      <c r="AW660">
        <v>0</v>
      </c>
      <c r="AX660">
        <v>0</v>
      </c>
      <c r="AY660">
        <v>0</v>
      </c>
      <c r="AZ660">
        <v>0</v>
      </c>
      <c r="BA660">
        <v>0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1</v>
      </c>
      <c r="BI660">
        <v>1</v>
      </c>
      <c r="BJ660">
        <v>2.4</v>
      </c>
      <c r="BK660">
        <v>2.5</v>
      </c>
      <c r="BL660">
        <v>87.47</v>
      </c>
      <c r="BM660">
        <v>13.12</v>
      </c>
      <c r="BN660">
        <v>100.59</v>
      </c>
      <c r="BO660">
        <v>100.59</v>
      </c>
      <c r="BQ660" t="s">
        <v>948</v>
      </c>
      <c r="BR660" t="s">
        <v>84</v>
      </c>
      <c r="BS660" t="s">
        <v>305</v>
      </c>
      <c r="BV660" t="s">
        <v>89</v>
      </c>
      <c r="BY660">
        <v>12000</v>
      </c>
      <c r="BZ660" t="s">
        <v>126</v>
      </c>
      <c r="CC660" t="s">
        <v>170</v>
      </c>
      <c r="CD660">
        <v>2000</v>
      </c>
      <c r="CE660" t="s">
        <v>843</v>
      </c>
      <c r="CI660">
        <v>1</v>
      </c>
      <c r="CJ660" t="s">
        <v>305</v>
      </c>
      <c r="CK660">
        <v>21</v>
      </c>
      <c r="CL660" t="s">
        <v>89</v>
      </c>
    </row>
    <row r="661" spans="1:90" x14ac:dyDescent="0.3">
      <c r="A661" t="s">
        <v>72</v>
      </c>
      <c r="B661" t="s">
        <v>73</v>
      </c>
      <c r="C661" t="s">
        <v>74</v>
      </c>
      <c r="E661" t="str">
        <f>"GAB2030206"</f>
        <v>GAB2030206</v>
      </c>
      <c r="F661" s="3">
        <v>45988</v>
      </c>
      <c r="G661">
        <v>202608</v>
      </c>
      <c r="H661" t="s">
        <v>75</v>
      </c>
      <c r="I661" t="s">
        <v>76</v>
      </c>
      <c r="J661" t="s">
        <v>77</v>
      </c>
      <c r="K661" t="s">
        <v>78</v>
      </c>
      <c r="L661" t="s">
        <v>169</v>
      </c>
      <c r="M661" t="s">
        <v>170</v>
      </c>
      <c r="N661" t="s">
        <v>926</v>
      </c>
      <c r="O661" t="s">
        <v>124</v>
      </c>
      <c r="P661" t="str">
        <f>"INVOICE00041990 ORDGS038584   "</f>
        <v xml:space="preserve">INVOICE00041990 ORDGS038584   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42.75</v>
      </c>
      <c r="AR661">
        <v>0</v>
      </c>
      <c r="AS661">
        <v>0</v>
      </c>
      <c r="AT661">
        <v>0</v>
      </c>
      <c r="AU661">
        <v>0</v>
      </c>
      <c r="AV661">
        <v>0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1</v>
      </c>
      <c r="BI661">
        <v>1</v>
      </c>
      <c r="BJ661">
        <v>3.8</v>
      </c>
      <c r="BK661">
        <v>4</v>
      </c>
      <c r="BL661">
        <v>139.91</v>
      </c>
      <c r="BM661">
        <v>20.99</v>
      </c>
      <c r="BN661">
        <v>160.9</v>
      </c>
      <c r="BO661">
        <v>160.9</v>
      </c>
      <c r="BQ661" t="s">
        <v>927</v>
      </c>
      <c r="BR661" t="s">
        <v>84</v>
      </c>
      <c r="BS661" t="s">
        <v>305</v>
      </c>
      <c r="BV661" t="s">
        <v>89</v>
      </c>
      <c r="BY661">
        <v>19200</v>
      </c>
      <c r="BZ661" t="s">
        <v>126</v>
      </c>
      <c r="CC661" t="s">
        <v>170</v>
      </c>
      <c r="CD661">
        <v>2055</v>
      </c>
      <c r="CE661" t="s">
        <v>912</v>
      </c>
      <c r="CI661">
        <v>1</v>
      </c>
      <c r="CJ661" t="s">
        <v>305</v>
      </c>
      <c r="CK661">
        <v>21</v>
      </c>
      <c r="CL661" t="s">
        <v>89</v>
      </c>
    </row>
    <row r="662" spans="1:90" x14ac:dyDescent="0.3">
      <c r="A662" t="s">
        <v>72</v>
      </c>
      <c r="B662" t="s">
        <v>73</v>
      </c>
      <c r="C662" t="s">
        <v>74</v>
      </c>
      <c r="E662" t="str">
        <f>"GAB2030207"</f>
        <v>GAB2030207</v>
      </c>
      <c r="F662" s="3">
        <v>45988</v>
      </c>
      <c r="G662">
        <v>202608</v>
      </c>
      <c r="H662" t="s">
        <v>75</v>
      </c>
      <c r="I662" t="s">
        <v>76</v>
      </c>
      <c r="J662" t="s">
        <v>77</v>
      </c>
      <c r="K662" t="s">
        <v>78</v>
      </c>
      <c r="L662" t="s">
        <v>75</v>
      </c>
      <c r="M662" t="s">
        <v>76</v>
      </c>
      <c r="N662" t="s">
        <v>1759</v>
      </c>
      <c r="O662" t="s">
        <v>124</v>
      </c>
      <c r="P662" t="str">
        <f>"INVOICE00123190 CT098543      "</f>
        <v xml:space="preserve">INVOICE00123190 CT098543      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16.7</v>
      </c>
      <c r="AR662">
        <v>0</v>
      </c>
      <c r="AS662">
        <v>0</v>
      </c>
      <c r="AT662">
        <v>0</v>
      </c>
      <c r="AU662">
        <v>0</v>
      </c>
      <c r="AV662">
        <v>0</v>
      </c>
      <c r="AW662">
        <v>0</v>
      </c>
      <c r="AX662">
        <v>0</v>
      </c>
      <c r="AY662">
        <v>0</v>
      </c>
      <c r="AZ662">
        <v>0</v>
      </c>
      <c r="BA662">
        <v>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1</v>
      </c>
      <c r="BI662">
        <v>1</v>
      </c>
      <c r="BJ662">
        <v>1.7</v>
      </c>
      <c r="BK662">
        <v>2</v>
      </c>
      <c r="BL662">
        <v>54.66</v>
      </c>
      <c r="BM662">
        <v>8.1999999999999993</v>
      </c>
      <c r="BN662">
        <v>62.86</v>
      </c>
      <c r="BO662">
        <v>62.86</v>
      </c>
      <c r="BR662" t="s">
        <v>84</v>
      </c>
      <c r="BS662" t="s">
        <v>305</v>
      </c>
      <c r="BV662" t="s">
        <v>89</v>
      </c>
      <c r="BY662">
        <v>8448</v>
      </c>
      <c r="BZ662" t="s">
        <v>126</v>
      </c>
      <c r="CC662" t="s">
        <v>76</v>
      </c>
      <c r="CD662">
        <v>7441</v>
      </c>
      <c r="CE662" t="s">
        <v>1760</v>
      </c>
      <c r="CI662">
        <v>1</v>
      </c>
      <c r="CJ662" t="s">
        <v>305</v>
      </c>
      <c r="CK662">
        <v>22</v>
      </c>
      <c r="CL662" t="s">
        <v>89</v>
      </c>
    </row>
    <row r="663" spans="1:90" x14ac:dyDescent="0.3">
      <c r="A663" t="s">
        <v>72</v>
      </c>
      <c r="B663" t="s">
        <v>73</v>
      </c>
      <c r="C663" t="s">
        <v>74</v>
      </c>
      <c r="E663" t="str">
        <f>"009945158470"</f>
        <v>009945158470</v>
      </c>
      <c r="F663" s="3">
        <v>45988</v>
      </c>
      <c r="G663">
        <v>202608</v>
      </c>
      <c r="H663" t="s">
        <v>230</v>
      </c>
      <c r="I663" t="s">
        <v>231</v>
      </c>
      <c r="J663" t="s">
        <v>236</v>
      </c>
      <c r="K663" t="s">
        <v>78</v>
      </c>
      <c r="L663" t="s">
        <v>90</v>
      </c>
      <c r="M663" t="s">
        <v>91</v>
      </c>
      <c r="N663" t="s">
        <v>1761</v>
      </c>
      <c r="O663" t="s">
        <v>82</v>
      </c>
      <c r="P663" t="str">
        <f>"NO REF                        "</f>
        <v xml:space="preserve">NO REF                        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5.87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41.35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0</v>
      </c>
      <c r="AY663">
        <v>0</v>
      </c>
      <c r="AZ663">
        <v>0</v>
      </c>
      <c r="BA663">
        <v>0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1</v>
      </c>
      <c r="BI663">
        <v>1</v>
      </c>
      <c r="BJ663">
        <v>0.2</v>
      </c>
      <c r="BK663">
        <v>1</v>
      </c>
      <c r="BL663">
        <v>141.19999999999999</v>
      </c>
      <c r="BM663">
        <v>21.18</v>
      </c>
      <c r="BN663">
        <v>162.38</v>
      </c>
      <c r="BO663">
        <v>162.38</v>
      </c>
      <c r="BQ663" t="s">
        <v>1429</v>
      </c>
      <c r="BR663" t="s">
        <v>254</v>
      </c>
      <c r="BS663" t="s">
        <v>305</v>
      </c>
      <c r="BV663" t="s">
        <v>89</v>
      </c>
      <c r="BY663">
        <v>1200</v>
      </c>
      <c r="BZ663" t="s">
        <v>505</v>
      </c>
      <c r="CC663" t="s">
        <v>91</v>
      </c>
      <c r="CD663">
        <v>4000</v>
      </c>
      <c r="CE663" t="s">
        <v>245</v>
      </c>
      <c r="CI663">
        <v>1</v>
      </c>
      <c r="CJ663" t="s">
        <v>305</v>
      </c>
      <c r="CK663">
        <v>41</v>
      </c>
      <c r="CL663" t="s">
        <v>89</v>
      </c>
    </row>
    <row r="664" spans="1:90" x14ac:dyDescent="0.3">
      <c r="A664" t="s">
        <v>72</v>
      </c>
      <c r="B664" t="s">
        <v>73</v>
      </c>
      <c r="C664" t="s">
        <v>74</v>
      </c>
      <c r="E664" t="str">
        <f>"009945158472"</f>
        <v>009945158472</v>
      </c>
      <c r="F664" s="3">
        <v>45988</v>
      </c>
      <c r="G664">
        <v>202608</v>
      </c>
      <c r="H664" t="s">
        <v>230</v>
      </c>
      <c r="I664" t="s">
        <v>231</v>
      </c>
      <c r="J664" t="s">
        <v>236</v>
      </c>
      <c r="K664" t="s">
        <v>78</v>
      </c>
      <c r="L664" t="s">
        <v>75</v>
      </c>
      <c r="M664" t="s">
        <v>76</v>
      </c>
      <c r="N664" t="s">
        <v>236</v>
      </c>
      <c r="O664" t="s">
        <v>124</v>
      </c>
      <c r="P664" t="str">
        <f>"NO REF                        "</f>
        <v xml:space="preserve">NO REF                        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21.38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0</v>
      </c>
      <c r="AY664">
        <v>0</v>
      </c>
      <c r="AZ664">
        <v>0</v>
      </c>
      <c r="BA664">
        <v>0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1</v>
      </c>
      <c r="BI664">
        <v>1</v>
      </c>
      <c r="BJ664">
        <v>0.2</v>
      </c>
      <c r="BK664">
        <v>1</v>
      </c>
      <c r="BL664">
        <v>69.98</v>
      </c>
      <c r="BM664">
        <v>10.5</v>
      </c>
      <c r="BN664">
        <v>80.48</v>
      </c>
      <c r="BO664">
        <v>80.48</v>
      </c>
      <c r="BQ664" t="s">
        <v>1762</v>
      </c>
      <c r="BR664" t="s">
        <v>323</v>
      </c>
      <c r="BS664" t="s">
        <v>305</v>
      </c>
      <c r="BV664" t="s">
        <v>89</v>
      </c>
      <c r="BY664">
        <v>1200</v>
      </c>
      <c r="BZ664" t="s">
        <v>126</v>
      </c>
      <c r="CC664" t="s">
        <v>76</v>
      </c>
      <c r="CD664">
        <v>7460</v>
      </c>
      <c r="CE664" t="s">
        <v>245</v>
      </c>
      <c r="CI664">
        <v>1</v>
      </c>
      <c r="CJ664" t="s">
        <v>305</v>
      </c>
      <c r="CK664">
        <v>21</v>
      </c>
      <c r="CL664" t="s">
        <v>89</v>
      </c>
    </row>
    <row r="665" spans="1:90" x14ac:dyDescent="0.3">
      <c r="A665" t="s">
        <v>72</v>
      </c>
      <c r="B665" t="s">
        <v>73</v>
      </c>
      <c r="C665" t="s">
        <v>74</v>
      </c>
      <c r="E665" t="str">
        <f>"009945158471"</f>
        <v>009945158471</v>
      </c>
      <c r="F665" s="3">
        <v>45988</v>
      </c>
      <c r="G665">
        <v>202608</v>
      </c>
      <c r="H665" t="s">
        <v>230</v>
      </c>
      <c r="I665" t="s">
        <v>231</v>
      </c>
      <c r="J665" t="s">
        <v>236</v>
      </c>
      <c r="K665" t="s">
        <v>78</v>
      </c>
      <c r="L665" t="s">
        <v>90</v>
      </c>
      <c r="M665" t="s">
        <v>91</v>
      </c>
      <c r="N665" t="s">
        <v>236</v>
      </c>
      <c r="O665" t="s">
        <v>124</v>
      </c>
      <c r="P665" t="str">
        <f>"NO REF                        "</f>
        <v xml:space="preserve">NO REF                        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0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21.38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0</v>
      </c>
      <c r="AX665">
        <v>0</v>
      </c>
      <c r="AY665">
        <v>0</v>
      </c>
      <c r="AZ665">
        <v>0</v>
      </c>
      <c r="BA665">
        <v>0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1</v>
      </c>
      <c r="BI665">
        <v>1</v>
      </c>
      <c r="BJ665">
        <v>0.2</v>
      </c>
      <c r="BK665">
        <v>1</v>
      </c>
      <c r="BL665">
        <v>69.98</v>
      </c>
      <c r="BM665">
        <v>10.5</v>
      </c>
      <c r="BN665">
        <v>80.48</v>
      </c>
      <c r="BO665">
        <v>80.48</v>
      </c>
      <c r="BQ665" t="s">
        <v>1763</v>
      </c>
      <c r="BR665" t="s">
        <v>503</v>
      </c>
      <c r="BS665" t="s">
        <v>305</v>
      </c>
      <c r="BV665" t="s">
        <v>89</v>
      </c>
      <c r="BY665">
        <v>1200</v>
      </c>
      <c r="BZ665" t="s">
        <v>126</v>
      </c>
      <c r="CC665" t="s">
        <v>91</v>
      </c>
      <c r="CD665">
        <v>4001</v>
      </c>
      <c r="CE665" t="s">
        <v>245</v>
      </c>
      <c r="CI665">
        <v>1</v>
      </c>
      <c r="CJ665" t="s">
        <v>305</v>
      </c>
      <c r="CK665">
        <v>21</v>
      </c>
      <c r="CL66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sdrascd7-IENOMKE129180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2025-11-28T07:16:56Z</dcterms:created>
  <dcterms:modified xsi:type="dcterms:W3CDTF">2025-11-28T07:17:07Z</dcterms:modified>
</cp:coreProperties>
</file>