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G226" i="1"/>
  <c r="F226"/>
  <c r="G225"/>
  <c r="F225"/>
  <c r="G221"/>
  <c r="F221"/>
  <c r="G202"/>
  <c r="F202"/>
  <c r="G23"/>
  <c r="F23"/>
  <c r="M275"/>
  <c r="L275"/>
  <c r="K274"/>
  <c r="J274"/>
  <c r="G274"/>
  <c r="F274"/>
  <c r="C274"/>
  <c r="K273"/>
  <c r="J273"/>
  <c r="G273"/>
  <c r="F273"/>
  <c r="C273"/>
  <c r="K272"/>
  <c r="J272"/>
  <c r="G272"/>
  <c r="F272"/>
  <c r="C272"/>
  <c r="K271"/>
  <c r="J271"/>
  <c r="G271"/>
  <c r="F271"/>
  <c r="C271"/>
  <c r="K270"/>
  <c r="J270"/>
  <c r="G270"/>
  <c r="F270"/>
  <c r="C270"/>
  <c r="K269"/>
  <c r="J269"/>
  <c r="G269"/>
  <c r="F269"/>
  <c r="C269"/>
  <c r="K268"/>
  <c r="J268"/>
  <c r="G268"/>
  <c r="F268"/>
  <c r="C268"/>
  <c r="K267"/>
  <c r="J267"/>
  <c r="G267"/>
  <c r="F267"/>
  <c r="C267"/>
  <c r="K266"/>
  <c r="J266"/>
  <c r="G266"/>
  <c r="F266"/>
  <c r="C266"/>
  <c r="K265"/>
  <c r="J265"/>
  <c r="G265"/>
  <c r="F265"/>
  <c r="C265"/>
  <c r="K264"/>
  <c r="J264"/>
  <c r="G264"/>
  <c r="F264"/>
  <c r="C264"/>
  <c r="K263"/>
  <c r="J263"/>
  <c r="G263"/>
  <c r="F263"/>
  <c r="C263"/>
  <c r="K262"/>
  <c r="J262"/>
  <c r="G262"/>
  <c r="F262"/>
  <c r="C262"/>
  <c r="K261"/>
  <c r="J261"/>
  <c r="G261"/>
  <c r="F261"/>
  <c r="C261"/>
  <c r="K260"/>
  <c r="J260"/>
  <c r="G260"/>
  <c r="F260"/>
  <c r="C260"/>
  <c r="K259"/>
  <c r="J259"/>
  <c r="G259"/>
  <c r="F259"/>
  <c r="C259"/>
  <c r="K258"/>
  <c r="J258"/>
  <c r="G258"/>
  <c r="F258"/>
  <c r="C258"/>
  <c r="K257"/>
  <c r="J257"/>
  <c r="G257"/>
  <c r="F257"/>
  <c r="C257"/>
  <c r="K256"/>
  <c r="J256"/>
  <c r="G256"/>
  <c r="F256"/>
  <c r="C256"/>
  <c r="K255"/>
  <c r="J255"/>
  <c r="G255"/>
  <c r="F255"/>
  <c r="C255"/>
  <c r="K254"/>
  <c r="J254"/>
  <c r="G254"/>
  <c r="F254"/>
  <c r="C254"/>
  <c r="K253"/>
  <c r="J253"/>
  <c r="G253"/>
  <c r="F253"/>
  <c r="C253"/>
  <c r="K252"/>
  <c r="J252"/>
  <c r="G252"/>
  <c r="F252"/>
  <c r="C252"/>
  <c r="K251"/>
  <c r="J251"/>
  <c r="G251"/>
  <c r="F251"/>
  <c r="C251"/>
  <c r="K250"/>
  <c r="J250"/>
  <c r="G250"/>
  <c r="F250"/>
  <c r="C250"/>
  <c r="K249"/>
  <c r="J249"/>
  <c r="G249"/>
  <c r="F249"/>
  <c r="C249"/>
  <c r="K248"/>
  <c r="J248"/>
  <c r="G248"/>
  <c r="F248"/>
  <c r="C248"/>
  <c r="K247"/>
  <c r="J247"/>
  <c r="G247"/>
  <c r="F247"/>
  <c r="C247"/>
  <c r="K246"/>
  <c r="J246"/>
  <c r="G246"/>
  <c r="F246"/>
  <c r="C246"/>
  <c r="K245"/>
  <c r="J245"/>
  <c r="G245"/>
  <c r="F245"/>
  <c r="C245"/>
  <c r="K244"/>
  <c r="J244"/>
  <c r="G244"/>
  <c r="F244"/>
  <c r="C244"/>
  <c r="K243"/>
  <c r="J243"/>
  <c r="G243"/>
  <c r="F243"/>
  <c r="C243"/>
  <c r="K242"/>
  <c r="J242"/>
  <c r="G242"/>
  <c r="F242"/>
  <c r="C242"/>
  <c r="K241"/>
  <c r="J241"/>
  <c r="G241"/>
  <c r="F241"/>
  <c r="C241"/>
  <c r="K240"/>
  <c r="J240"/>
  <c r="G240"/>
  <c r="F240"/>
  <c r="C240"/>
  <c r="K239"/>
  <c r="J239"/>
  <c r="G239"/>
  <c r="F239"/>
  <c r="C239"/>
  <c r="K238"/>
  <c r="J238"/>
  <c r="G238"/>
  <c r="F238"/>
  <c r="C238"/>
  <c r="K237"/>
  <c r="J237"/>
  <c r="G237"/>
  <c r="F237"/>
  <c r="C237"/>
  <c r="K236"/>
  <c r="J236"/>
  <c r="G236"/>
  <c r="F236"/>
  <c r="C236"/>
  <c r="K235"/>
  <c r="J235"/>
  <c r="G235"/>
  <c r="F235"/>
  <c r="C235"/>
  <c r="K234"/>
  <c r="J234"/>
  <c r="G234"/>
  <c r="F234"/>
  <c r="C234"/>
  <c r="K233"/>
  <c r="J233"/>
  <c r="G233"/>
  <c r="F233"/>
  <c r="C233"/>
  <c r="K232"/>
  <c r="J232"/>
  <c r="G232"/>
  <c r="F232"/>
  <c r="C232"/>
  <c r="K231"/>
  <c r="J231"/>
  <c r="G231"/>
  <c r="F231"/>
  <c r="C231"/>
  <c r="K230"/>
  <c r="J230"/>
  <c r="G230"/>
  <c r="F230"/>
  <c r="C230"/>
  <c r="K229"/>
  <c r="J229"/>
  <c r="G229"/>
  <c r="F229"/>
  <c r="C229"/>
  <c r="K228"/>
  <c r="J228"/>
  <c r="G228"/>
  <c r="F228"/>
  <c r="C228"/>
  <c r="K227"/>
  <c r="J227"/>
  <c r="G227"/>
  <c r="F227"/>
  <c r="C227"/>
  <c r="K226"/>
  <c r="C226"/>
  <c r="K225"/>
  <c r="C225"/>
  <c r="K224"/>
  <c r="J224"/>
  <c r="G224"/>
  <c r="F224"/>
  <c r="C224"/>
  <c r="K223"/>
  <c r="J223"/>
  <c r="G223"/>
  <c r="F223"/>
  <c r="C223"/>
  <c r="K222"/>
  <c r="J222"/>
  <c r="G222"/>
  <c r="F222"/>
  <c r="C222"/>
  <c r="K221"/>
  <c r="C221"/>
  <c r="K220"/>
  <c r="J220"/>
  <c r="G220"/>
  <c r="F220"/>
  <c r="C220"/>
  <c r="K219"/>
  <c r="J219"/>
  <c r="G219"/>
  <c r="F219"/>
  <c r="C219"/>
  <c r="K218"/>
  <c r="J218"/>
  <c r="G218"/>
  <c r="F218"/>
  <c r="C218"/>
  <c r="K217"/>
  <c r="J217"/>
  <c r="G217"/>
  <c r="F217"/>
  <c r="C217"/>
  <c r="K216"/>
  <c r="J216"/>
  <c r="G216"/>
  <c r="F216"/>
  <c r="C216"/>
  <c r="K215"/>
  <c r="J215"/>
  <c r="G215"/>
  <c r="F215"/>
  <c r="C215"/>
  <c r="K214"/>
  <c r="J214"/>
  <c r="G214"/>
  <c r="F214"/>
  <c r="C214"/>
  <c r="K213"/>
  <c r="J213"/>
  <c r="G213"/>
  <c r="F213"/>
  <c r="C213"/>
  <c r="K212"/>
  <c r="J212"/>
  <c r="G212"/>
  <c r="F212"/>
  <c r="C212"/>
  <c r="K211"/>
  <c r="J211"/>
  <c r="G211"/>
  <c r="F211"/>
  <c r="C211"/>
  <c r="K210"/>
  <c r="J210"/>
  <c r="G210"/>
  <c r="F210"/>
  <c r="C210"/>
  <c r="K209"/>
  <c r="J209"/>
  <c r="G209"/>
  <c r="F209"/>
  <c r="C209"/>
  <c r="K208"/>
  <c r="J208"/>
  <c r="G208"/>
  <c r="F208"/>
  <c r="C208"/>
  <c r="K207"/>
  <c r="J207"/>
  <c r="G207"/>
  <c r="F207"/>
  <c r="C207"/>
  <c r="K206"/>
  <c r="J206"/>
  <c r="G206"/>
  <c r="F206"/>
  <c r="C206"/>
  <c r="K205"/>
  <c r="J205"/>
  <c r="G205"/>
  <c r="F205"/>
  <c r="C205"/>
  <c r="K204"/>
  <c r="J204"/>
  <c r="G204"/>
  <c r="F204"/>
  <c r="C204"/>
  <c r="K203"/>
  <c r="J203"/>
  <c r="G203"/>
  <c r="F203"/>
  <c r="C203"/>
  <c r="K202"/>
  <c r="C202"/>
  <c r="K201"/>
  <c r="J201"/>
  <c r="G201"/>
  <c r="F201"/>
  <c r="C201"/>
  <c r="K200"/>
  <c r="J200"/>
  <c r="G200"/>
  <c r="F200"/>
  <c r="C200"/>
  <c r="K199"/>
  <c r="J199"/>
  <c r="G199"/>
  <c r="F199"/>
  <c r="C199"/>
  <c r="K198"/>
  <c r="J198"/>
  <c r="G198"/>
  <c r="F198"/>
  <c r="C198"/>
  <c r="K197"/>
  <c r="J197"/>
  <c r="G197"/>
  <c r="F197"/>
  <c r="C197"/>
  <c r="K196"/>
  <c r="J196"/>
  <c r="G196"/>
  <c r="F196"/>
  <c r="C196"/>
  <c r="K195"/>
  <c r="J195"/>
  <c r="G195"/>
  <c r="F195"/>
  <c r="C195"/>
  <c r="K194"/>
  <c r="J194"/>
  <c r="G194"/>
  <c r="F194"/>
  <c r="C194"/>
  <c r="K193"/>
  <c r="J193"/>
  <c r="G193"/>
  <c r="F193"/>
  <c r="C193"/>
  <c r="K192"/>
  <c r="J192"/>
  <c r="G192"/>
  <c r="F192"/>
  <c r="C192"/>
  <c r="K191"/>
  <c r="J191"/>
  <c r="G191"/>
  <c r="F191"/>
  <c r="C191"/>
  <c r="K190"/>
  <c r="J190"/>
  <c r="G190"/>
  <c r="F190"/>
  <c r="C190"/>
  <c r="K189"/>
  <c r="J189"/>
  <c r="G189"/>
  <c r="F189"/>
  <c r="C189"/>
  <c r="K188"/>
  <c r="J188"/>
  <c r="G188"/>
  <c r="F188"/>
  <c r="C188"/>
  <c r="K187"/>
  <c r="J187"/>
  <c r="G187"/>
  <c r="F187"/>
  <c r="C187"/>
  <c r="K186"/>
  <c r="J186"/>
  <c r="G186"/>
  <c r="F186"/>
  <c r="C186"/>
  <c r="K185"/>
  <c r="J185"/>
  <c r="G185"/>
  <c r="F185"/>
  <c r="C185"/>
  <c r="K184"/>
  <c r="J184"/>
  <c r="G184"/>
  <c r="F184"/>
  <c r="C184"/>
  <c r="K183"/>
  <c r="J183"/>
  <c r="G183"/>
  <c r="F183"/>
  <c r="C183"/>
  <c r="K182"/>
  <c r="J182"/>
  <c r="G182"/>
  <c r="F182"/>
  <c r="C182"/>
  <c r="K181"/>
  <c r="J181"/>
  <c r="G181"/>
  <c r="F181"/>
  <c r="C181"/>
  <c r="K180"/>
  <c r="J180"/>
  <c r="G180"/>
  <c r="F180"/>
  <c r="C180"/>
  <c r="K179"/>
  <c r="J179"/>
  <c r="G179"/>
  <c r="F179"/>
  <c r="C179"/>
  <c r="K178"/>
  <c r="J178"/>
  <c r="G178"/>
  <c r="F178"/>
  <c r="C178"/>
  <c r="K177"/>
  <c r="J177"/>
  <c r="G177"/>
  <c r="F177"/>
  <c r="C177"/>
  <c r="K176"/>
  <c r="J176"/>
  <c r="G176"/>
  <c r="F176"/>
  <c r="C176"/>
  <c r="K175"/>
  <c r="J175"/>
  <c r="G175"/>
  <c r="F175"/>
  <c r="C175"/>
  <c r="K174"/>
  <c r="J174"/>
  <c r="G174"/>
  <c r="F174"/>
  <c r="C174"/>
  <c r="K173"/>
  <c r="J173"/>
  <c r="G173"/>
  <c r="F173"/>
  <c r="C173"/>
  <c r="K172"/>
  <c r="J172"/>
  <c r="G172"/>
  <c r="F172"/>
  <c r="C172"/>
  <c r="K171"/>
  <c r="J171"/>
  <c r="G171"/>
  <c r="F171"/>
  <c r="C171"/>
  <c r="K170"/>
  <c r="J170"/>
  <c r="G170"/>
  <c r="F170"/>
  <c r="C170"/>
  <c r="K169"/>
  <c r="J169"/>
  <c r="G169"/>
  <c r="F169"/>
  <c r="C169"/>
  <c r="K168"/>
  <c r="J168"/>
  <c r="G168"/>
  <c r="F168"/>
  <c r="C168"/>
  <c r="K167"/>
  <c r="J167"/>
  <c r="G167"/>
  <c r="F167"/>
  <c r="C167"/>
  <c r="K166"/>
  <c r="J166"/>
  <c r="G166"/>
  <c r="F166"/>
  <c r="C166"/>
  <c r="K165"/>
  <c r="J165"/>
  <c r="G165"/>
  <c r="F165"/>
  <c r="C165"/>
  <c r="K164"/>
  <c r="J164"/>
  <c r="G164"/>
  <c r="F164"/>
  <c r="C164"/>
  <c r="K163"/>
  <c r="J163"/>
  <c r="G163"/>
  <c r="F163"/>
  <c r="C163"/>
  <c r="K162"/>
  <c r="J162"/>
  <c r="G162"/>
  <c r="F162"/>
  <c r="C162"/>
  <c r="K161"/>
  <c r="J161"/>
  <c r="G161"/>
  <c r="F161"/>
  <c r="C161"/>
  <c r="K160"/>
  <c r="J160"/>
  <c r="G160"/>
  <c r="F160"/>
  <c r="C160"/>
  <c r="K159"/>
  <c r="J159"/>
  <c r="G159"/>
  <c r="F159"/>
  <c r="C159"/>
  <c r="K158"/>
  <c r="J158"/>
  <c r="G158"/>
  <c r="F158"/>
  <c r="C158"/>
  <c r="K157"/>
  <c r="J157"/>
  <c r="G157"/>
  <c r="F157"/>
  <c r="C157"/>
  <c r="K156"/>
  <c r="J156"/>
  <c r="G156"/>
  <c r="F156"/>
  <c r="C156"/>
  <c r="K155"/>
  <c r="J155"/>
  <c r="G155"/>
  <c r="F155"/>
  <c r="C155"/>
  <c r="K154"/>
  <c r="J154"/>
  <c r="G154"/>
  <c r="F154"/>
  <c r="C154"/>
  <c r="K153"/>
  <c r="J153"/>
  <c r="G153"/>
  <c r="F153"/>
  <c r="C153"/>
  <c r="K152"/>
  <c r="J152"/>
  <c r="G152"/>
  <c r="F152"/>
  <c r="C152"/>
  <c r="K151"/>
  <c r="J151"/>
  <c r="G151"/>
  <c r="F151"/>
  <c r="C151"/>
  <c r="K150"/>
  <c r="J150"/>
  <c r="G150"/>
  <c r="F150"/>
  <c r="C150"/>
  <c r="K149"/>
  <c r="J149"/>
  <c r="G149"/>
  <c r="F149"/>
  <c r="C149"/>
  <c r="K148"/>
  <c r="J148"/>
  <c r="G148"/>
  <c r="F148"/>
  <c r="C148"/>
  <c r="K147"/>
  <c r="J147"/>
  <c r="G147"/>
  <c r="F147"/>
  <c r="C147"/>
  <c r="K146"/>
  <c r="J146"/>
  <c r="G146"/>
  <c r="F146"/>
  <c r="C146"/>
  <c r="K145"/>
  <c r="J145"/>
  <c r="G145"/>
  <c r="F145"/>
  <c r="C145"/>
  <c r="K144"/>
  <c r="J144"/>
  <c r="G144"/>
  <c r="F144"/>
  <c r="C144"/>
  <c r="K143"/>
  <c r="J143"/>
  <c r="G143"/>
  <c r="F143"/>
  <c r="C143"/>
  <c r="K142"/>
  <c r="J142"/>
  <c r="G142"/>
  <c r="F142"/>
  <c r="C142"/>
  <c r="K141"/>
  <c r="J141"/>
  <c r="G141"/>
  <c r="F141"/>
  <c r="C141"/>
  <c r="K140"/>
  <c r="J140"/>
  <c r="G140"/>
  <c r="F140"/>
  <c r="C140"/>
  <c r="K139"/>
  <c r="J139"/>
  <c r="G139"/>
  <c r="F139"/>
  <c r="C139"/>
  <c r="K138"/>
  <c r="J138"/>
  <c r="G138"/>
  <c r="F138"/>
  <c r="C138"/>
  <c r="K137"/>
  <c r="J137"/>
  <c r="G137"/>
  <c r="F137"/>
  <c r="C137"/>
  <c r="K136"/>
  <c r="J136"/>
  <c r="G136"/>
  <c r="F136"/>
  <c r="C136"/>
  <c r="K135"/>
  <c r="J135"/>
  <c r="G135"/>
  <c r="F135"/>
  <c r="C135"/>
  <c r="K134"/>
  <c r="J134"/>
  <c r="G134"/>
  <c r="F134"/>
  <c r="C134"/>
  <c r="K133"/>
  <c r="J133"/>
  <c r="G133"/>
  <c r="F133"/>
  <c r="C133"/>
  <c r="K132"/>
  <c r="J132"/>
  <c r="G132"/>
  <c r="F132"/>
  <c r="C132"/>
  <c r="K131"/>
  <c r="J131"/>
  <c r="G131"/>
  <c r="F131"/>
  <c r="C131"/>
  <c r="K130"/>
  <c r="J130"/>
  <c r="G130"/>
  <c r="F130"/>
  <c r="C130"/>
  <c r="K129"/>
  <c r="J129"/>
  <c r="G129"/>
  <c r="F129"/>
  <c r="C129"/>
  <c r="K128"/>
  <c r="J128"/>
  <c r="G128"/>
  <c r="F128"/>
  <c r="C128"/>
  <c r="K127"/>
  <c r="J127"/>
  <c r="G127"/>
  <c r="F127"/>
  <c r="C127"/>
  <c r="K126"/>
  <c r="J126"/>
  <c r="G126"/>
  <c r="F126"/>
  <c r="C126"/>
  <c r="K125"/>
  <c r="J125"/>
  <c r="G125"/>
  <c r="F125"/>
  <c r="C125"/>
  <c r="K124"/>
  <c r="J124"/>
  <c r="G124"/>
  <c r="F124"/>
  <c r="C124"/>
  <c r="K123"/>
  <c r="J123"/>
  <c r="G123"/>
  <c r="F123"/>
  <c r="C123"/>
  <c r="K122"/>
  <c r="J122"/>
  <c r="G122"/>
  <c r="F122"/>
  <c r="C122"/>
  <c r="K121"/>
  <c r="J121"/>
  <c r="G121"/>
  <c r="F121"/>
  <c r="C121"/>
  <c r="K120"/>
  <c r="J120"/>
  <c r="G120"/>
  <c r="F120"/>
  <c r="C120"/>
  <c r="K119"/>
  <c r="J119"/>
  <c r="G119"/>
  <c r="F119"/>
  <c r="C119"/>
  <c r="K118"/>
  <c r="J118"/>
  <c r="G118"/>
  <c r="F118"/>
  <c r="C118"/>
  <c r="K117"/>
  <c r="J117"/>
  <c r="G117"/>
  <c r="F117"/>
  <c r="C117"/>
  <c r="K116"/>
  <c r="J116"/>
  <c r="G116"/>
  <c r="F116"/>
  <c r="C116"/>
  <c r="K115"/>
  <c r="J115"/>
  <c r="G115"/>
  <c r="F115"/>
  <c r="C115"/>
  <c r="K114"/>
  <c r="J114"/>
  <c r="G114"/>
  <c r="F114"/>
  <c r="C114"/>
  <c r="K113"/>
  <c r="J113"/>
  <c r="G113"/>
  <c r="F113"/>
  <c r="C113"/>
  <c r="K112"/>
  <c r="J112"/>
  <c r="G112"/>
  <c r="F112"/>
  <c r="C112"/>
  <c r="K111"/>
  <c r="J111"/>
  <c r="G111"/>
  <c r="F111"/>
  <c r="C111"/>
  <c r="K110"/>
  <c r="J110"/>
  <c r="G110"/>
  <c r="F110"/>
  <c r="C110"/>
  <c r="K109"/>
  <c r="J109"/>
  <c r="G109"/>
  <c r="F109"/>
  <c r="C109"/>
  <c r="K108"/>
  <c r="J108"/>
  <c r="G108"/>
  <c r="F108"/>
  <c r="C108"/>
  <c r="K107"/>
  <c r="J107"/>
  <c r="G107"/>
  <c r="F107"/>
  <c r="C107"/>
  <c r="K106"/>
  <c r="J106"/>
  <c r="G106"/>
  <c r="F106"/>
  <c r="C106"/>
  <c r="K105"/>
  <c r="J105"/>
  <c r="G105"/>
  <c r="F105"/>
  <c r="C105"/>
  <c r="K104"/>
  <c r="J104"/>
  <c r="G104"/>
  <c r="F104"/>
  <c r="C104"/>
  <c r="K103"/>
  <c r="J103"/>
  <c r="G103"/>
  <c r="F103"/>
  <c r="C103"/>
  <c r="K102"/>
  <c r="J102"/>
  <c r="G102"/>
  <c r="F102"/>
  <c r="C102"/>
  <c r="K101"/>
  <c r="J101"/>
  <c r="G101"/>
  <c r="F101"/>
  <c r="C101"/>
  <c r="K100"/>
  <c r="J100"/>
  <c r="G100"/>
  <c r="F100"/>
  <c r="C100"/>
  <c r="K99"/>
  <c r="J99"/>
  <c r="G99"/>
  <c r="F99"/>
  <c r="C99"/>
  <c r="K98"/>
  <c r="J98"/>
  <c r="G98"/>
  <c r="F98"/>
  <c r="C98"/>
  <c r="K97"/>
  <c r="J97"/>
  <c r="G97"/>
  <c r="F97"/>
  <c r="C97"/>
  <c r="K96"/>
  <c r="J96"/>
  <c r="G96"/>
  <c r="F96"/>
  <c r="C96"/>
  <c r="K95"/>
  <c r="J95"/>
  <c r="G95"/>
  <c r="F95"/>
  <c r="C95"/>
  <c r="K94"/>
  <c r="J94"/>
  <c r="G94"/>
  <c r="F94"/>
  <c r="C94"/>
  <c r="K93"/>
  <c r="J93"/>
  <c r="G93"/>
  <c r="F93"/>
  <c r="C93"/>
  <c r="K92"/>
  <c r="J92"/>
  <c r="G92"/>
  <c r="F92"/>
  <c r="C92"/>
  <c r="K91"/>
  <c r="J91"/>
  <c r="G91"/>
  <c r="F91"/>
  <c r="C91"/>
  <c r="K90"/>
  <c r="J90"/>
  <c r="G90"/>
  <c r="F90"/>
  <c r="C90"/>
  <c r="K89"/>
  <c r="J89"/>
  <c r="G89"/>
  <c r="F89"/>
  <c r="C89"/>
  <c r="K88"/>
  <c r="J88"/>
  <c r="G88"/>
  <c r="F88"/>
  <c r="C88"/>
  <c r="K87"/>
  <c r="J87"/>
  <c r="G87"/>
  <c r="F87"/>
  <c r="C87"/>
  <c r="K86"/>
  <c r="J86"/>
  <c r="G86"/>
  <c r="F86"/>
  <c r="C86"/>
  <c r="K85"/>
  <c r="J85"/>
  <c r="G85"/>
  <c r="F85"/>
  <c r="C85"/>
  <c r="K84"/>
  <c r="J84"/>
  <c r="G84"/>
  <c r="F84"/>
  <c r="C84"/>
  <c r="K83"/>
  <c r="J83"/>
  <c r="G83"/>
  <c r="F83"/>
  <c r="C83"/>
  <c r="K82"/>
  <c r="J82"/>
  <c r="G82"/>
  <c r="F82"/>
  <c r="C82"/>
  <c r="K81"/>
  <c r="J81"/>
  <c r="G81"/>
  <c r="F81"/>
  <c r="C81"/>
  <c r="K80"/>
  <c r="J80"/>
  <c r="G80"/>
  <c r="F80"/>
  <c r="C80"/>
  <c r="K79"/>
  <c r="J79"/>
  <c r="G79"/>
  <c r="F79"/>
  <c r="C79"/>
  <c r="K78"/>
  <c r="J78"/>
  <c r="G78"/>
  <c r="F78"/>
  <c r="C78"/>
  <c r="K77"/>
  <c r="J77"/>
  <c r="G77"/>
  <c r="F77"/>
  <c r="C77"/>
  <c r="K76"/>
  <c r="J76"/>
  <c r="G76"/>
  <c r="F76"/>
  <c r="C76"/>
  <c r="K75"/>
  <c r="J75"/>
  <c r="G75"/>
  <c r="F75"/>
  <c r="C75"/>
  <c r="K74"/>
  <c r="J74"/>
  <c r="G74"/>
  <c r="F74"/>
  <c r="C74"/>
  <c r="K73"/>
  <c r="J73"/>
  <c r="G73"/>
  <c r="F73"/>
  <c r="C73"/>
  <c r="K72"/>
  <c r="J72"/>
  <c r="G72"/>
  <c r="F72"/>
  <c r="C72"/>
  <c r="K71"/>
  <c r="J71"/>
  <c r="G71"/>
  <c r="F71"/>
  <c r="C71"/>
  <c r="K70"/>
  <c r="J70"/>
  <c r="G70"/>
  <c r="F70"/>
  <c r="C70"/>
  <c r="K69"/>
  <c r="J69"/>
  <c r="G69"/>
  <c r="F69"/>
  <c r="C69"/>
  <c r="K68"/>
  <c r="J68"/>
  <c r="G68"/>
  <c r="F68"/>
  <c r="C68"/>
  <c r="K67"/>
  <c r="J67"/>
  <c r="G67"/>
  <c r="F67"/>
  <c r="C67"/>
  <c r="K66"/>
  <c r="J66"/>
  <c r="G66"/>
  <c r="F66"/>
  <c r="C66"/>
  <c r="K65"/>
  <c r="J65"/>
  <c r="G65"/>
  <c r="F65"/>
  <c r="C65"/>
  <c r="K64"/>
  <c r="J64"/>
  <c r="G64"/>
  <c r="F64"/>
  <c r="C64"/>
  <c r="K63"/>
  <c r="J63"/>
  <c r="G63"/>
  <c r="F63"/>
  <c r="C63"/>
  <c r="K62"/>
  <c r="J62"/>
  <c r="G62"/>
  <c r="F62"/>
  <c r="C62"/>
  <c r="K61"/>
  <c r="J61"/>
  <c r="G61"/>
  <c r="F61"/>
  <c r="C61"/>
  <c r="K60"/>
  <c r="J60"/>
  <c r="G60"/>
  <c r="F60"/>
  <c r="C60"/>
  <c r="K59"/>
  <c r="J59"/>
  <c r="G59"/>
  <c r="F59"/>
  <c r="C59"/>
  <c r="K58"/>
  <c r="J58"/>
  <c r="G58"/>
  <c r="F58"/>
  <c r="C58"/>
  <c r="K57"/>
  <c r="J57"/>
  <c r="G57"/>
  <c r="F57"/>
  <c r="C57"/>
  <c r="K56"/>
  <c r="J56"/>
  <c r="G56"/>
  <c r="F56"/>
  <c r="C56"/>
  <c r="K55"/>
  <c r="J55"/>
  <c r="G55"/>
  <c r="F55"/>
  <c r="C55"/>
  <c r="K54"/>
  <c r="J54"/>
  <c r="G54"/>
  <c r="F54"/>
  <c r="C54"/>
  <c r="K53"/>
  <c r="J53"/>
  <c r="G53"/>
  <c r="F53"/>
  <c r="C53"/>
  <c r="K52"/>
  <c r="J52"/>
  <c r="G52"/>
  <c r="F52"/>
  <c r="C52"/>
  <c r="K51"/>
  <c r="J51"/>
  <c r="G51"/>
  <c r="F51"/>
  <c r="C51"/>
  <c r="K50"/>
  <c r="J50"/>
  <c r="G50"/>
  <c r="F50"/>
  <c r="C50"/>
  <c r="K49"/>
  <c r="J49"/>
  <c r="G49"/>
  <c r="F49"/>
  <c r="C49"/>
  <c r="K48"/>
  <c r="J48"/>
  <c r="G48"/>
  <c r="F48"/>
  <c r="C48"/>
  <c r="K47"/>
  <c r="J47"/>
  <c r="G47"/>
  <c r="F47"/>
  <c r="C47"/>
  <c r="K46"/>
  <c r="J46"/>
  <c r="G46"/>
  <c r="F46"/>
  <c r="C46"/>
  <c r="K45"/>
  <c r="J45"/>
  <c r="G45"/>
  <c r="F45"/>
  <c r="C45"/>
  <c r="K44"/>
  <c r="J44"/>
  <c r="G44"/>
  <c r="F44"/>
  <c r="C44"/>
  <c r="K43"/>
  <c r="J43"/>
  <c r="G43"/>
  <c r="F43"/>
  <c r="C43"/>
  <c r="K42"/>
  <c r="J42"/>
  <c r="G42"/>
  <c r="F42"/>
  <c r="C42"/>
  <c r="K41"/>
  <c r="J41"/>
  <c r="G41"/>
  <c r="F41"/>
  <c r="C41"/>
  <c r="K40"/>
  <c r="J40"/>
  <c r="G40"/>
  <c r="F40"/>
  <c r="C40"/>
  <c r="K39"/>
  <c r="J39"/>
  <c r="G39"/>
  <c r="F39"/>
  <c r="C39"/>
  <c r="K38"/>
  <c r="J38"/>
  <c r="G38"/>
  <c r="F38"/>
  <c r="C38"/>
  <c r="K37"/>
  <c r="J37"/>
  <c r="G37"/>
  <c r="F37"/>
  <c r="C37"/>
  <c r="K36"/>
  <c r="J36"/>
  <c r="G36"/>
  <c r="F36"/>
  <c r="C36"/>
  <c r="K35"/>
  <c r="J35"/>
  <c r="G35"/>
  <c r="F35"/>
  <c r="C35"/>
  <c r="K34"/>
  <c r="J34"/>
  <c r="G34"/>
  <c r="F34"/>
  <c r="C34"/>
  <c r="K33"/>
  <c r="J33"/>
  <c r="G33"/>
  <c r="F33"/>
  <c r="C33"/>
  <c r="K32"/>
  <c r="J32"/>
  <c r="G32"/>
  <c r="F32"/>
  <c r="C32"/>
  <c r="K31"/>
  <c r="J31"/>
  <c r="G31"/>
  <c r="F31"/>
  <c r="C31"/>
  <c r="K30"/>
  <c r="J30"/>
  <c r="G30"/>
  <c r="F30"/>
  <c r="C30"/>
  <c r="K29"/>
  <c r="J29"/>
  <c r="G29"/>
  <c r="F29"/>
  <c r="C29"/>
  <c r="K28"/>
  <c r="J28"/>
  <c r="G28"/>
  <c r="F28"/>
  <c r="C28"/>
  <c r="K27"/>
  <c r="J27"/>
  <c r="G27"/>
  <c r="F27"/>
  <c r="C27"/>
  <c r="K26"/>
  <c r="J26"/>
  <c r="G26"/>
  <c r="F26"/>
  <c r="C26"/>
  <c r="K25"/>
  <c r="J25"/>
  <c r="G25"/>
  <c r="F25"/>
  <c r="C25"/>
  <c r="K24"/>
  <c r="J24"/>
  <c r="G24"/>
  <c r="F24"/>
  <c r="C24"/>
  <c r="K23"/>
  <c r="C23"/>
  <c r="K22"/>
  <c r="J22"/>
  <c r="G22"/>
  <c r="F22"/>
  <c r="C22"/>
  <c r="K21"/>
  <c r="J21"/>
  <c r="G21"/>
  <c r="F21"/>
  <c r="C21"/>
  <c r="K20"/>
  <c r="J20"/>
  <c r="G20"/>
  <c r="F20"/>
  <c r="C20"/>
  <c r="K19"/>
  <c r="J19"/>
  <c r="G19"/>
  <c r="F19"/>
  <c r="C19"/>
  <c r="K18"/>
  <c r="J18"/>
  <c r="G18"/>
  <c r="F18"/>
  <c r="C18"/>
  <c r="K17"/>
  <c r="J17"/>
  <c r="G17"/>
  <c r="F17"/>
  <c r="C17"/>
  <c r="K16"/>
  <c r="J16"/>
  <c r="G16"/>
  <c r="F16"/>
  <c r="C16"/>
  <c r="K15"/>
  <c r="J15"/>
  <c r="G15"/>
  <c r="F15"/>
  <c r="C15"/>
  <c r="K14"/>
  <c r="J14"/>
  <c r="G14"/>
  <c r="F14"/>
  <c r="C14"/>
  <c r="K13"/>
  <c r="J13"/>
  <c r="G13"/>
  <c r="F13"/>
  <c r="C13"/>
  <c r="K12"/>
  <c r="J12"/>
  <c r="G12"/>
  <c r="F12"/>
  <c r="C12"/>
  <c r="K11"/>
  <c r="J11"/>
  <c r="G11"/>
  <c r="F11"/>
  <c r="C11"/>
  <c r="K10"/>
  <c r="J10"/>
  <c r="G10"/>
  <c r="F10"/>
  <c r="C10"/>
  <c r="K9"/>
  <c r="J9"/>
  <c r="G9"/>
  <c r="F9"/>
  <c r="C9"/>
  <c r="K8"/>
  <c r="J8"/>
  <c r="G8"/>
  <c r="F8"/>
  <c r="C8"/>
  <c r="K7"/>
  <c r="J7"/>
  <c r="G7"/>
  <c r="F7"/>
  <c r="C7"/>
  <c r="K6"/>
  <c r="J6"/>
  <c r="G6"/>
  <c r="F6"/>
  <c r="C6"/>
</calcChain>
</file>

<file path=xl/sharedStrings.xml><?xml version="1.0" encoding="utf-8"?>
<sst xmlns="http://schemas.openxmlformats.org/spreadsheetml/2006/main" count="1096" uniqueCount="309">
  <si>
    <t>IFES</t>
  </si>
  <si>
    <t xml:space="preserve">FESTO                                                                                                                                                                                                                                                     </t>
  </si>
  <si>
    <t>Skynet In-House Manifest</t>
  </si>
  <si>
    <t>DATE</t>
  </si>
  <si>
    <t>C17924</t>
  </si>
  <si>
    <t>TIME</t>
  </si>
  <si>
    <t>Date</t>
  </si>
  <si>
    <t>Time</t>
  </si>
  <si>
    <t>Waybill</t>
  </si>
  <si>
    <t>Sender</t>
  </si>
  <si>
    <t>Consignee</t>
  </si>
  <si>
    <t>Client Ref</t>
  </si>
  <si>
    <t>Service</t>
  </si>
  <si>
    <t>Send Branch</t>
  </si>
  <si>
    <t>Dest Branch</t>
  </si>
  <si>
    <t>Special Instr</t>
  </si>
  <si>
    <t>Parcel No</t>
  </si>
  <si>
    <t>No Prcls</t>
  </si>
  <si>
    <t>Tot Kgs</t>
  </si>
  <si>
    <t xml:space="preserve">Festo               </t>
  </si>
  <si>
    <t xml:space="preserve">AFRIPACK CONSUMER FLEXIBLES PTY LTD     </t>
  </si>
  <si>
    <t>JNX</t>
  </si>
  <si>
    <t>MOBENI</t>
  </si>
  <si>
    <t xml:space="preserve">AEL MINING SERVICES LIMITED             </t>
  </si>
  <si>
    <t>MODDERFONTEIN</t>
  </si>
  <si>
    <t xml:space="preserve">THE SOUTH AFRICAN BREWERIES LTD         </t>
  </si>
  <si>
    <t>PROSPECTON</t>
  </si>
  <si>
    <t xml:space="preserve">SAPPI SA LTD                            </t>
  </si>
  <si>
    <t>STANGER</t>
  </si>
  <si>
    <t xml:space="preserve">GENERAL PNEUMATICS NATAL PTY LTD        </t>
  </si>
  <si>
    <t>NEW GERMANY</t>
  </si>
  <si>
    <t xml:space="preserve">UNILEVER SOUTH AFRICA PTY LTD PMB TEA   </t>
  </si>
  <si>
    <t>WILLOWTON</t>
  </si>
  <si>
    <t xml:space="preserve">H.W.S INDUSTRIES (PTY) LTD              </t>
  </si>
  <si>
    <t>PINETOWN</t>
  </si>
  <si>
    <t xml:space="preserve">CW8 BRICKS                              </t>
  </si>
  <si>
    <t>VANDERBIJLPARK</t>
  </si>
  <si>
    <t xml:space="preserve">MEXAN PRODUCTS                          </t>
  </si>
  <si>
    <t xml:space="preserve">COREL INSTRUMENTATION &amp; CONTRO          </t>
  </si>
  <si>
    <t>VAALPARK</t>
  </si>
  <si>
    <t xml:space="preserve">KDP HYDRAULIC SERVICES &amp; ENG CC         </t>
  </si>
  <si>
    <t>ISANDO</t>
  </si>
  <si>
    <t xml:space="preserve">G.U.D. HOLDINGS (PTY) LTD               </t>
  </si>
  <si>
    <t>DURBAN</t>
  </si>
  <si>
    <t xml:space="preserve">BIC SA PTY LTD                          </t>
  </si>
  <si>
    <t>INDUSTRIA</t>
  </si>
  <si>
    <t xml:space="preserve">HYFLO SOUTHERN AFRICA (PTY) LTD         </t>
  </si>
  <si>
    <t>KORSTEN</t>
  </si>
  <si>
    <t xml:space="preserve">COMPRESSED AIR EQUIPMENT                </t>
  </si>
  <si>
    <t>MOUNT EDGECOMBE</t>
  </si>
  <si>
    <t xml:space="preserve">ANDERSON ENGINEERING &amp;                  </t>
  </si>
  <si>
    <t>PIETERMARITZBURG</t>
  </si>
  <si>
    <t xml:space="preserve">SAPPI SA                                </t>
  </si>
  <si>
    <t xml:space="preserve">SASOL DYNO NOBEL PTY LTD                </t>
  </si>
  <si>
    <t>EKANDUSTRIA</t>
  </si>
  <si>
    <t xml:space="preserve">GOSSAMER STRUCTURES CC                  </t>
  </si>
  <si>
    <t>SOMERSET WEST</t>
  </si>
  <si>
    <t xml:space="preserve">PATERSON HUGHES ENGINEERING             </t>
  </si>
  <si>
    <t>ROODEKOP</t>
  </si>
  <si>
    <t>ROSSLYN</t>
  </si>
  <si>
    <t xml:space="preserve">GAYATRI PAPER MILLS PTY LTD             </t>
  </si>
  <si>
    <t>GERMISTON SOUTH</t>
  </si>
  <si>
    <t xml:space="preserve">NESTLE SA                               </t>
  </si>
  <si>
    <t>HARRISMITH</t>
  </si>
  <si>
    <t xml:space="preserve">FILMATIC PACKAGING SYSTEM (PTY) LTD     </t>
  </si>
  <si>
    <t>PAARL</t>
  </si>
  <si>
    <t xml:space="preserve">ILLOVO SUGAR                            </t>
  </si>
  <si>
    <t xml:space="preserve">UNILIVER SA                             </t>
  </si>
  <si>
    <t>BOKSBURG</t>
  </si>
  <si>
    <t xml:space="preserve">BEARING MAN GROUP                       </t>
  </si>
  <si>
    <t>DROSTE PARK</t>
  </si>
  <si>
    <t xml:space="preserve">SPEKTRUM PRINT                          </t>
  </si>
  <si>
    <t>MONTANA</t>
  </si>
  <si>
    <t xml:space="preserve">JENDAMARK AUTOMATION PTY LTD            </t>
  </si>
  <si>
    <t>NORTH END</t>
  </si>
  <si>
    <t xml:space="preserve">AUTO INDUSTRIAL MACHINING               </t>
  </si>
  <si>
    <t>SPARTAN</t>
  </si>
  <si>
    <t xml:space="preserve">MARTIN &amp; MARTIN (PTY) LTD               </t>
  </si>
  <si>
    <t>NDABENI</t>
  </si>
  <si>
    <t xml:space="preserve">ELEMENT SIX PRODUCTION                  </t>
  </si>
  <si>
    <t>NUFFIELD</t>
  </si>
  <si>
    <t xml:space="preserve">SUNNY MACHINES MANUFACTURING PTY LTD    </t>
  </si>
  <si>
    <t>WITFIELD</t>
  </si>
  <si>
    <t xml:space="preserve">ALBANY BAKERY                           </t>
  </si>
  <si>
    <t>MAITLAND</t>
  </si>
  <si>
    <t xml:space="preserve">CONRO PRECISION                         </t>
  </si>
  <si>
    <t>EPPING INDUSTRIAL</t>
  </si>
  <si>
    <t xml:space="preserve">ACEPAK PACKAGING SYSTEMS                </t>
  </si>
  <si>
    <t>MONTAGUE GARDENS</t>
  </si>
  <si>
    <t xml:space="preserve">GRANROTH                                </t>
  </si>
  <si>
    <t>DEAL PARTY</t>
  </si>
  <si>
    <t xml:space="preserve">FIDELITY ELECTRONIC SOLUTION            </t>
  </si>
  <si>
    <t>WALTLOO</t>
  </si>
  <si>
    <t xml:space="preserve">TRUDA SNACKS CAPE CC                    </t>
  </si>
  <si>
    <t xml:space="preserve">SANMIK AGENCIES CC                      </t>
  </si>
  <si>
    <t>GEORGE INDUSTRIA</t>
  </si>
  <si>
    <t xml:space="preserve">HYDROMATIC                              </t>
  </si>
  <si>
    <t>BROOKLYN</t>
  </si>
  <si>
    <t xml:space="preserve">INTAKA TECH PTY LTD                     </t>
  </si>
  <si>
    <t>WESTLAKE</t>
  </si>
  <si>
    <t xml:space="preserve">RIDGE DISTRIBUTORS CC                   </t>
  </si>
  <si>
    <t>STIKLAND</t>
  </si>
  <si>
    <t xml:space="preserve">RHEINMETALL DENEL MUNITION              </t>
  </si>
  <si>
    <t>FIRGROVE</t>
  </si>
  <si>
    <t xml:space="preserve">T.R.W OCCUPANT RESTRIANT SYST           </t>
  </si>
  <si>
    <t>ATLANTIS</t>
  </si>
  <si>
    <t xml:space="preserve">Liqui Box                               </t>
  </si>
  <si>
    <t>AIRPORT INDUSTRIA</t>
  </si>
  <si>
    <t xml:space="preserve">EAST BALT SA                            </t>
  </si>
  <si>
    <t>BELLVILLE SOUTH</t>
  </si>
  <si>
    <t xml:space="preserve">CONTINENTAL TYRE SA                     </t>
  </si>
  <si>
    <t>STRUANDALE</t>
  </si>
  <si>
    <t xml:space="preserve">S4 AUTOMATION (PTY) LTD                 </t>
  </si>
  <si>
    <t>SYDENHAM</t>
  </si>
  <si>
    <t>PAARDENEILAND</t>
  </si>
  <si>
    <t xml:space="preserve">DKT &amp; PARTNERS                          </t>
  </si>
  <si>
    <t>PERSEVERANCE</t>
  </si>
  <si>
    <t xml:space="preserve">HACKMACK ENTERPRISES                    </t>
  </si>
  <si>
    <t>ARCADIA</t>
  </si>
  <si>
    <t xml:space="preserve">CLIFFORD WELDING SYSTEMS PTY LTD        </t>
  </si>
  <si>
    <t xml:space="preserve">LINDE + WIEMANN (PTY) LTD               </t>
  </si>
  <si>
    <t>EAST LONDON</t>
  </si>
  <si>
    <t xml:space="preserve">SHATTERPRUFE TRADING AS A               </t>
  </si>
  <si>
    <t xml:space="preserve">ILAMBU INDUSTRIAL SUPPLIERS             </t>
  </si>
  <si>
    <t>JACOBS</t>
  </si>
  <si>
    <t xml:space="preserve">HYFLO SA PTY LTD                        </t>
  </si>
  <si>
    <t>EAST END</t>
  </si>
  <si>
    <t xml:space="preserve">T W TECHNICAL SERVICE CC                </t>
  </si>
  <si>
    <t>SIDWELL</t>
  </si>
  <si>
    <t xml:space="preserve">MITTAL STEEL SOUTH AFRICA LIMITED       </t>
  </si>
  <si>
    <t xml:space="preserve">MINACO PTY LTD DIVISTION LASTRE         </t>
  </si>
  <si>
    <t>GA-RANKUWA</t>
  </si>
  <si>
    <t>KROMBERG &amp; SCHUBERT CABLE &amp; WIRE PTY LTD</t>
  </si>
  <si>
    <t>BRITS</t>
  </si>
  <si>
    <t xml:space="preserve">SCHAEFFLER SOUTH AFRICA                 </t>
  </si>
  <si>
    <t>ESTADEAL</t>
  </si>
  <si>
    <t xml:space="preserve">STEPHENS VALVES                         </t>
  </si>
  <si>
    <t xml:space="preserve">TAURUS PAPER PRODUCTS (PTY)LTD          </t>
  </si>
  <si>
    <t>ISITHEBE</t>
  </si>
  <si>
    <t xml:space="preserve">YANFENG SA AUTOMOTIVE                   </t>
  </si>
  <si>
    <t xml:space="preserve">PROMAX                                  </t>
  </si>
  <si>
    <t>PRETORIA</t>
  </si>
  <si>
    <t xml:space="preserve">FESTO DUR OFFICE                        </t>
  </si>
  <si>
    <t>SPRINGFIELD PARK</t>
  </si>
  <si>
    <t xml:space="preserve">JOYA BRANDS PTY LTD                     </t>
  </si>
  <si>
    <t xml:space="preserve">STRAIT ACCESS TECHNOLOGIES HOLDINGS     </t>
  </si>
  <si>
    <t>OBSERVATORY</t>
  </si>
  <si>
    <t xml:space="preserve">CONVEYALL NATAL CC                      </t>
  </si>
  <si>
    <t xml:space="preserve">BMW ROSSLYN                             </t>
  </si>
  <si>
    <t xml:space="preserve">FILTEC AUTOMATION PTY LTD               </t>
  </si>
  <si>
    <t xml:space="preserve">KENZEL ENGINEERING TRUST                </t>
  </si>
  <si>
    <t xml:space="preserve">ATC INNOVATION (PTY) LTD                </t>
  </si>
  <si>
    <t xml:space="preserve">ALBANY BAKERIES A DIVISION OF TIGER-    </t>
  </si>
  <si>
    <t xml:space="preserve">DIVFOOD A DIV OF NAMPAK PRODUCTS LTD    </t>
  </si>
  <si>
    <t xml:space="preserve">CONTROL SYSTEMS                         </t>
  </si>
  <si>
    <t>RUSTENBURG</t>
  </si>
  <si>
    <t xml:space="preserve">TRU GAGE MACHINES                       </t>
  </si>
  <si>
    <t>KNIGHTS</t>
  </si>
  <si>
    <t xml:space="preserve">CONSOLIDATED WIRE INDUSTRIES (PTY) LTD  </t>
  </si>
  <si>
    <t xml:space="preserve">TECTRA AUTOMATION                       </t>
  </si>
  <si>
    <t>MEADOWDALE</t>
  </si>
  <si>
    <t xml:space="preserve">IMP AUTOMATED LABORATORY SERVICE        </t>
  </si>
  <si>
    <t xml:space="preserve">NORTON &amp; SCALLAN MINING SUPPLY          </t>
  </si>
  <si>
    <t xml:space="preserve">RG BROSE AUTOMOTIVE COMPONENTS          </t>
  </si>
  <si>
    <t xml:space="preserve">SHATTERPRUFE TRADING                    </t>
  </si>
  <si>
    <t>GARANKUWA</t>
  </si>
  <si>
    <t xml:space="preserve">TI GROUP AUTOMOTIVE SYSTEM              </t>
  </si>
  <si>
    <t xml:space="preserve">MARCE FIRE FIGHTING TECHNOLOGY          </t>
  </si>
  <si>
    <t>LYTTELTON</t>
  </si>
  <si>
    <t>TIGER CONSUMER BRANDS LTD T/A TIGER MILL</t>
  </si>
  <si>
    <t xml:space="preserve">NATIONAL PACKAGING SYSTEMS              </t>
  </si>
  <si>
    <t>WESTMEAD</t>
  </si>
  <si>
    <t xml:space="preserve">PREMIER BAKERY                          </t>
  </si>
  <si>
    <t>Durban</t>
  </si>
  <si>
    <t xml:space="preserve">DUNLOP INDUSTRIAL PRODUCTS PTY LTD      </t>
  </si>
  <si>
    <t>HOWICK</t>
  </si>
  <si>
    <t xml:space="preserve">ADCOCK INGRAM HEALTHCARE (PTY)LTD       </t>
  </si>
  <si>
    <t>OLIFANTSFONTEIN</t>
  </si>
  <si>
    <t xml:space="preserve">REGRADE MASTERS                         </t>
  </si>
  <si>
    <t>BOKSBURG NORTH</t>
  </si>
  <si>
    <t xml:space="preserve">PREMIER FOODS LTD                       </t>
  </si>
  <si>
    <t xml:space="preserve">LION MATCH PRODUCTS                     </t>
  </si>
  <si>
    <t xml:space="preserve">ACT LOGISTICS                           </t>
  </si>
  <si>
    <t>PAROW INDUSTRIA</t>
  </si>
  <si>
    <t xml:space="preserve">PROGETTO INTERNATIONAL                  </t>
  </si>
  <si>
    <t>KILLARNEY GARDENS</t>
  </si>
  <si>
    <t xml:space="preserve">CIM SYSTEMS                             </t>
  </si>
  <si>
    <t xml:space="preserve">DIVFOOD / NAMPAK                        </t>
  </si>
  <si>
    <t xml:space="preserve">RHODES FOOD GROUP                       </t>
  </si>
  <si>
    <t>AEROTON</t>
  </si>
  <si>
    <t xml:space="preserve">ALL ENGINEERING SERVICES CC             </t>
  </si>
  <si>
    <t>MUIZENBERG</t>
  </si>
  <si>
    <t xml:space="preserve">CROWN CHICKENS (PTY) LTD                </t>
  </si>
  <si>
    <t>UITENHAGE</t>
  </si>
  <si>
    <t xml:space="preserve">THE SIMBA GROUP LTD                     </t>
  </si>
  <si>
    <t xml:space="preserve">ISLAND VIEW STORAGE                     </t>
  </si>
  <si>
    <t>ISLAND VIEW</t>
  </si>
  <si>
    <t xml:space="preserve">JOHN BEAN TECHNOLOGIES PTY LTD          </t>
  </si>
  <si>
    <t>BRACKENFELL</t>
  </si>
  <si>
    <t xml:space="preserve">VAN NIEKERK PACKAGING SUPPORT           </t>
  </si>
  <si>
    <t xml:space="preserve">H.G MOLENAAR (PTY) LTD                  </t>
  </si>
  <si>
    <t xml:space="preserve">GELVENOR CONSOLIDATED FABRICS PTY LTD   </t>
  </si>
  <si>
    <t>HAMMARSDALE</t>
  </si>
  <si>
    <t xml:space="preserve">MAXION WHEELS SA                        </t>
  </si>
  <si>
    <t>ALRODE</t>
  </si>
  <si>
    <t xml:space="preserve">LUCAS LEE &amp; ASSOCIATES                  </t>
  </si>
  <si>
    <t xml:space="preserve">COMMUTER TRANSPORT ENGINEERING DUR      </t>
  </si>
  <si>
    <t>MASONS MILL</t>
  </si>
  <si>
    <t xml:space="preserve">DENEL VEHICLE SYSTEMS                   </t>
  </si>
  <si>
    <t>BENONI</t>
  </si>
  <si>
    <t xml:space="preserve">ACCUTECH WEIGHING SERVICES              </t>
  </si>
  <si>
    <t>KYA SAND</t>
  </si>
  <si>
    <t xml:space="preserve">MONSTER HYDRAUILCS                      </t>
  </si>
  <si>
    <t>JET PARK</t>
  </si>
  <si>
    <t xml:space="preserve">FAURECIA EMISSIONS CONTROL TECHNOLOGY   </t>
  </si>
  <si>
    <t>RETREAT</t>
  </si>
  <si>
    <t xml:space="preserve">SOUTHERN PULP MACHINERY                 </t>
  </si>
  <si>
    <t xml:space="preserve">CLOVER SA (PTY) LTD                     </t>
  </si>
  <si>
    <t>NORTHDENE</t>
  </si>
  <si>
    <t xml:space="preserve">DUPLEIX LIQUID METERS PTY LTD           </t>
  </si>
  <si>
    <t xml:space="preserve">COLGATE PALMOLIVE LTD                   </t>
  </si>
  <si>
    <t xml:space="preserve">PAARL COLDSET (PTY) LTD                 </t>
  </si>
  <si>
    <t xml:space="preserve">PREMIER CAPE TOWN WHEAT MILL            </t>
  </si>
  <si>
    <t>SALT RIVER</t>
  </si>
  <si>
    <t xml:space="preserve">LAMBERTS BAY FOODS LTD                  </t>
  </si>
  <si>
    <t>PAARDEN ISLAND</t>
  </si>
  <si>
    <t xml:space="preserve">CSIR PRETORIA                           </t>
  </si>
  <si>
    <t xml:space="preserve">FESTO PLZ                               </t>
  </si>
  <si>
    <t>NEWTON PARK</t>
  </si>
  <si>
    <t xml:space="preserve">PG BISON PTY LTD UGIE BOARD PLANT       </t>
  </si>
  <si>
    <t>UGIE</t>
  </si>
  <si>
    <t xml:space="preserve">NISSAN SUID-AFRIKA (EDMS)BPK            </t>
  </si>
  <si>
    <t xml:space="preserve">TONGAAT HULETTS GROUP LIMITED           </t>
  </si>
  <si>
    <t>RED HILL</t>
  </si>
  <si>
    <t xml:space="preserve">CHANLOU TRADING CC                      </t>
  </si>
  <si>
    <t>SPRINGS</t>
  </si>
  <si>
    <t xml:space="preserve">LADYSMITH TRADING CO.                   </t>
  </si>
  <si>
    <t>LADYSMITH</t>
  </si>
  <si>
    <t xml:space="preserve">GOODYEAR SOUTH AFRICA PTY LTD           </t>
  </si>
  <si>
    <t xml:space="preserve">VERDER PUMPS SA PTY LTD                 </t>
  </si>
  <si>
    <t>ARGYLE</t>
  </si>
  <si>
    <t xml:space="preserve">FEDERAL MOGUL ENGINE BEARINGS (PTY) LTD </t>
  </si>
  <si>
    <t>TIGER BRANDS SNACKS &amp; TREATS &amp; BEVERAGES</t>
  </si>
  <si>
    <t xml:space="preserve">EGLI PRECISION ENGINEERING PTY LTD      </t>
  </si>
  <si>
    <t xml:space="preserve">ABI BOTTLING                            </t>
  </si>
  <si>
    <t>PHOENIX</t>
  </si>
  <si>
    <t xml:space="preserve">ADCOCK INGRSM CRITICAL CARE PTY LTD     </t>
  </si>
  <si>
    <t xml:space="preserve">DISTELL                                 </t>
  </si>
  <si>
    <t>WADEVILLE</t>
  </si>
  <si>
    <t xml:space="preserve">TENNECO RIDE CONTROL SA                 </t>
  </si>
  <si>
    <t xml:space="preserve">ABERDARE CABLES (PTY) LTD               </t>
  </si>
  <si>
    <t>ELANDSFONTEIN</t>
  </si>
  <si>
    <t xml:space="preserve">RHINO PRODUCTS                          </t>
  </si>
  <si>
    <t xml:space="preserve">EUROPACKAGING SYSTEMS                   </t>
  </si>
  <si>
    <t>HERIOTDALE</t>
  </si>
  <si>
    <t xml:space="preserve">PNEUMATIC AID                           </t>
  </si>
  <si>
    <t xml:space="preserve">UNIVERSAL STORAGE SYSTEMS (PTY)LTD      </t>
  </si>
  <si>
    <t>STRYDOMPARK</t>
  </si>
  <si>
    <t xml:space="preserve">PIONEER FOODS GROCERIES (PTY) LTD       </t>
  </si>
  <si>
    <t xml:space="preserve">COCA COLA CANNERS OF SA                 </t>
  </si>
  <si>
    <t xml:space="preserve">PACIFIC FLUID COMPONENTS CC             </t>
  </si>
  <si>
    <t>QUEENSBURGH</t>
  </si>
  <si>
    <t xml:space="preserve">SOUTH AFRICAN BUREAU OF STANDARDS       </t>
  </si>
  <si>
    <t>GROENKLOOF</t>
  </si>
  <si>
    <t xml:space="preserve">BAKALI FOODSTUFFS CC                    </t>
  </si>
  <si>
    <t>MIDRAND</t>
  </si>
  <si>
    <t xml:space="preserve">JIM HARRISON DESING ASSOC PTY LTD       </t>
  </si>
  <si>
    <t>BRYANSTON</t>
  </si>
  <si>
    <t xml:space="preserve">TRM SUPPLIES CC                         </t>
  </si>
  <si>
    <t xml:space="preserve">IRVIN &amp; JOHNSON LTD                     </t>
  </si>
  <si>
    <t>WOODSTOCK</t>
  </si>
  <si>
    <t xml:space="preserve">GENERAL MOTORS SA PTY LTD               </t>
  </si>
  <si>
    <t xml:space="preserve">UMICORE CATALYST SA PTY LTD             </t>
  </si>
  <si>
    <t xml:space="preserve">EXCEL TOOLING                           </t>
  </si>
  <si>
    <t xml:space="preserve">COCA - COLA FORTUNE (PTY) LTD           </t>
  </si>
  <si>
    <t xml:space="preserve">MERCEDES BENZ SOUTH AFRICA LIMITED      </t>
  </si>
  <si>
    <t>GATELY TSP</t>
  </si>
  <si>
    <t xml:space="preserve">SMA ENGINEERING S.A. (PTY) LTD          </t>
  </si>
  <si>
    <t>WOODBROOK</t>
  </si>
  <si>
    <t xml:space="preserve">PLETTENBERG BAY WATER TREATMENT WORK    </t>
  </si>
  <si>
    <t>PLETTENBERG BAY</t>
  </si>
  <si>
    <t xml:space="preserve">HANSENS ENGENNERING                     </t>
  </si>
  <si>
    <t xml:space="preserve">EBERSPACHER SOUTH AFRICA (PTY) LTD      </t>
  </si>
  <si>
    <t xml:space="preserve">MERCEDES - BENZ S.A LIMITED             </t>
  </si>
  <si>
    <t xml:space="preserve">PARMALAT SA (PTY) LTD                   </t>
  </si>
  <si>
    <t>NEAVE TSP</t>
  </si>
  <si>
    <t xml:space="preserve">BEARING MAN GROUP (PTY)LTD              </t>
  </si>
  <si>
    <t xml:space="preserve">FORD MOTOR CO. SA MANUFACTURING         </t>
  </si>
  <si>
    <t xml:space="preserve">XMECO HEAVY ENGINEERING PTY LT (XMM)    </t>
  </si>
  <si>
    <t>MARKMAN</t>
  </si>
  <si>
    <t xml:space="preserve">COMPUSCAN                               </t>
  </si>
  <si>
    <t xml:space="preserve">FACTORY AUTOMATION &amp; ENGINEERING        </t>
  </si>
  <si>
    <t>DOORNPOORT</t>
  </si>
  <si>
    <t xml:space="preserve">NAMDEB DIAMOND CORPORATION PTY LTD      </t>
  </si>
  <si>
    <t xml:space="preserve">RAPID INDUSTRIAL SUPPLIES PTY LTD       </t>
  </si>
  <si>
    <t xml:space="preserve">THE COMBUSTION GROUP (PTY) LTD          </t>
  </si>
  <si>
    <t>EDENVALE</t>
  </si>
  <si>
    <t xml:space="preserve">BRAZING ALLOYS &amp; ENGENEERING            </t>
  </si>
  <si>
    <t>CLEVELAND</t>
  </si>
  <si>
    <t xml:space="preserve">ASPEN NUTRITIONALS                      </t>
  </si>
  <si>
    <t>CLAYVILLE</t>
  </si>
  <si>
    <t xml:space="preserve">PFG BUILDING GLASS                      </t>
  </si>
  <si>
    <t>NEW ERA</t>
  </si>
  <si>
    <t xml:space="preserve">APOLLO BRICK                            </t>
  </si>
  <si>
    <t>WITKOPPEN</t>
  </si>
  <si>
    <t xml:space="preserve">PAMODZI UNIQUE ENGINEERING              </t>
  </si>
  <si>
    <t>LILIANTON</t>
  </si>
  <si>
    <t xml:space="preserve">MEGA-PAK                                </t>
  </si>
  <si>
    <t>TOTAL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</si>
</sst>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b/>
      <sz val="10"/>
      <name val="Arial"/>
      <family val="2"/>
    </font>
    <font>
      <sz val="18"/>
      <name val="Arial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4" fontId="1" fillId="0" borderId="0" xfId="0" applyNumberFormat="1" applyFont="1"/>
    <xf numFmtId="14" fontId="0" fillId="0" borderId="0" xfId="0" applyNumberFormat="1"/>
    <xf numFmtId="20" fontId="1" fillId="0" borderId="0" xfId="0" applyNumberFormat="1" applyFont="1"/>
    <xf numFmtId="0" fontId="3" fillId="0" borderId="1" xfId="0" applyFont="1" applyBorder="1"/>
    <xf numFmtId="0" fontId="4" fillId="0" borderId="1" xfId="0" applyFont="1" applyBorder="1"/>
    <xf numFmtId="0" fontId="3" fillId="2" borderId="1" xfId="0" applyFont="1" applyFill="1" applyBorder="1"/>
    <xf numFmtId="14" fontId="5" fillId="0" borderId="1" xfId="0" applyNumberFormat="1" applyFont="1" applyBorder="1" applyAlignment="1">
      <alignment horizontal="center"/>
    </xf>
    <xf numFmtId="20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28575</xdr:rowOff>
    </xdr:from>
    <xdr:to>
      <xdr:col>10</xdr:col>
      <xdr:colOff>257175</xdr:colOff>
      <xdr:row>0</xdr:row>
      <xdr:rowOff>504825</xdr:rowOff>
    </xdr:to>
    <xdr:pic>
      <xdr:nvPicPr>
        <xdr:cNvPr id="2" name="Picture 1" descr="Skynet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00525" y="28575"/>
          <a:ext cx="17907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75"/>
  <sheetViews>
    <sheetView tabSelected="1" topLeftCell="A271" workbookViewId="0">
      <selection activeCell="E279" sqref="E279"/>
    </sheetView>
  </sheetViews>
  <sheetFormatPr defaultRowHeight="12.75"/>
  <cols>
    <col min="1" max="1" width="10.140625" customWidth="1"/>
    <col min="2" max="2" width="5.85546875" customWidth="1"/>
    <col min="3" max="3" width="15.140625" customWidth="1"/>
    <col min="4" max="4" width="4.140625" customWidth="1"/>
    <col min="5" max="5" width="10.7109375" customWidth="1"/>
    <col min="6" max="6" width="10.85546875" customWidth="1"/>
    <col min="7" max="7" width="5.140625" customWidth="1"/>
    <col min="8" max="8" width="4.7109375" customWidth="1"/>
    <col min="9" max="9" width="14.28515625" customWidth="1"/>
    <col min="10" max="10" width="5" customWidth="1"/>
    <col min="11" max="11" width="16.85546875" bestFit="1" customWidth="1"/>
    <col min="12" max="12" width="7" customWidth="1"/>
    <col min="13" max="13" width="6.7109375" customWidth="1"/>
  </cols>
  <sheetData>
    <row r="1" spans="1:13" ht="41.25" customHeight="1">
      <c r="A1" s="1" t="s">
        <v>0</v>
      </c>
      <c r="B1" s="1" t="s">
        <v>1</v>
      </c>
      <c r="C1" s="2" t="s">
        <v>2</v>
      </c>
      <c r="D1" s="2"/>
      <c r="E1" s="2"/>
    </row>
    <row r="2" spans="1:13">
      <c r="A2" s="1" t="s">
        <v>3</v>
      </c>
      <c r="B2" s="3">
        <v>43007</v>
      </c>
      <c r="C2" s="4" t="s">
        <v>4</v>
      </c>
    </row>
    <row r="3" spans="1:13">
      <c r="A3" s="1" t="s">
        <v>5</v>
      </c>
      <c r="B3" s="5">
        <v>0.64166666666666672</v>
      </c>
    </row>
    <row r="4" spans="1:13">
      <c r="A4" s="6"/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>
      <c r="A5" s="8" t="s">
        <v>6</v>
      </c>
      <c r="B5" s="8" t="s">
        <v>7</v>
      </c>
      <c r="C5" s="8" t="s">
        <v>8</v>
      </c>
      <c r="D5" s="8" t="s">
        <v>9</v>
      </c>
      <c r="E5" s="8" t="s">
        <v>10</v>
      </c>
      <c r="F5" s="8" t="s">
        <v>11</v>
      </c>
      <c r="G5" s="8" t="s">
        <v>12</v>
      </c>
      <c r="H5" s="8" t="s">
        <v>13</v>
      </c>
      <c r="I5" s="8" t="s">
        <v>14</v>
      </c>
      <c r="J5" s="8" t="s">
        <v>15</v>
      </c>
      <c r="K5" s="8" t="s">
        <v>16</v>
      </c>
      <c r="L5" s="8" t="s">
        <v>17</v>
      </c>
      <c r="M5" s="8" t="s">
        <v>18</v>
      </c>
    </row>
    <row r="6" spans="1:13">
      <c r="A6" s="9">
        <v>43007</v>
      </c>
      <c r="B6" s="10">
        <v>0.63958333333333328</v>
      </c>
      <c r="C6" s="11" t="str">
        <f>"FES1162578609"</f>
        <v>FES1162578609</v>
      </c>
      <c r="D6" s="11" t="s">
        <v>19</v>
      </c>
      <c r="E6" s="11" t="s">
        <v>20</v>
      </c>
      <c r="F6" s="11" t="str">
        <f>"2170593008 "</f>
        <v xml:space="preserve">2170593008 </v>
      </c>
      <c r="G6" s="11" t="str">
        <f t="shared" ref="G6:G23" si="0">"ON1"</f>
        <v>ON1</v>
      </c>
      <c r="H6" s="11" t="s">
        <v>21</v>
      </c>
      <c r="I6" s="11" t="s">
        <v>22</v>
      </c>
      <c r="J6" s="11" t="str">
        <f>""</f>
        <v/>
      </c>
      <c r="K6" s="11" t="str">
        <f>"PFES1162578609_0001"</f>
        <v>PFES1162578609_0001</v>
      </c>
      <c r="L6" s="11">
        <v>1</v>
      </c>
      <c r="M6" s="11">
        <v>7</v>
      </c>
    </row>
    <row r="7" spans="1:13">
      <c r="A7" s="9">
        <v>43007</v>
      </c>
      <c r="B7" s="10">
        <v>0.63888888888888895</v>
      </c>
      <c r="C7" s="11" t="str">
        <f>"FES1162578684"</f>
        <v>FES1162578684</v>
      </c>
      <c r="D7" s="11" t="s">
        <v>19</v>
      </c>
      <c r="E7" s="11" t="s">
        <v>23</v>
      </c>
      <c r="F7" s="11" t="str">
        <f>"2170591904 "</f>
        <v xml:space="preserve">2170591904 </v>
      </c>
      <c r="G7" s="11" t="str">
        <f t="shared" si="0"/>
        <v>ON1</v>
      </c>
      <c r="H7" s="11" t="s">
        <v>21</v>
      </c>
      <c r="I7" s="11" t="s">
        <v>24</v>
      </c>
      <c r="J7" s="11" t="str">
        <f>""</f>
        <v/>
      </c>
      <c r="K7" s="11" t="str">
        <f>"PFES1162578684_0001"</f>
        <v>PFES1162578684_0001</v>
      </c>
      <c r="L7" s="11">
        <v>1</v>
      </c>
      <c r="M7" s="11">
        <v>2</v>
      </c>
    </row>
    <row r="8" spans="1:13">
      <c r="A8" s="9">
        <v>43007</v>
      </c>
      <c r="B8" s="10">
        <v>0.6381944444444444</v>
      </c>
      <c r="C8" s="11" t="str">
        <f>"FES1162578628"</f>
        <v>FES1162578628</v>
      </c>
      <c r="D8" s="11" t="s">
        <v>19</v>
      </c>
      <c r="E8" s="11" t="s">
        <v>25</v>
      </c>
      <c r="F8" s="11" t="str">
        <f>"2170593234 "</f>
        <v xml:space="preserve">2170593234 </v>
      </c>
      <c r="G8" s="11" t="str">
        <f t="shared" si="0"/>
        <v>ON1</v>
      </c>
      <c r="H8" s="11" t="s">
        <v>21</v>
      </c>
      <c r="I8" s="11" t="s">
        <v>26</v>
      </c>
      <c r="J8" s="11" t="str">
        <f>""</f>
        <v/>
      </c>
      <c r="K8" s="11" t="str">
        <f>"PFES1162578628_0001"</f>
        <v>PFES1162578628_0001</v>
      </c>
      <c r="L8" s="11">
        <v>1</v>
      </c>
      <c r="M8" s="11">
        <v>2</v>
      </c>
    </row>
    <row r="9" spans="1:13">
      <c r="A9" s="9">
        <v>43007</v>
      </c>
      <c r="B9" s="10">
        <v>0.63611111111111118</v>
      </c>
      <c r="C9" s="11" t="str">
        <f>"FES1162578651"</f>
        <v>FES1162578651</v>
      </c>
      <c r="D9" s="11" t="s">
        <v>19</v>
      </c>
      <c r="E9" s="11" t="s">
        <v>27</v>
      </c>
      <c r="F9" s="11" t="str">
        <f>"2170596543 "</f>
        <v xml:space="preserve">2170596543 </v>
      </c>
      <c r="G9" s="11" t="str">
        <f t="shared" si="0"/>
        <v>ON1</v>
      </c>
      <c r="H9" s="11" t="s">
        <v>21</v>
      </c>
      <c r="I9" s="11" t="s">
        <v>28</v>
      </c>
      <c r="J9" s="11" t="str">
        <f>""</f>
        <v/>
      </c>
      <c r="K9" s="11" t="str">
        <f>"PFES1162578651_0001"</f>
        <v>PFES1162578651_0001</v>
      </c>
      <c r="L9" s="11">
        <v>1</v>
      </c>
      <c r="M9" s="11">
        <v>3</v>
      </c>
    </row>
    <row r="10" spans="1:13">
      <c r="A10" s="9">
        <v>43007</v>
      </c>
      <c r="B10" s="10">
        <v>0.63611111111111118</v>
      </c>
      <c r="C10" s="11" t="str">
        <f>"FES1162578650"</f>
        <v>FES1162578650</v>
      </c>
      <c r="D10" s="11" t="s">
        <v>19</v>
      </c>
      <c r="E10" s="11" t="s">
        <v>29</v>
      </c>
      <c r="F10" s="11" t="str">
        <f>"2170585524 "</f>
        <v xml:space="preserve">2170585524 </v>
      </c>
      <c r="G10" s="11" t="str">
        <f t="shared" si="0"/>
        <v>ON1</v>
      </c>
      <c r="H10" s="11" t="s">
        <v>21</v>
      </c>
      <c r="I10" s="11" t="s">
        <v>30</v>
      </c>
      <c r="J10" s="11" t="str">
        <f>""</f>
        <v/>
      </c>
      <c r="K10" s="11" t="str">
        <f>"PFES1162578650_0001"</f>
        <v>PFES1162578650_0001</v>
      </c>
      <c r="L10" s="11">
        <v>1</v>
      </c>
      <c r="M10" s="11">
        <v>1</v>
      </c>
    </row>
    <row r="11" spans="1:13">
      <c r="A11" s="9">
        <v>43007</v>
      </c>
      <c r="B11" s="10">
        <v>0.63611111111111118</v>
      </c>
      <c r="C11" s="11" t="str">
        <f>"FES1162578644"</f>
        <v>FES1162578644</v>
      </c>
      <c r="D11" s="11" t="s">
        <v>19</v>
      </c>
      <c r="E11" s="11" t="s">
        <v>31</v>
      </c>
      <c r="F11" s="11" t="str">
        <f>"2170593245 "</f>
        <v xml:space="preserve">2170593245 </v>
      </c>
      <c r="G11" s="11" t="str">
        <f t="shared" si="0"/>
        <v>ON1</v>
      </c>
      <c r="H11" s="11" t="s">
        <v>21</v>
      </c>
      <c r="I11" s="11" t="s">
        <v>32</v>
      </c>
      <c r="J11" s="11" t="str">
        <f>""</f>
        <v/>
      </c>
      <c r="K11" s="11" t="str">
        <f>"PFES1162578644_0001"</f>
        <v>PFES1162578644_0001</v>
      </c>
      <c r="L11" s="11">
        <v>1</v>
      </c>
      <c r="M11" s="11">
        <v>6</v>
      </c>
    </row>
    <row r="12" spans="1:13">
      <c r="A12" s="9">
        <v>43007</v>
      </c>
      <c r="B12" s="10">
        <v>0.63541666666666663</v>
      </c>
      <c r="C12" s="11" t="str">
        <f>"FES1162578622"</f>
        <v>FES1162578622</v>
      </c>
      <c r="D12" s="11" t="s">
        <v>19</v>
      </c>
      <c r="E12" s="11" t="s">
        <v>33</v>
      </c>
      <c r="F12" s="11" t="str">
        <f>"2170593230 "</f>
        <v xml:space="preserve">2170593230 </v>
      </c>
      <c r="G12" s="11" t="str">
        <f t="shared" si="0"/>
        <v>ON1</v>
      </c>
      <c r="H12" s="11" t="s">
        <v>21</v>
      </c>
      <c r="I12" s="11" t="s">
        <v>34</v>
      </c>
      <c r="J12" s="11" t="str">
        <f>""</f>
        <v/>
      </c>
      <c r="K12" s="11" t="str">
        <f>"PFES1162578622_0001"</f>
        <v>PFES1162578622_0001</v>
      </c>
      <c r="L12" s="11">
        <v>1</v>
      </c>
      <c r="M12" s="11">
        <v>1</v>
      </c>
    </row>
    <row r="13" spans="1:13">
      <c r="A13" s="9">
        <v>43007</v>
      </c>
      <c r="B13" s="10">
        <v>0.63541666666666663</v>
      </c>
      <c r="C13" s="11" t="str">
        <f>"FES1162578664"</f>
        <v>FES1162578664</v>
      </c>
      <c r="D13" s="11" t="s">
        <v>19</v>
      </c>
      <c r="E13" s="11" t="s">
        <v>35</v>
      </c>
      <c r="F13" s="11" t="str">
        <f>"2170593268 "</f>
        <v xml:space="preserve">2170593268 </v>
      </c>
      <c r="G13" s="11" t="str">
        <f t="shared" si="0"/>
        <v>ON1</v>
      </c>
      <c r="H13" s="11" t="s">
        <v>21</v>
      </c>
      <c r="I13" s="11" t="s">
        <v>36</v>
      </c>
      <c r="J13" s="11" t="str">
        <f>""</f>
        <v/>
      </c>
      <c r="K13" s="11" t="str">
        <f>"PFES1162578664_0001"</f>
        <v>PFES1162578664_0001</v>
      </c>
      <c r="L13" s="11">
        <v>1</v>
      </c>
      <c r="M13" s="11">
        <v>1</v>
      </c>
    </row>
    <row r="14" spans="1:13">
      <c r="A14" s="9">
        <v>43007</v>
      </c>
      <c r="B14" s="10">
        <v>0.63472222222222219</v>
      </c>
      <c r="C14" s="11" t="str">
        <f>"FES1162578620"</f>
        <v>FES1162578620</v>
      </c>
      <c r="D14" s="11" t="s">
        <v>19</v>
      </c>
      <c r="E14" s="11" t="s">
        <v>37</v>
      </c>
      <c r="F14" s="11" t="str">
        <f>"2170593227 "</f>
        <v xml:space="preserve">2170593227 </v>
      </c>
      <c r="G14" s="11" t="str">
        <f t="shared" si="0"/>
        <v>ON1</v>
      </c>
      <c r="H14" s="11" t="s">
        <v>21</v>
      </c>
      <c r="I14" s="11" t="s">
        <v>34</v>
      </c>
      <c r="J14" s="11" t="str">
        <f>""</f>
        <v/>
      </c>
      <c r="K14" s="11" t="str">
        <f>"PFES1162578620_0001"</f>
        <v>PFES1162578620_0001</v>
      </c>
      <c r="L14" s="11">
        <v>1</v>
      </c>
      <c r="M14" s="11">
        <v>1</v>
      </c>
    </row>
    <row r="15" spans="1:13">
      <c r="A15" s="9">
        <v>43007</v>
      </c>
      <c r="B15" s="10">
        <v>0.63472222222222219</v>
      </c>
      <c r="C15" s="11" t="str">
        <f>"FES1162578634"</f>
        <v>FES1162578634</v>
      </c>
      <c r="D15" s="11" t="s">
        <v>19</v>
      </c>
      <c r="E15" s="11" t="s">
        <v>38</v>
      </c>
      <c r="F15" s="11" t="str">
        <f>"2170593241 "</f>
        <v xml:space="preserve">2170593241 </v>
      </c>
      <c r="G15" s="11" t="str">
        <f t="shared" si="0"/>
        <v>ON1</v>
      </c>
      <c r="H15" s="11" t="s">
        <v>21</v>
      </c>
      <c r="I15" s="11" t="s">
        <v>39</v>
      </c>
      <c r="J15" s="11" t="str">
        <f>""</f>
        <v/>
      </c>
      <c r="K15" s="11" t="str">
        <f>"PFES1162578634_0001"</f>
        <v>PFES1162578634_0001</v>
      </c>
      <c r="L15" s="11">
        <v>1</v>
      </c>
      <c r="M15" s="11">
        <v>1</v>
      </c>
    </row>
    <row r="16" spans="1:13">
      <c r="A16" s="9">
        <v>43007</v>
      </c>
      <c r="B16" s="10">
        <v>0.63472222222222219</v>
      </c>
      <c r="C16" s="11" t="str">
        <f>"FES1162578689"</f>
        <v>FES1162578689</v>
      </c>
      <c r="D16" s="11" t="s">
        <v>19</v>
      </c>
      <c r="E16" s="11" t="s">
        <v>40</v>
      </c>
      <c r="F16" s="11" t="str">
        <f>"2170591433 "</f>
        <v xml:space="preserve">2170591433 </v>
      </c>
      <c r="G16" s="11" t="str">
        <f t="shared" si="0"/>
        <v>ON1</v>
      </c>
      <c r="H16" s="11" t="s">
        <v>21</v>
      </c>
      <c r="I16" s="11" t="s">
        <v>41</v>
      </c>
      <c r="J16" s="11" t="str">
        <f>""</f>
        <v/>
      </c>
      <c r="K16" s="11" t="str">
        <f>"PFES1162578689_0001"</f>
        <v>PFES1162578689_0001</v>
      </c>
      <c r="L16" s="11">
        <v>1</v>
      </c>
      <c r="M16" s="11">
        <v>1</v>
      </c>
    </row>
    <row r="17" spans="1:13">
      <c r="A17" s="9">
        <v>43007</v>
      </c>
      <c r="B17" s="10">
        <v>0.63472222222222219</v>
      </c>
      <c r="C17" s="11" t="str">
        <f>"FES1162578663"</f>
        <v>FES1162578663</v>
      </c>
      <c r="D17" s="11" t="s">
        <v>19</v>
      </c>
      <c r="E17" s="11" t="s">
        <v>42</v>
      </c>
      <c r="F17" s="11" t="str">
        <f>"2170593267 "</f>
        <v xml:space="preserve">2170593267 </v>
      </c>
      <c r="G17" s="11" t="str">
        <f t="shared" si="0"/>
        <v>ON1</v>
      </c>
      <c r="H17" s="11" t="s">
        <v>21</v>
      </c>
      <c r="I17" s="11" t="s">
        <v>43</v>
      </c>
      <c r="J17" s="11" t="str">
        <f>""</f>
        <v/>
      </c>
      <c r="K17" s="11" t="str">
        <f>"PFES1162578663_0001"</f>
        <v>PFES1162578663_0001</v>
      </c>
      <c r="L17" s="11">
        <v>1</v>
      </c>
      <c r="M17" s="11">
        <v>1</v>
      </c>
    </row>
    <row r="18" spans="1:13">
      <c r="A18" s="9">
        <v>43007</v>
      </c>
      <c r="B18" s="10">
        <v>0.63472222222222219</v>
      </c>
      <c r="C18" s="11" t="str">
        <f>"FES1162578624"</f>
        <v>FES1162578624</v>
      </c>
      <c r="D18" s="11" t="s">
        <v>19</v>
      </c>
      <c r="E18" s="11" t="s">
        <v>25</v>
      </c>
      <c r="F18" s="11" t="str">
        <f>"2170593235 "</f>
        <v xml:space="preserve">2170593235 </v>
      </c>
      <c r="G18" s="11" t="str">
        <f t="shared" si="0"/>
        <v>ON1</v>
      </c>
      <c r="H18" s="11" t="s">
        <v>21</v>
      </c>
      <c r="I18" s="11" t="s">
        <v>26</v>
      </c>
      <c r="J18" s="11" t="str">
        <f>""</f>
        <v/>
      </c>
      <c r="K18" s="11" t="str">
        <f>"PFES1162578624_0001"</f>
        <v>PFES1162578624_0001</v>
      </c>
      <c r="L18" s="11">
        <v>1</v>
      </c>
      <c r="M18" s="11">
        <v>1</v>
      </c>
    </row>
    <row r="19" spans="1:13">
      <c r="A19" s="9">
        <v>43007</v>
      </c>
      <c r="B19" s="10">
        <v>0.63402777777777775</v>
      </c>
      <c r="C19" s="11" t="str">
        <f>"FES1162578687"</f>
        <v>FES1162578687</v>
      </c>
      <c r="D19" s="11" t="s">
        <v>19</v>
      </c>
      <c r="E19" s="11" t="s">
        <v>44</v>
      </c>
      <c r="F19" s="11" t="str">
        <f>"2170598629 "</f>
        <v xml:space="preserve">2170598629 </v>
      </c>
      <c r="G19" s="11" t="str">
        <f t="shared" si="0"/>
        <v>ON1</v>
      </c>
      <c r="H19" s="11" t="s">
        <v>21</v>
      </c>
      <c r="I19" s="11" t="s">
        <v>45</v>
      </c>
      <c r="J19" s="11" t="str">
        <f>""</f>
        <v/>
      </c>
      <c r="K19" s="11" t="str">
        <f>"PFES1162578687_0001"</f>
        <v>PFES1162578687_0001</v>
      </c>
      <c r="L19" s="11">
        <v>1</v>
      </c>
      <c r="M19" s="11">
        <v>1</v>
      </c>
    </row>
    <row r="20" spans="1:13">
      <c r="A20" s="9">
        <v>43007</v>
      </c>
      <c r="B20" s="10">
        <v>0.63402777777777775</v>
      </c>
      <c r="C20" s="11" t="str">
        <f>"FES1162578501"</f>
        <v>FES1162578501</v>
      </c>
      <c r="D20" s="11" t="s">
        <v>19</v>
      </c>
      <c r="E20" s="11" t="s">
        <v>46</v>
      </c>
      <c r="F20" s="11" t="str">
        <f>"2170591067 "</f>
        <v xml:space="preserve">2170591067 </v>
      </c>
      <c r="G20" s="11" t="str">
        <f t="shared" si="0"/>
        <v>ON1</v>
      </c>
      <c r="H20" s="11" t="s">
        <v>21</v>
      </c>
      <c r="I20" s="11" t="s">
        <v>47</v>
      </c>
      <c r="J20" s="11" t="str">
        <f>""</f>
        <v/>
      </c>
      <c r="K20" s="11" t="str">
        <f>"PFES1162578501_0001"</f>
        <v>PFES1162578501_0001</v>
      </c>
      <c r="L20" s="11">
        <v>1</v>
      </c>
      <c r="M20" s="11">
        <v>1</v>
      </c>
    </row>
    <row r="21" spans="1:13">
      <c r="A21" s="9">
        <v>43007</v>
      </c>
      <c r="B21" s="10">
        <v>0.6333333333333333</v>
      </c>
      <c r="C21" s="11" t="str">
        <f>"FES1162578610"</f>
        <v>FES1162578610</v>
      </c>
      <c r="D21" s="11" t="s">
        <v>19</v>
      </c>
      <c r="E21" s="11" t="s">
        <v>48</v>
      </c>
      <c r="F21" s="11" t="str">
        <f>"2170593215 "</f>
        <v xml:space="preserve">2170593215 </v>
      </c>
      <c r="G21" s="11" t="str">
        <f t="shared" si="0"/>
        <v>ON1</v>
      </c>
      <c r="H21" s="11" t="s">
        <v>21</v>
      </c>
      <c r="I21" s="11" t="s">
        <v>49</v>
      </c>
      <c r="J21" s="11" t="str">
        <f>""</f>
        <v/>
      </c>
      <c r="K21" s="11" t="str">
        <f>"PFES1162578610_0001"</f>
        <v>PFES1162578610_0001</v>
      </c>
      <c r="L21" s="11">
        <v>1</v>
      </c>
      <c r="M21" s="11">
        <v>1</v>
      </c>
    </row>
    <row r="22" spans="1:13">
      <c r="A22" s="9">
        <v>43007</v>
      </c>
      <c r="B22" s="10">
        <v>0.63263888888888886</v>
      </c>
      <c r="C22" s="11" t="str">
        <f>"FES1162578661"</f>
        <v>FES1162578661</v>
      </c>
      <c r="D22" s="11" t="s">
        <v>19</v>
      </c>
      <c r="E22" s="11" t="s">
        <v>50</v>
      </c>
      <c r="F22" s="11" t="str">
        <f>"2170589560 "</f>
        <v xml:space="preserve">2170589560 </v>
      </c>
      <c r="G22" s="11" t="str">
        <f t="shared" si="0"/>
        <v>ON1</v>
      </c>
      <c r="H22" s="11" t="s">
        <v>21</v>
      </c>
      <c r="I22" s="11" t="s">
        <v>51</v>
      </c>
      <c r="J22" s="11" t="str">
        <f>""</f>
        <v/>
      </c>
      <c r="K22" s="11" t="str">
        <f>"PFES1162578661_0001"</f>
        <v>PFES1162578661_0001</v>
      </c>
      <c r="L22" s="11">
        <v>2</v>
      </c>
      <c r="M22" s="11">
        <v>16</v>
      </c>
    </row>
    <row r="23" spans="1:13">
      <c r="A23" s="9">
        <v>43007</v>
      </c>
      <c r="B23" s="10">
        <v>0.63263888888888886</v>
      </c>
      <c r="C23" s="11" t="str">
        <f>"FES1162578661"</f>
        <v>FES1162578661</v>
      </c>
      <c r="D23" s="11" t="s">
        <v>19</v>
      </c>
      <c r="E23" s="11" t="s">
        <v>50</v>
      </c>
      <c r="F23" s="11" t="str">
        <f>"2170589560 "</f>
        <v xml:space="preserve">2170589560 </v>
      </c>
      <c r="G23" s="11" t="str">
        <f t="shared" si="0"/>
        <v>ON1</v>
      </c>
      <c r="H23" s="11" t="s">
        <v>21</v>
      </c>
      <c r="I23" s="11" t="s">
        <v>51</v>
      </c>
      <c r="J23" s="11"/>
      <c r="K23" s="11" t="str">
        <f>"PFES1162578661_0002"</f>
        <v>PFES1162578661_0002</v>
      </c>
      <c r="L23" s="11">
        <v>2</v>
      </c>
      <c r="M23" s="11">
        <v>16</v>
      </c>
    </row>
    <row r="24" spans="1:13">
      <c r="A24" s="9">
        <v>43007</v>
      </c>
      <c r="B24" s="10">
        <v>0.63263888888888886</v>
      </c>
      <c r="C24" s="11" t="str">
        <f>"FES1162578626"</f>
        <v>FES1162578626</v>
      </c>
      <c r="D24" s="11" t="s">
        <v>19</v>
      </c>
      <c r="E24" s="11" t="s">
        <v>52</v>
      </c>
      <c r="F24" s="11" t="str">
        <f>"2170591523 "</f>
        <v xml:space="preserve">2170591523 </v>
      </c>
      <c r="G24" s="11" t="str">
        <f t="shared" ref="G24:G62" si="1">"ON1"</f>
        <v>ON1</v>
      </c>
      <c r="H24" s="11" t="s">
        <v>21</v>
      </c>
      <c r="I24" s="11" t="s">
        <v>28</v>
      </c>
      <c r="J24" s="11" t="str">
        <f>""</f>
        <v/>
      </c>
      <c r="K24" s="11" t="str">
        <f>"PFES1162578626_0001"</f>
        <v>PFES1162578626_0001</v>
      </c>
      <c r="L24" s="11">
        <v>1</v>
      </c>
      <c r="M24" s="11">
        <v>1</v>
      </c>
    </row>
    <row r="25" spans="1:13">
      <c r="A25" s="9">
        <v>43007</v>
      </c>
      <c r="B25" s="10">
        <v>0.63194444444444442</v>
      </c>
      <c r="C25" s="11" t="str">
        <f>"FES1162578649"</f>
        <v>FES1162578649</v>
      </c>
      <c r="D25" s="11" t="s">
        <v>19</v>
      </c>
      <c r="E25" s="11" t="s">
        <v>53</v>
      </c>
      <c r="F25" s="11" t="str">
        <f>"2170594636 "</f>
        <v xml:space="preserve">2170594636 </v>
      </c>
      <c r="G25" s="11" t="str">
        <f t="shared" si="1"/>
        <v>ON1</v>
      </c>
      <c r="H25" s="11" t="s">
        <v>21</v>
      </c>
      <c r="I25" s="11" t="s">
        <v>54</v>
      </c>
      <c r="J25" s="11" t="str">
        <f>""</f>
        <v/>
      </c>
      <c r="K25" s="11" t="str">
        <f>"PFES1162578649_0001"</f>
        <v>PFES1162578649_0001</v>
      </c>
      <c r="L25" s="11">
        <v>1</v>
      </c>
      <c r="M25" s="11">
        <v>5</v>
      </c>
    </row>
    <row r="26" spans="1:13">
      <c r="A26" s="9">
        <v>43007</v>
      </c>
      <c r="B26" s="10">
        <v>0.63194444444444442</v>
      </c>
      <c r="C26" s="11" t="str">
        <f>"FES1162578660"</f>
        <v>FES1162578660</v>
      </c>
      <c r="D26" s="11" t="s">
        <v>19</v>
      </c>
      <c r="E26" s="11" t="s">
        <v>55</v>
      </c>
      <c r="F26" s="11" t="str">
        <f>"2170598439 "</f>
        <v xml:space="preserve">2170598439 </v>
      </c>
      <c r="G26" s="11" t="str">
        <f t="shared" si="1"/>
        <v>ON1</v>
      </c>
      <c r="H26" s="11" t="s">
        <v>21</v>
      </c>
      <c r="I26" s="11" t="s">
        <v>56</v>
      </c>
      <c r="J26" s="11" t="str">
        <f>""</f>
        <v/>
      </c>
      <c r="K26" s="11" t="str">
        <f>"PFES1162578660_0001"</f>
        <v>PFES1162578660_0001</v>
      </c>
      <c r="L26" s="11">
        <v>1</v>
      </c>
      <c r="M26" s="11">
        <v>2</v>
      </c>
    </row>
    <row r="27" spans="1:13">
      <c r="A27" s="9">
        <v>43007</v>
      </c>
      <c r="B27" s="10">
        <v>0.63124999999999998</v>
      </c>
      <c r="C27" s="11" t="str">
        <f>"FES1162578398"</f>
        <v>FES1162578398</v>
      </c>
      <c r="D27" s="11" t="s">
        <v>19</v>
      </c>
      <c r="E27" s="11" t="s">
        <v>57</v>
      </c>
      <c r="F27" s="11" t="str">
        <f>"2170590739 "</f>
        <v xml:space="preserve">2170590739 </v>
      </c>
      <c r="G27" s="11" t="str">
        <f t="shared" si="1"/>
        <v>ON1</v>
      </c>
      <c r="H27" s="11" t="s">
        <v>21</v>
      </c>
      <c r="I27" s="11" t="s">
        <v>58</v>
      </c>
      <c r="J27" s="11" t="str">
        <f>""</f>
        <v/>
      </c>
      <c r="K27" s="11" t="str">
        <f>"PFES1162578398_0001"</f>
        <v>PFES1162578398_0001</v>
      </c>
      <c r="L27" s="11">
        <v>1</v>
      </c>
      <c r="M27" s="11">
        <v>1</v>
      </c>
    </row>
    <row r="28" spans="1:13">
      <c r="A28" s="9">
        <v>43007</v>
      </c>
      <c r="B28" s="10">
        <v>0.63124999999999998</v>
      </c>
      <c r="C28" s="11" t="str">
        <f>"FES1162578618"</f>
        <v>FES1162578618</v>
      </c>
      <c r="D28" s="11" t="s">
        <v>19</v>
      </c>
      <c r="E28" s="11" t="s">
        <v>25</v>
      </c>
      <c r="F28" s="11" t="str">
        <f>"2170593224 "</f>
        <v xml:space="preserve">2170593224 </v>
      </c>
      <c r="G28" s="11" t="str">
        <f t="shared" si="1"/>
        <v>ON1</v>
      </c>
      <c r="H28" s="11" t="s">
        <v>21</v>
      </c>
      <c r="I28" s="11" t="s">
        <v>59</v>
      </c>
      <c r="J28" s="11" t="str">
        <f>""</f>
        <v/>
      </c>
      <c r="K28" s="11" t="str">
        <f>"PFES1162578618_0001"</f>
        <v>PFES1162578618_0001</v>
      </c>
      <c r="L28" s="11">
        <v>1</v>
      </c>
      <c r="M28" s="11">
        <v>2</v>
      </c>
    </row>
    <row r="29" spans="1:13">
      <c r="A29" s="9">
        <v>43007</v>
      </c>
      <c r="B29" s="10">
        <v>0.63055555555555554</v>
      </c>
      <c r="C29" s="11" t="str">
        <f>"FES1162578652"</f>
        <v>FES1162578652</v>
      </c>
      <c r="D29" s="11" t="s">
        <v>19</v>
      </c>
      <c r="E29" s="11" t="s">
        <v>60</v>
      </c>
      <c r="F29" s="11" t="str">
        <f>"2170587071 "</f>
        <v xml:space="preserve">2170587071 </v>
      </c>
      <c r="G29" s="11" t="str">
        <f t="shared" si="1"/>
        <v>ON1</v>
      </c>
      <c r="H29" s="11" t="s">
        <v>21</v>
      </c>
      <c r="I29" s="11" t="s">
        <v>61</v>
      </c>
      <c r="J29" s="11" t="str">
        <f>""</f>
        <v/>
      </c>
      <c r="K29" s="11" t="str">
        <f>"PFES1162578652_0001"</f>
        <v>PFES1162578652_0001</v>
      </c>
      <c r="L29" s="11">
        <v>1</v>
      </c>
      <c r="M29" s="11">
        <v>9</v>
      </c>
    </row>
    <row r="30" spans="1:13">
      <c r="A30" s="9">
        <v>43007</v>
      </c>
      <c r="B30" s="10">
        <v>0.63055555555555554</v>
      </c>
      <c r="C30" s="11" t="str">
        <f>"FES1162564176"</f>
        <v>FES1162564176</v>
      </c>
      <c r="D30" s="11" t="s">
        <v>19</v>
      </c>
      <c r="E30" s="11" t="s">
        <v>62</v>
      </c>
      <c r="F30" s="11" t="str">
        <f>"2170577638 "</f>
        <v xml:space="preserve">2170577638 </v>
      </c>
      <c r="G30" s="11" t="str">
        <f t="shared" si="1"/>
        <v>ON1</v>
      </c>
      <c r="H30" s="11" t="s">
        <v>21</v>
      </c>
      <c r="I30" s="11" t="s">
        <v>63</v>
      </c>
      <c r="J30" s="11" t="str">
        <f>""</f>
        <v/>
      </c>
      <c r="K30" s="11" t="str">
        <f>"PFES1162564176_0001"</f>
        <v>PFES1162564176_0001</v>
      </c>
      <c r="L30" s="11">
        <v>1</v>
      </c>
      <c r="M30" s="11">
        <v>1</v>
      </c>
    </row>
    <row r="31" spans="1:13">
      <c r="A31" s="9">
        <v>43007</v>
      </c>
      <c r="B31" s="10">
        <v>0.62986111111111109</v>
      </c>
      <c r="C31" s="11" t="str">
        <f>"FES1162578397"</f>
        <v>FES1162578397</v>
      </c>
      <c r="D31" s="11" t="s">
        <v>19</v>
      </c>
      <c r="E31" s="11" t="s">
        <v>64</v>
      </c>
      <c r="F31" s="11" t="str">
        <f>"2170590737 "</f>
        <v xml:space="preserve">2170590737 </v>
      </c>
      <c r="G31" s="11" t="str">
        <f t="shared" si="1"/>
        <v>ON1</v>
      </c>
      <c r="H31" s="11" t="s">
        <v>21</v>
      </c>
      <c r="I31" s="11" t="s">
        <v>65</v>
      </c>
      <c r="J31" s="11" t="str">
        <f>""</f>
        <v/>
      </c>
      <c r="K31" s="11" t="str">
        <f>"PFES1162578397_0001"</f>
        <v>PFES1162578397_0001</v>
      </c>
      <c r="L31" s="11">
        <v>1</v>
      </c>
      <c r="M31" s="11">
        <v>1</v>
      </c>
    </row>
    <row r="32" spans="1:13">
      <c r="A32" s="9">
        <v>43007</v>
      </c>
      <c r="B32" s="10">
        <v>0.62986111111111109</v>
      </c>
      <c r="C32" s="11" t="str">
        <f>"FES1162577600"</f>
        <v>FES1162577600</v>
      </c>
      <c r="D32" s="11" t="s">
        <v>19</v>
      </c>
      <c r="E32" s="11" t="s">
        <v>66</v>
      </c>
      <c r="F32" s="11" t="str">
        <f>"2170590853 "</f>
        <v xml:space="preserve">2170590853 </v>
      </c>
      <c r="G32" s="11" t="str">
        <f t="shared" si="1"/>
        <v>ON1</v>
      </c>
      <c r="H32" s="11" t="s">
        <v>21</v>
      </c>
      <c r="I32" s="11" t="s">
        <v>49</v>
      </c>
      <c r="J32" s="11" t="str">
        <f>""</f>
        <v/>
      </c>
      <c r="K32" s="11" t="str">
        <f>"PFES1162577600_0001"</f>
        <v>PFES1162577600_0001</v>
      </c>
      <c r="L32" s="11">
        <v>1</v>
      </c>
      <c r="M32" s="11">
        <v>1</v>
      </c>
    </row>
    <row r="33" spans="1:13">
      <c r="A33" s="9">
        <v>43007</v>
      </c>
      <c r="B33" s="10">
        <v>0.62986111111111109</v>
      </c>
      <c r="C33" s="11" t="str">
        <f>"FES1162578500"</f>
        <v>FES1162578500</v>
      </c>
      <c r="D33" s="11" t="s">
        <v>19</v>
      </c>
      <c r="E33" s="11" t="s">
        <v>67</v>
      </c>
      <c r="F33" s="11" t="str">
        <f>"2170591065 "</f>
        <v xml:space="preserve">2170591065 </v>
      </c>
      <c r="G33" s="11" t="str">
        <f t="shared" si="1"/>
        <v>ON1</v>
      </c>
      <c r="H33" s="11" t="s">
        <v>21</v>
      </c>
      <c r="I33" s="11" t="s">
        <v>68</v>
      </c>
      <c r="J33" s="11" t="str">
        <f>""</f>
        <v/>
      </c>
      <c r="K33" s="11" t="str">
        <f>"PFES1162578500_0001"</f>
        <v>PFES1162578500_0001</v>
      </c>
      <c r="L33" s="11">
        <v>1</v>
      </c>
      <c r="M33" s="11">
        <v>1</v>
      </c>
    </row>
    <row r="34" spans="1:13">
      <c r="A34" s="9">
        <v>43007</v>
      </c>
      <c r="B34" s="10">
        <v>0.62986111111111109</v>
      </c>
      <c r="C34" s="11" t="str">
        <f>"FES1162578527"</f>
        <v>FES1162578527</v>
      </c>
      <c r="D34" s="11" t="s">
        <v>19</v>
      </c>
      <c r="E34" s="11" t="s">
        <v>69</v>
      </c>
      <c r="F34" s="11" t="str">
        <f>"2170591314 "</f>
        <v xml:space="preserve">2170591314 </v>
      </c>
      <c r="G34" s="11" t="str">
        <f t="shared" si="1"/>
        <v>ON1</v>
      </c>
      <c r="H34" s="11" t="s">
        <v>21</v>
      </c>
      <c r="I34" s="11" t="s">
        <v>70</v>
      </c>
      <c r="J34" s="11" t="str">
        <f>""</f>
        <v/>
      </c>
      <c r="K34" s="11" t="str">
        <f>"PFES1162578527_0001"</f>
        <v>PFES1162578527_0001</v>
      </c>
      <c r="L34" s="11">
        <v>1</v>
      </c>
      <c r="M34" s="11">
        <v>1</v>
      </c>
    </row>
    <row r="35" spans="1:13">
      <c r="A35" s="9">
        <v>43007</v>
      </c>
      <c r="B35" s="10">
        <v>0.62916666666666665</v>
      </c>
      <c r="C35" s="11" t="str">
        <f>"FES1162578436"</f>
        <v>FES1162578436</v>
      </c>
      <c r="D35" s="11" t="s">
        <v>19</v>
      </c>
      <c r="E35" s="11" t="s">
        <v>69</v>
      </c>
      <c r="F35" s="11" t="str">
        <f>"2170593128 "</f>
        <v xml:space="preserve">2170593128 </v>
      </c>
      <c r="G35" s="11" t="str">
        <f t="shared" si="1"/>
        <v>ON1</v>
      </c>
      <c r="H35" s="11" t="s">
        <v>21</v>
      </c>
      <c r="I35" s="11" t="s">
        <v>70</v>
      </c>
      <c r="J35" s="11" t="str">
        <f>""</f>
        <v/>
      </c>
      <c r="K35" s="11" t="str">
        <f>"PFES1162578436_0001"</f>
        <v>PFES1162578436_0001</v>
      </c>
      <c r="L35" s="11">
        <v>1</v>
      </c>
      <c r="M35" s="11">
        <v>1</v>
      </c>
    </row>
    <row r="36" spans="1:13">
      <c r="A36" s="9">
        <v>43007</v>
      </c>
      <c r="B36" s="10">
        <v>0.62916666666666665</v>
      </c>
      <c r="C36" s="11" t="str">
        <f>"FES1162578528"</f>
        <v>FES1162578528</v>
      </c>
      <c r="D36" s="11" t="s">
        <v>19</v>
      </c>
      <c r="E36" s="11" t="s">
        <v>67</v>
      </c>
      <c r="F36" s="11" t="str">
        <f>"2170591330 "</f>
        <v xml:space="preserve">2170591330 </v>
      </c>
      <c r="G36" s="11" t="str">
        <f t="shared" si="1"/>
        <v>ON1</v>
      </c>
      <c r="H36" s="11" t="s">
        <v>21</v>
      </c>
      <c r="I36" s="11" t="s">
        <v>68</v>
      </c>
      <c r="J36" s="11" t="str">
        <f>""</f>
        <v/>
      </c>
      <c r="K36" s="11" t="str">
        <f>"PFES1162578528_0001"</f>
        <v>PFES1162578528_0001</v>
      </c>
      <c r="L36" s="11">
        <v>1</v>
      </c>
      <c r="M36" s="11">
        <v>1</v>
      </c>
    </row>
    <row r="37" spans="1:13">
      <c r="A37" s="9">
        <v>43007</v>
      </c>
      <c r="B37" s="10">
        <v>0.62847222222222221</v>
      </c>
      <c r="C37" s="11" t="str">
        <f>"FES1162578360"</f>
        <v>FES1162578360</v>
      </c>
      <c r="D37" s="11" t="s">
        <v>19</v>
      </c>
      <c r="E37" s="11" t="s">
        <v>71</v>
      </c>
      <c r="F37" s="11" t="str">
        <f>"2170591418 "</f>
        <v xml:space="preserve">2170591418 </v>
      </c>
      <c r="G37" s="11" t="str">
        <f t="shared" si="1"/>
        <v>ON1</v>
      </c>
      <c r="H37" s="11" t="s">
        <v>21</v>
      </c>
      <c r="I37" s="11" t="s">
        <v>72</v>
      </c>
      <c r="J37" s="11" t="str">
        <f>""</f>
        <v/>
      </c>
      <c r="K37" s="11" t="str">
        <f>"PFES1162578360_0001"</f>
        <v>PFES1162578360_0001</v>
      </c>
      <c r="L37" s="11">
        <v>1</v>
      </c>
      <c r="M37" s="11">
        <v>1</v>
      </c>
    </row>
    <row r="38" spans="1:13">
      <c r="A38" s="9">
        <v>43007</v>
      </c>
      <c r="B38" s="10">
        <v>0.62777777777777777</v>
      </c>
      <c r="C38" s="11" t="str">
        <f>"FES1162578685"</f>
        <v>FES1162578685</v>
      </c>
      <c r="D38" s="11" t="s">
        <v>19</v>
      </c>
      <c r="E38" s="11" t="s">
        <v>73</v>
      </c>
      <c r="F38" s="11" t="str">
        <f>"2170593310 "</f>
        <v xml:space="preserve">2170593310 </v>
      </c>
      <c r="G38" s="11" t="str">
        <f t="shared" si="1"/>
        <v>ON1</v>
      </c>
      <c r="H38" s="11" t="s">
        <v>21</v>
      </c>
      <c r="I38" s="11" t="s">
        <v>74</v>
      </c>
      <c r="J38" s="11" t="str">
        <f>""</f>
        <v/>
      </c>
      <c r="K38" s="11" t="str">
        <f>"PFES1162578685_0001"</f>
        <v>PFES1162578685_0001</v>
      </c>
      <c r="L38" s="11">
        <v>1</v>
      </c>
      <c r="M38" s="11">
        <v>1</v>
      </c>
    </row>
    <row r="39" spans="1:13">
      <c r="A39" s="9">
        <v>43007</v>
      </c>
      <c r="B39" s="10">
        <v>0.62777777777777777</v>
      </c>
      <c r="C39" s="11" t="str">
        <f>"FES1162578356"</f>
        <v>FES1162578356</v>
      </c>
      <c r="D39" s="11" t="s">
        <v>19</v>
      </c>
      <c r="E39" s="11" t="s">
        <v>69</v>
      </c>
      <c r="F39" s="11" t="str">
        <f>"2170591317 "</f>
        <v xml:space="preserve">2170591317 </v>
      </c>
      <c r="G39" s="11" t="str">
        <f t="shared" si="1"/>
        <v>ON1</v>
      </c>
      <c r="H39" s="11" t="s">
        <v>21</v>
      </c>
      <c r="I39" s="11" t="s">
        <v>70</v>
      </c>
      <c r="J39" s="11" t="str">
        <f>""</f>
        <v/>
      </c>
      <c r="K39" s="11" t="str">
        <f>"PFES1162578356_0001"</f>
        <v>PFES1162578356_0001</v>
      </c>
      <c r="L39" s="11">
        <v>1</v>
      </c>
      <c r="M39" s="11">
        <v>1</v>
      </c>
    </row>
    <row r="40" spans="1:13">
      <c r="A40" s="9">
        <v>43007</v>
      </c>
      <c r="B40" s="10">
        <v>0.62708333333333333</v>
      </c>
      <c r="C40" s="11" t="str">
        <f>"FES1162578426"</f>
        <v>FES1162578426</v>
      </c>
      <c r="D40" s="11" t="s">
        <v>19</v>
      </c>
      <c r="E40" s="11" t="s">
        <v>75</v>
      </c>
      <c r="F40" s="11" t="str">
        <f>"2170591283 "</f>
        <v xml:space="preserve">2170591283 </v>
      </c>
      <c r="G40" s="11" t="str">
        <f t="shared" si="1"/>
        <v>ON1</v>
      </c>
      <c r="H40" s="11" t="s">
        <v>21</v>
      </c>
      <c r="I40" s="11" t="s">
        <v>76</v>
      </c>
      <c r="J40" s="11" t="str">
        <f>""</f>
        <v/>
      </c>
      <c r="K40" s="11" t="str">
        <f>"PFES1162578426_0001"</f>
        <v>PFES1162578426_0001</v>
      </c>
      <c r="L40" s="11">
        <v>1</v>
      </c>
      <c r="M40" s="11">
        <v>1</v>
      </c>
    </row>
    <row r="41" spans="1:13">
      <c r="A41" s="9">
        <v>43007</v>
      </c>
      <c r="B41" s="10">
        <v>0.62708333333333333</v>
      </c>
      <c r="C41" s="11" t="str">
        <f>"FES1162578604"</f>
        <v>FES1162578604</v>
      </c>
      <c r="D41" s="11" t="s">
        <v>19</v>
      </c>
      <c r="E41" s="11" t="s">
        <v>77</v>
      </c>
      <c r="F41" s="11" t="str">
        <f>"2170593212 "</f>
        <v xml:space="preserve">2170593212 </v>
      </c>
      <c r="G41" s="11" t="str">
        <f t="shared" si="1"/>
        <v>ON1</v>
      </c>
      <c r="H41" s="11" t="s">
        <v>21</v>
      </c>
      <c r="I41" s="11" t="s">
        <v>78</v>
      </c>
      <c r="J41" s="11" t="str">
        <f>""</f>
        <v/>
      </c>
      <c r="K41" s="11" t="str">
        <f>"PFES1162578604_0001"</f>
        <v>PFES1162578604_0001</v>
      </c>
      <c r="L41" s="11">
        <v>1</v>
      </c>
      <c r="M41" s="11">
        <v>1</v>
      </c>
    </row>
    <row r="42" spans="1:13">
      <c r="A42" s="9">
        <v>43007</v>
      </c>
      <c r="B42" s="10">
        <v>0.62708333333333333</v>
      </c>
      <c r="C42" s="11" t="str">
        <f>"FES1162578481"</f>
        <v>FES1162578481</v>
      </c>
      <c r="D42" s="11" t="s">
        <v>19</v>
      </c>
      <c r="E42" s="11" t="s">
        <v>79</v>
      </c>
      <c r="F42" s="11" t="str">
        <f>"2170590849 "</f>
        <v xml:space="preserve">2170590849 </v>
      </c>
      <c r="G42" s="11" t="str">
        <f t="shared" si="1"/>
        <v>ON1</v>
      </c>
      <c r="H42" s="11" t="s">
        <v>21</v>
      </c>
      <c r="I42" s="11" t="s">
        <v>80</v>
      </c>
      <c r="J42" s="11" t="str">
        <f>""</f>
        <v/>
      </c>
      <c r="K42" s="11" t="str">
        <f>"PFES1162578481_0001"</f>
        <v>PFES1162578481_0001</v>
      </c>
      <c r="L42" s="11">
        <v>1</v>
      </c>
      <c r="M42" s="11">
        <v>1</v>
      </c>
    </row>
    <row r="43" spans="1:13">
      <c r="A43" s="9">
        <v>43007</v>
      </c>
      <c r="B43" s="10">
        <v>0.62708333333333333</v>
      </c>
      <c r="C43" s="11" t="str">
        <f>"FES1162578551"</f>
        <v>FES1162578551</v>
      </c>
      <c r="D43" s="11" t="s">
        <v>19</v>
      </c>
      <c r="E43" s="11" t="s">
        <v>81</v>
      </c>
      <c r="F43" s="11" t="str">
        <f>"2170591944 "</f>
        <v xml:space="preserve">2170591944 </v>
      </c>
      <c r="G43" s="11" t="str">
        <f t="shared" si="1"/>
        <v>ON1</v>
      </c>
      <c r="H43" s="11" t="s">
        <v>21</v>
      </c>
      <c r="I43" s="11" t="s">
        <v>82</v>
      </c>
      <c r="J43" s="11" t="str">
        <f>""</f>
        <v/>
      </c>
      <c r="K43" s="11" t="str">
        <f>"PFES1162578551_0001"</f>
        <v>PFES1162578551_0001</v>
      </c>
      <c r="L43" s="11">
        <v>1</v>
      </c>
      <c r="M43" s="11">
        <v>1</v>
      </c>
    </row>
    <row r="44" spans="1:13">
      <c r="A44" s="9">
        <v>43007</v>
      </c>
      <c r="B44" s="10">
        <v>0.62638888888888888</v>
      </c>
      <c r="C44" s="11" t="str">
        <f>"FES1162578505"</f>
        <v>FES1162578505</v>
      </c>
      <c r="D44" s="11" t="s">
        <v>19</v>
      </c>
      <c r="E44" s="11" t="s">
        <v>67</v>
      </c>
      <c r="F44" s="11" t="str">
        <f>"21705991047 "</f>
        <v xml:space="preserve">21705991047 </v>
      </c>
      <c r="G44" s="11" t="str">
        <f t="shared" si="1"/>
        <v>ON1</v>
      </c>
      <c r="H44" s="11" t="s">
        <v>21</v>
      </c>
      <c r="I44" s="11" t="s">
        <v>68</v>
      </c>
      <c r="J44" s="11" t="str">
        <f>""</f>
        <v/>
      </c>
      <c r="K44" s="11" t="str">
        <f>"PFES1162578505_0001"</f>
        <v>PFES1162578505_0001</v>
      </c>
      <c r="L44" s="11">
        <v>1</v>
      </c>
      <c r="M44" s="11">
        <v>1</v>
      </c>
    </row>
    <row r="45" spans="1:13">
      <c r="A45" s="9">
        <v>43007</v>
      </c>
      <c r="B45" s="10">
        <v>0.5854166666666667</v>
      </c>
      <c r="C45" s="11" t="str">
        <f>"FES1162578340"</f>
        <v>FES1162578340</v>
      </c>
      <c r="D45" s="11" t="s">
        <v>19</v>
      </c>
      <c r="E45" s="11" t="s">
        <v>83</v>
      </c>
      <c r="F45" s="11" t="str">
        <f>"2170593112 "</f>
        <v xml:space="preserve">2170593112 </v>
      </c>
      <c r="G45" s="11" t="str">
        <f t="shared" si="1"/>
        <v>ON1</v>
      </c>
      <c r="H45" s="11" t="s">
        <v>21</v>
      </c>
      <c r="I45" s="11" t="s">
        <v>84</v>
      </c>
      <c r="J45" s="11" t="str">
        <f>""</f>
        <v/>
      </c>
      <c r="K45" s="11" t="str">
        <f>"PFES1162578340_0001"</f>
        <v>PFES1162578340_0001</v>
      </c>
      <c r="L45" s="11">
        <v>1</v>
      </c>
      <c r="M45" s="11">
        <v>2</v>
      </c>
    </row>
    <row r="46" spans="1:13">
      <c r="A46" s="9">
        <v>43007</v>
      </c>
      <c r="B46" s="10">
        <v>0.58472222222222225</v>
      </c>
      <c r="C46" s="11" t="str">
        <f>"FES1162578519"</f>
        <v>FES1162578519</v>
      </c>
      <c r="D46" s="11" t="s">
        <v>19</v>
      </c>
      <c r="E46" s="11" t="s">
        <v>85</v>
      </c>
      <c r="F46" s="11" t="str">
        <f>"2170591253 "</f>
        <v xml:space="preserve">2170591253 </v>
      </c>
      <c r="G46" s="11" t="str">
        <f t="shared" si="1"/>
        <v>ON1</v>
      </c>
      <c r="H46" s="11" t="s">
        <v>21</v>
      </c>
      <c r="I46" s="11" t="s">
        <v>86</v>
      </c>
      <c r="J46" s="11" t="str">
        <f>""</f>
        <v/>
      </c>
      <c r="K46" s="11" t="str">
        <f>"PFES1162578519_0001"</f>
        <v>PFES1162578519_0001</v>
      </c>
      <c r="L46" s="11">
        <v>1</v>
      </c>
      <c r="M46" s="11">
        <v>1</v>
      </c>
    </row>
    <row r="47" spans="1:13">
      <c r="A47" s="9">
        <v>43007</v>
      </c>
      <c r="B47" s="10">
        <v>0.58472222222222225</v>
      </c>
      <c r="C47" s="11" t="str">
        <f>"FES1162578313"</f>
        <v>FES1162578313</v>
      </c>
      <c r="D47" s="11" t="s">
        <v>19</v>
      </c>
      <c r="E47" s="11" t="s">
        <v>87</v>
      </c>
      <c r="F47" s="11" t="str">
        <f>"2170592308 "</f>
        <v xml:space="preserve">2170592308 </v>
      </c>
      <c r="G47" s="11" t="str">
        <f t="shared" si="1"/>
        <v>ON1</v>
      </c>
      <c r="H47" s="11" t="s">
        <v>21</v>
      </c>
      <c r="I47" s="11" t="s">
        <v>88</v>
      </c>
      <c r="J47" s="11" t="str">
        <f>""</f>
        <v/>
      </c>
      <c r="K47" s="11" t="str">
        <f>"PFES1162578313_0001"</f>
        <v>PFES1162578313_0001</v>
      </c>
      <c r="L47" s="11">
        <v>1</v>
      </c>
      <c r="M47" s="11">
        <v>2</v>
      </c>
    </row>
    <row r="48" spans="1:13">
      <c r="A48" s="9">
        <v>43007</v>
      </c>
      <c r="B48" s="10">
        <v>0.58402777777777781</v>
      </c>
      <c r="C48" s="11" t="str">
        <f>"FES1162578547"</f>
        <v>FES1162578547</v>
      </c>
      <c r="D48" s="11" t="s">
        <v>19</v>
      </c>
      <c r="E48" s="11" t="s">
        <v>89</v>
      </c>
      <c r="F48" s="11" t="str">
        <f>"2170591550 "</f>
        <v xml:space="preserve">2170591550 </v>
      </c>
      <c r="G48" s="11" t="str">
        <f t="shared" si="1"/>
        <v>ON1</v>
      </c>
      <c r="H48" s="11" t="s">
        <v>21</v>
      </c>
      <c r="I48" s="11" t="s">
        <v>90</v>
      </c>
      <c r="J48" s="11" t="str">
        <f>""</f>
        <v/>
      </c>
      <c r="K48" s="11" t="str">
        <f>"PFES1162578547_0001"</f>
        <v>PFES1162578547_0001</v>
      </c>
      <c r="L48" s="11">
        <v>1</v>
      </c>
      <c r="M48" s="11">
        <v>4</v>
      </c>
    </row>
    <row r="49" spans="1:13">
      <c r="A49" s="9">
        <v>43007</v>
      </c>
      <c r="B49" s="10">
        <v>0.58402777777777781</v>
      </c>
      <c r="C49" s="11" t="str">
        <f>"FES1162578457"</f>
        <v>FES1162578457</v>
      </c>
      <c r="D49" s="11" t="s">
        <v>19</v>
      </c>
      <c r="E49" s="11" t="s">
        <v>91</v>
      </c>
      <c r="F49" s="11" t="str">
        <f>"217059831 "</f>
        <v xml:space="preserve">217059831 </v>
      </c>
      <c r="G49" s="11" t="str">
        <f t="shared" si="1"/>
        <v>ON1</v>
      </c>
      <c r="H49" s="11" t="s">
        <v>21</v>
      </c>
      <c r="I49" s="11" t="s">
        <v>92</v>
      </c>
      <c r="J49" s="11" t="str">
        <f>""</f>
        <v/>
      </c>
      <c r="K49" s="11" t="str">
        <f>"PFES1162578457_0001"</f>
        <v>PFES1162578457_0001</v>
      </c>
      <c r="L49" s="11">
        <v>1</v>
      </c>
      <c r="M49" s="11">
        <v>8</v>
      </c>
    </row>
    <row r="50" spans="1:13">
      <c r="A50" s="9">
        <v>43007</v>
      </c>
      <c r="B50" s="10">
        <v>0.58333333333333337</v>
      </c>
      <c r="C50" s="11" t="str">
        <f>"FES1162578446"</f>
        <v>FES1162578446</v>
      </c>
      <c r="D50" s="11" t="s">
        <v>19</v>
      </c>
      <c r="E50" s="11" t="s">
        <v>93</v>
      </c>
      <c r="F50" s="11" t="str">
        <f>"2170593148 "</f>
        <v xml:space="preserve">2170593148 </v>
      </c>
      <c r="G50" s="11" t="str">
        <f t="shared" si="1"/>
        <v>ON1</v>
      </c>
      <c r="H50" s="11" t="s">
        <v>21</v>
      </c>
      <c r="I50" s="11" t="s">
        <v>86</v>
      </c>
      <c r="J50" s="11" t="str">
        <f>""</f>
        <v/>
      </c>
      <c r="K50" s="11" t="str">
        <f>"PFES1162578446_0001"</f>
        <v>PFES1162578446_0001</v>
      </c>
      <c r="L50" s="11">
        <v>1</v>
      </c>
      <c r="M50" s="11">
        <v>3</v>
      </c>
    </row>
    <row r="51" spans="1:13">
      <c r="A51" s="9">
        <v>43007</v>
      </c>
      <c r="B51" s="10">
        <v>0.58333333333333337</v>
      </c>
      <c r="C51" s="11" t="str">
        <f>"FES1162578329"</f>
        <v>FES1162578329</v>
      </c>
      <c r="D51" s="11" t="s">
        <v>19</v>
      </c>
      <c r="E51" s="11" t="s">
        <v>94</v>
      </c>
      <c r="F51" s="11" t="str">
        <f>"2170593091 "</f>
        <v xml:space="preserve">2170593091 </v>
      </c>
      <c r="G51" s="11" t="str">
        <f t="shared" si="1"/>
        <v>ON1</v>
      </c>
      <c r="H51" s="11" t="s">
        <v>21</v>
      </c>
      <c r="I51" s="11" t="s">
        <v>95</v>
      </c>
      <c r="J51" s="11" t="str">
        <f>""</f>
        <v/>
      </c>
      <c r="K51" s="11" t="str">
        <f>"PFES1162578329_0001"</f>
        <v>PFES1162578329_0001</v>
      </c>
      <c r="L51" s="11">
        <v>1</v>
      </c>
      <c r="M51" s="11">
        <v>7</v>
      </c>
    </row>
    <row r="52" spans="1:13">
      <c r="A52" s="9">
        <v>43007</v>
      </c>
      <c r="B52" s="10">
        <v>0.58263888888888882</v>
      </c>
      <c r="C52" s="11" t="str">
        <f>"FES1162578570"</f>
        <v>FES1162578570</v>
      </c>
      <c r="D52" s="11" t="s">
        <v>19</v>
      </c>
      <c r="E52" s="11" t="s">
        <v>96</v>
      </c>
      <c r="F52" s="11" t="str">
        <f>"217058570 "</f>
        <v xml:space="preserve">217058570 </v>
      </c>
      <c r="G52" s="11" t="str">
        <f t="shared" si="1"/>
        <v>ON1</v>
      </c>
      <c r="H52" s="11" t="s">
        <v>21</v>
      </c>
      <c r="I52" s="11" t="s">
        <v>97</v>
      </c>
      <c r="J52" s="11" t="str">
        <f>""</f>
        <v/>
      </c>
      <c r="K52" s="11" t="str">
        <f>"PFES1162578570_0001"</f>
        <v>PFES1162578570_0001</v>
      </c>
      <c r="L52" s="11">
        <v>1</v>
      </c>
      <c r="M52" s="11">
        <v>1</v>
      </c>
    </row>
    <row r="53" spans="1:13">
      <c r="A53" s="9">
        <v>43007</v>
      </c>
      <c r="B53" s="10">
        <v>0.58194444444444449</v>
      </c>
      <c r="C53" s="11" t="str">
        <f>"FES1162578396"</f>
        <v>FES1162578396</v>
      </c>
      <c r="D53" s="11" t="s">
        <v>19</v>
      </c>
      <c r="E53" s="11" t="s">
        <v>98</v>
      </c>
      <c r="F53" s="11" t="str">
        <f>"2170590731 "</f>
        <v xml:space="preserve">2170590731 </v>
      </c>
      <c r="G53" s="11" t="str">
        <f t="shared" si="1"/>
        <v>ON1</v>
      </c>
      <c r="H53" s="11" t="s">
        <v>21</v>
      </c>
      <c r="I53" s="11" t="s">
        <v>99</v>
      </c>
      <c r="J53" s="11" t="str">
        <f>""</f>
        <v/>
      </c>
      <c r="K53" s="11" t="str">
        <f>"PFES1162578396_0001"</f>
        <v>PFES1162578396_0001</v>
      </c>
      <c r="L53" s="11">
        <v>1</v>
      </c>
      <c r="M53" s="11">
        <v>1</v>
      </c>
    </row>
    <row r="54" spans="1:13">
      <c r="A54" s="9">
        <v>43007</v>
      </c>
      <c r="B54" s="10">
        <v>0.58124999999999993</v>
      </c>
      <c r="C54" s="11" t="str">
        <f>"FES1162578532"</f>
        <v>FES1162578532</v>
      </c>
      <c r="D54" s="11" t="s">
        <v>19</v>
      </c>
      <c r="E54" s="11" t="s">
        <v>100</v>
      </c>
      <c r="F54" s="11" t="str">
        <f>"2170591352 "</f>
        <v xml:space="preserve">2170591352 </v>
      </c>
      <c r="G54" s="11" t="str">
        <f t="shared" si="1"/>
        <v>ON1</v>
      </c>
      <c r="H54" s="11" t="s">
        <v>21</v>
      </c>
      <c r="I54" s="11" t="s">
        <v>101</v>
      </c>
      <c r="J54" s="11" t="str">
        <f>""</f>
        <v/>
      </c>
      <c r="K54" s="11" t="str">
        <f>"PFES1162578532_0001"</f>
        <v>PFES1162578532_0001</v>
      </c>
      <c r="L54" s="11">
        <v>1</v>
      </c>
      <c r="M54" s="11">
        <v>1</v>
      </c>
    </row>
    <row r="55" spans="1:13">
      <c r="A55" s="9">
        <v>43007</v>
      </c>
      <c r="B55" s="10">
        <v>0.57986111111111105</v>
      </c>
      <c r="C55" s="11" t="str">
        <f>"FES1162578333"</f>
        <v>FES1162578333</v>
      </c>
      <c r="D55" s="11" t="s">
        <v>19</v>
      </c>
      <c r="E55" s="11" t="s">
        <v>102</v>
      </c>
      <c r="F55" s="11" t="str">
        <f>"2170593100 "</f>
        <v xml:space="preserve">2170593100 </v>
      </c>
      <c r="G55" s="11" t="str">
        <f t="shared" si="1"/>
        <v>ON1</v>
      </c>
      <c r="H55" s="11" t="s">
        <v>21</v>
      </c>
      <c r="I55" s="11" t="s">
        <v>103</v>
      </c>
      <c r="J55" s="11" t="str">
        <f>""</f>
        <v/>
      </c>
      <c r="K55" s="11" t="str">
        <f>"PFES1162578333_0001"</f>
        <v>PFES1162578333_0001</v>
      </c>
      <c r="L55" s="11">
        <v>1</v>
      </c>
      <c r="M55" s="11">
        <v>1</v>
      </c>
    </row>
    <row r="56" spans="1:13">
      <c r="A56" s="9">
        <v>43007</v>
      </c>
      <c r="B56" s="10">
        <v>0.57847222222222217</v>
      </c>
      <c r="C56" s="11" t="str">
        <f>"FES1162578459"</f>
        <v>FES1162578459</v>
      </c>
      <c r="D56" s="11" t="s">
        <v>19</v>
      </c>
      <c r="E56" s="11" t="s">
        <v>104</v>
      </c>
      <c r="F56" s="11" t="str">
        <f>"2170590165 "</f>
        <v xml:space="preserve">2170590165 </v>
      </c>
      <c r="G56" s="11" t="str">
        <f t="shared" si="1"/>
        <v>ON1</v>
      </c>
      <c r="H56" s="11" t="s">
        <v>21</v>
      </c>
      <c r="I56" s="11" t="s">
        <v>105</v>
      </c>
      <c r="J56" s="11" t="str">
        <f>""</f>
        <v/>
      </c>
      <c r="K56" s="11" t="str">
        <f>"PFES1162578459_0001"</f>
        <v>PFES1162578459_0001</v>
      </c>
      <c r="L56" s="11">
        <v>1</v>
      </c>
      <c r="M56" s="11">
        <v>1</v>
      </c>
    </row>
    <row r="57" spans="1:13">
      <c r="A57" s="9">
        <v>43007</v>
      </c>
      <c r="B57" s="10">
        <v>0.57847222222222217</v>
      </c>
      <c r="C57" s="11" t="str">
        <f>"FES1162578462"</f>
        <v>FES1162578462</v>
      </c>
      <c r="D57" s="11" t="s">
        <v>19</v>
      </c>
      <c r="E57" s="11" t="s">
        <v>106</v>
      </c>
      <c r="F57" s="11" t="str">
        <f>"2170590357 "</f>
        <v xml:space="preserve">2170590357 </v>
      </c>
      <c r="G57" s="11" t="str">
        <f t="shared" si="1"/>
        <v>ON1</v>
      </c>
      <c r="H57" s="11" t="s">
        <v>21</v>
      </c>
      <c r="I57" s="11" t="s">
        <v>107</v>
      </c>
      <c r="J57" s="11" t="str">
        <f>""</f>
        <v/>
      </c>
      <c r="K57" s="11" t="str">
        <f>"PFES1162578462_0001"</f>
        <v>PFES1162578462_0001</v>
      </c>
      <c r="L57" s="11">
        <v>1</v>
      </c>
      <c r="M57" s="11">
        <v>1</v>
      </c>
    </row>
    <row r="58" spans="1:13">
      <c r="A58" s="9">
        <v>43007</v>
      </c>
      <c r="B58" s="10">
        <v>0.57708333333333328</v>
      </c>
      <c r="C58" s="11" t="str">
        <f>"FES1162578520"</f>
        <v>FES1162578520</v>
      </c>
      <c r="D58" s="11" t="s">
        <v>19</v>
      </c>
      <c r="E58" s="11" t="s">
        <v>85</v>
      </c>
      <c r="F58" s="11" t="str">
        <f>"2170591258 "</f>
        <v xml:space="preserve">2170591258 </v>
      </c>
      <c r="G58" s="11" t="str">
        <f t="shared" si="1"/>
        <v>ON1</v>
      </c>
      <c r="H58" s="11" t="s">
        <v>21</v>
      </c>
      <c r="I58" s="11" t="s">
        <v>86</v>
      </c>
      <c r="J58" s="11" t="str">
        <f>""</f>
        <v/>
      </c>
      <c r="K58" s="11" t="str">
        <f>"PFES1162578520_0001"</f>
        <v>PFES1162578520_0001</v>
      </c>
      <c r="L58" s="11">
        <v>1</v>
      </c>
      <c r="M58" s="11">
        <v>1</v>
      </c>
    </row>
    <row r="59" spans="1:13">
      <c r="A59" s="9">
        <v>43007</v>
      </c>
      <c r="B59" s="10">
        <v>0.57638888888888895</v>
      </c>
      <c r="C59" s="11" t="str">
        <f>"FES1162578521"</f>
        <v>FES1162578521</v>
      </c>
      <c r="D59" s="11" t="s">
        <v>19</v>
      </c>
      <c r="E59" s="11" t="s">
        <v>108</v>
      </c>
      <c r="F59" s="11" t="str">
        <f>"2170591268 "</f>
        <v xml:space="preserve">2170591268 </v>
      </c>
      <c r="G59" s="11" t="str">
        <f t="shared" si="1"/>
        <v>ON1</v>
      </c>
      <c r="H59" s="11" t="s">
        <v>21</v>
      </c>
      <c r="I59" s="11" t="s">
        <v>109</v>
      </c>
      <c r="J59" s="11" t="str">
        <f>""</f>
        <v/>
      </c>
      <c r="K59" s="11" t="str">
        <f>"PFES1162578521_0001"</f>
        <v>PFES1162578521_0001</v>
      </c>
      <c r="L59" s="11">
        <v>1</v>
      </c>
      <c r="M59" s="11">
        <v>1</v>
      </c>
    </row>
    <row r="60" spans="1:13">
      <c r="A60" s="9">
        <v>43007</v>
      </c>
      <c r="B60" s="10">
        <v>0.57500000000000007</v>
      </c>
      <c r="C60" s="11" t="str">
        <f>"FES1162578605"</f>
        <v>FES1162578605</v>
      </c>
      <c r="D60" s="11" t="s">
        <v>19</v>
      </c>
      <c r="E60" s="11" t="s">
        <v>110</v>
      </c>
      <c r="F60" s="11" t="str">
        <f>"2170593214 "</f>
        <v xml:space="preserve">2170593214 </v>
      </c>
      <c r="G60" s="11" t="str">
        <f t="shared" si="1"/>
        <v>ON1</v>
      </c>
      <c r="H60" s="11" t="s">
        <v>21</v>
      </c>
      <c r="I60" s="11" t="s">
        <v>111</v>
      </c>
      <c r="J60" s="11" t="str">
        <f>""</f>
        <v/>
      </c>
      <c r="K60" s="11" t="str">
        <f>"PFES1162578605_0001"</f>
        <v>PFES1162578605_0001</v>
      </c>
      <c r="L60" s="11">
        <v>1</v>
      </c>
      <c r="M60" s="11">
        <v>1</v>
      </c>
    </row>
    <row r="61" spans="1:13">
      <c r="A61" s="9">
        <v>43007</v>
      </c>
      <c r="B61" s="10">
        <v>0.57430555555555551</v>
      </c>
      <c r="C61" s="11" t="str">
        <f>"FES1162578588"</f>
        <v>FES1162578588</v>
      </c>
      <c r="D61" s="11" t="s">
        <v>19</v>
      </c>
      <c r="E61" s="11" t="s">
        <v>112</v>
      </c>
      <c r="F61" s="11" t="str">
        <f>"2170593186 "</f>
        <v xml:space="preserve">2170593186 </v>
      </c>
      <c r="G61" s="11" t="str">
        <f t="shared" si="1"/>
        <v>ON1</v>
      </c>
      <c r="H61" s="11" t="s">
        <v>21</v>
      </c>
      <c r="I61" s="11" t="s">
        <v>113</v>
      </c>
      <c r="J61" s="11" t="str">
        <f>""</f>
        <v/>
      </c>
      <c r="K61" s="11" t="str">
        <f>"PFES1162578588_0001"</f>
        <v>PFES1162578588_0001</v>
      </c>
      <c r="L61" s="11">
        <v>1</v>
      </c>
      <c r="M61" s="11">
        <v>1</v>
      </c>
    </row>
    <row r="62" spans="1:13">
      <c r="A62" s="9">
        <v>43007</v>
      </c>
      <c r="B62" s="10">
        <v>0.57430555555555551</v>
      </c>
      <c r="C62" s="11" t="str">
        <f>"FES1162578401"</f>
        <v>FES1162578401</v>
      </c>
      <c r="D62" s="11" t="s">
        <v>19</v>
      </c>
      <c r="E62" s="11" t="s">
        <v>46</v>
      </c>
      <c r="F62" s="11" t="str">
        <f>"2170590767 "</f>
        <v xml:space="preserve">2170590767 </v>
      </c>
      <c r="G62" s="11" t="str">
        <f t="shared" si="1"/>
        <v>ON1</v>
      </c>
      <c r="H62" s="11" t="s">
        <v>21</v>
      </c>
      <c r="I62" s="11" t="s">
        <v>114</v>
      </c>
      <c r="J62" s="11" t="str">
        <f>""</f>
        <v/>
      </c>
      <c r="K62" s="11" t="str">
        <f>"PFES1162578401_0001"</f>
        <v>PFES1162578401_0001</v>
      </c>
      <c r="L62" s="11">
        <v>1</v>
      </c>
      <c r="M62" s="11">
        <v>1</v>
      </c>
    </row>
    <row r="63" spans="1:13">
      <c r="A63" s="9">
        <v>43007</v>
      </c>
      <c r="B63" s="10">
        <v>0.56319444444444444</v>
      </c>
      <c r="C63" s="11" t="str">
        <f>"FES1162578638"</f>
        <v>FES1162578638</v>
      </c>
      <c r="D63" s="11" t="s">
        <v>19</v>
      </c>
      <c r="E63" s="11" t="s">
        <v>115</v>
      </c>
      <c r="F63" s="11" t="str">
        <f>"2170593011 "</f>
        <v xml:space="preserve">2170593011 </v>
      </c>
      <c r="G63" s="11" t="str">
        <f>"SAT"</f>
        <v>SAT</v>
      </c>
      <c r="H63" s="11" t="s">
        <v>21</v>
      </c>
      <c r="I63" s="11" t="s">
        <v>116</v>
      </c>
      <c r="J63" s="11" t="str">
        <f>"SATURDAY DELIVERY"</f>
        <v>SATURDAY DELIVERY</v>
      </c>
      <c r="K63" s="11" t="str">
        <f>"PFES1162578638_0001"</f>
        <v>PFES1162578638_0001</v>
      </c>
      <c r="L63" s="11">
        <v>1</v>
      </c>
      <c r="M63" s="11">
        <v>1</v>
      </c>
    </row>
    <row r="64" spans="1:13">
      <c r="A64" s="9">
        <v>43007</v>
      </c>
      <c r="B64" s="10">
        <v>0.55694444444444446</v>
      </c>
      <c r="C64" s="11" t="str">
        <f>"FES1162578394"</f>
        <v>FES1162578394</v>
      </c>
      <c r="D64" s="11" t="s">
        <v>19</v>
      </c>
      <c r="E64" s="11" t="s">
        <v>117</v>
      </c>
      <c r="F64" s="11" t="str">
        <f>"2170590690 "</f>
        <v xml:space="preserve">2170590690 </v>
      </c>
      <c r="G64" s="11" t="str">
        <f t="shared" ref="G64:G86" si="2">"ON1"</f>
        <v>ON1</v>
      </c>
      <c r="H64" s="11" t="s">
        <v>21</v>
      </c>
      <c r="I64" s="11" t="s">
        <v>118</v>
      </c>
      <c r="J64" s="11" t="str">
        <f>""</f>
        <v/>
      </c>
      <c r="K64" s="11" t="str">
        <f>"PFES1162578394_0001"</f>
        <v>PFES1162578394_0001</v>
      </c>
      <c r="L64" s="11">
        <v>1</v>
      </c>
      <c r="M64" s="11">
        <v>1</v>
      </c>
    </row>
    <row r="65" spans="1:13">
      <c r="A65" s="9">
        <v>43007</v>
      </c>
      <c r="B65" s="10">
        <v>0.55694444444444446</v>
      </c>
      <c r="C65" s="11" t="str">
        <f>"FES1162578571"</f>
        <v>FES1162578571</v>
      </c>
      <c r="D65" s="11" t="s">
        <v>19</v>
      </c>
      <c r="E65" s="11" t="s">
        <v>119</v>
      </c>
      <c r="F65" s="11" t="str">
        <f>"2170593166 "</f>
        <v xml:space="preserve">2170593166 </v>
      </c>
      <c r="G65" s="11" t="str">
        <f t="shared" si="2"/>
        <v>ON1</v>
      </c>
      <c r="H65" s="11" t="s">
        <v>21</v>
      </c>
      <c r="I65" s="11" t="s">
        <v>51</v>
      </c>
      <c r="J65" s="11" t="str">
        <f>""</f>
        <v/>
      </c>
      <c r="K65" s="11" t="str">
        <f>"PFES1162578571_0001"</f>
        <v>PFES1162578571_0001</v>
      </c>
      <c r="L65" s="11">
        <v>1</v>
      </c>
      <c r="M65" s="11">
        <v>1</v>
      </c>
    </row>
    <row r="66" spans="1:13">
      <c r="A66" s="9">
        <v>43007</v>
      </c>
      <c r="B66" s="10">
        <v>0.55694444444444446</v>
      </c>
      <c r="C66" s="11" t="str">
        <f>"FES1162578494"</f>
        <v>FES1162578494</v>
      </c>
      <c r="D66" s="11" t="s">
        <v>19</v>
      </c>
      <c r="E66" s="11" t="s">
        <v>120</v>
      </c>
      <c r="F66" s="11" t="str">
        <f>"2170591048 "</f>
        <v xml:space="preserve">2170591048 </v>
      </c>
      <c r="G66" s="11" t="str">
        <f t="shared" si="2"/>
        <v>ON1</v>
      </c>
      <c r="H66" s="11" t="s">
        <v>21</v>
      </c>
      <c r="I66" s="11" t="s">
        <v>121</v>
      </c>
      <c r="J66" s="11" t="str">
        <f>""</f>
        <v/>
      </c>
      <c r="K66" s="11" t="str">
        <f>"PFES1162578494_0001"</f>
        <v>PFES1162578494_0001</v>
      </c>
      <c r="L66" s="11">
        <v>1</v>
      </c>
      <c r="M66" s="11">
        <v>1</v>
      </c>
    </row>
    <row r="67" spans="1:13">
      <c r="A67" s="9">
        <v>43007</v>
      </c>
      <c r="B67" s="10">
        <v>0.55625000000000002</v>
      </c>
      <c r="C67" s="11" t="str">
        <f>"FES1162578314"</f>
        <v>FES1162578314</v>
      </c>
      <c r="D67" s="11" t="s">
        <v>19</v>
      </c>
      <c r="E67" s="11" t="s">
        <v>48</v>
      </c>
      <c r="F67" s="11" t="str">
        <f>"2170592324 "</f>
        <v xml:space="preserve">2170592324 </v>
      </c>
      <c r="G67" s="11" t="str">
        <f t="shared" si="2"/>
        <v>ON1</v>
      </c>
      <c r="H67" s="11" t="s">
        <v>21</v>
      </c>
      <c r="I67" s="11" t="s">
        <v>49</v>
      </c>
      <c r="J67" s="11" t="str">
        <f>""</f>
        <v/>
      </c>
      <c r="K67" s="11" t="str">
        <f>"PFES1162578314_0001"</f>
        <v>PFES1162578314_0001</v>
      </c>
      <c r="L67" s="11">
        <v>1</v>
      </c>
      <c r="M67" s="11">
        <v>1</v>
      </c>
    </row>
    <row r="68" spans="1:13">
      <c r="A68" s="9">
        <v>43007</v>
      </c>
      <c r="B68" s="10">
        <v>0.55625000000000002</v>
      </c>
      <c r="C68" s="11" t="str">
        <f>"FES1162578596"</f>
        <v>FES1162578596</v>
      </c>
      <c r="D68" s="11" t="s">
        <v>19</v>
      </c>
      <c r="E68" s="11" t="s">
        <v>122</v>
      </c>
      <c r="F68" s="11" t="str">
        <f>"2170593200 "</f>
        <v xml:space="preserve">2170593200 </v>
      </c>
      <c r="G68" s="11" t="str">
        <f t="shared" si="2"/>
        <v>ON1</v>
      </c>
      <c r="H68" s="11" t="s">
        <v>21</v>
      </c>
      <c r="I68" s="11" t="s">
        <v>111</v>
      </c>
      <c r="J68" s="11" t="str">
        <f>""</f>
        <v/>
      </c>
      <c r="K68" s="11" t="str">
        <f>"PFES1162578596_0001"</f>
        <v>PFES1162578596_0001</v>
      </c>
      <c r="L68" s="11">
        <v>1</v>
      </c>
      <c r="M68" s="11">
        <v>1</v>
      </c>
    </row>
    <row r="69" spans="1:13">
      <c r="A69" s="9">
        <v>43007</v>
      </c>
      <c r="B69" s="10">
        <v>0.55555555555555558</v>
      </c>
      <c r="C69" s="11" t="str">
        <f>"FES1162578374"</f>
        <v>FES1162578374</v>
      </c>
      <c r="D69" s="11" t="s">
        <v>19</v>
      </c>
      <c r="E69" s="11" t="s">
        <v>123</v>
      </c>
      <c r="F69" s="11" t="str">
        <f>"2170593126 "</f>
        <v xml:space="preserve">2170593126 </v>
      </c>
      <c r="G69" s="11" t="str">
        <f t="shared" si="2"/>
        <v>ON1</v>
      </c>
      <c r="H69" s="11" t="s">
        <v>21</v>
      </c>
      <c r="I69" s="11" t="s">
        <v>124</v>
      </c>
      <c r="J69" s="11" t="str">
        <f>""</f>
        <v/>
      </c>
      <c r="K69" s="11" t="str">
        <f>"PFES1162578374_0001"</f>
        <v>PFES1162578374_0001</v>
      </c>
      <c r="L69" s="11">
        <v>1</v>
      </c>
      <c r="M69" s="11">
        <v>1</v>
      </c>
    </row>
    <row r="70" spans="1:13">
      <c r="A70" s="9">
        <v>43007</v>
      </c>
      <c r="B70" s="10">
        <v>0.55555555555555558</v>
      </c>
      <c r="C70" s="11" t="str">
        <f>"FES1162578377"</f>
        <v>FES1162578377</v>
      </c>
      <c r="D70" s="11" t="s">
        <v>19</v>
      </c>
      <c r="E70" s="11" t="s">
        <v>119</v>
      </c>
      <c r="F70" s="11" t="str">
        <f>"21705986869 "</f>
        <v xml:space="preserve">21705986869 </v>
      </c>
      <c r="G70" s="11" t="str">
        <f t="shared" si="2"/>
        <v>ON1</v>
      </c>
      <c r="H70" s="11" t="s">
        <v>21</v>
      </c>
      <c r="I70" s="11" t="s">
        <v>51</v>
      </c>
      <c r="J70" s="11" t="str">
        <f>""</f>
        <v/>
      </c>
      <c r="K70" s="11" t="str">
        <f>"PFES1162578377_0001"</f>
        <v>PFES1162578377_0001</v>
      </c>
      <c r="L70" s="11">
        <v>1</v>
      </c>
      <c r="M70" s="11">
        <v>1</v>
      </c>
    </row>
    <row r="71" spans="1:13">
      <c r="A71" s="9">
        <v>43007</v>
      </c>
      <c r="B71" s="10">
        <v>0.55555555555555558</v>
      </c>
      <c r="C71" s="11" t="str">
        <f>"FES1162578523"</f>
        <v>FES1162578523</v>
      </c>
      <c r="D71" s="11" t="s">
        <v>19</v>
      </c>
      <c r="E71" s="11" t="s">
        <v>125</v>
      </c>
      <c r="F71" s="11" t="str">
        <f>"2170591274 "</f>
        <v xml:space="preserve">2170591274 </v>
      </c>
      <c r="G71" s="11" t="str">
        <f t="shared" si="2"/>
        <v>ON1</v>
      </c>
      <c r="H71" s="11" t="s">
        <v>21</v>
      </c>
      <c r="I71" s="11" t="s">
        <v>126</v>
      </c>
      <c r="J71" s="11" t="str">
        <f>""</f>
        <v/>
      </c>
      <c r="K71" s="11" t="str">
        <f>"PFES1162578523_0001"</f>
        <v>PFES1162578523_0001</v>
      </c>
      <c r="L71" s="11">
        <v>1</v>
      </c>
      <c r="M71" s="11">
        <v>1</v>
      </c>
    </row>
    <row r="72" spans="1:13">
      <c r="A72" s="9">
        <v>43007</v>
      </c>
      <c r="B72" s="10">
        <v>0.55555555555555558</v>
      </c>
      <c r="C72" s="11" t="str">
        <f>"FES1162578512"</f>
        <v>FES1162578512</v>
      </c>
      <c r="D72" s="11" t="s">
        <v>19</v>
      </c>
      <c r="E72" s="11" t="s">
        <v>42</v>
      </c>
      <c r="F72" s="11" t="str">
        <f>"2170591187 "</f>
        <v xml:space="preserve">2170591187 </v>
      </c>
      <c r="G72" s="11" t="str">
        <f t="shared" si="2"/>
        <v>ON1</v>
      </c>
      <c r="H72" s="11" t="s">
        <v>21</v>
      </c>
      <c r="I72" s="11" t="s">
        <v>43</v>
      </c>
      <c r="J72" s="11" t="str">
        <f>""</f>
        <v/>
      </c>
      <c r="K72" s="11" t="str">
        <f>"PFES1162578512_0001"</f>
        <v>PFES1162578512_0001</v>
      </c>
      <c r="L72" s="11">
        <v>1</v>
      </c>
      <c r="M72" s="11">
        <v>1</v>
      </c>
    </row>
    <row r="73" spans="1:13">
      <c r="A73" s="9">
        <v>43007</v>
      </c>
      <c r="B73" s="10">
        <v>0.55486111111111114</v>
      </c>
      <c r="C73" s="11" t="str">
        <f>"FES1162578556"</f>
        <v>FES1162578556</v>
      </c>
      <c r="D73" s="11" t="s">
        <v>19</v>
      </c>
      <c r="E73" s="11" t="s">
        <v>48</v>
      </c>
      <c r="F73" s="11" t="str">
        <f>"2170592453 "</f>
        <v xml:space="preserve">2170592453 </v>
      </c>
      <c r="G73" s="11" t="str">
        <f t="shared" si="2"/>
        <v>ON1</v>
      </c>
      <c r="H73" s="11" t="s">
        <v>21</v>
      </c>
      <c r="I73" s="11" t="s">
        <v>49</v>
      </c>
      <c r="J73" s="11" t="str">
        <f>""</f>
        <v/>
      </c>
      <c r="K73" s="11" t="str">
        <f>"PFES1162578556_0001"</f>
        <v>PFES1162578556_0001</v>
      </c>
      <c r="L73" s="11">
        <v>1</v>
      </c>
      <c r="M73" s="11">
        <v>1</v>
      </c>
    </row>
    <row r="74" spans="1:13">
      <c r="A74" s="9">
        <v>43007</v>
      </c>
      <c r="B74" s="10">
        <v>0.55486111111111114</v>
      </c>
      <c r="C74" s="11" t="str">
        <f>"FES1162578465"</f>
        <v>FES1162578465</v>
      </c>
      <c r="D74" s="11" t="s">
        <v>19</v>
      </c>
      <c r="E74" s="11" t="s">
        <v>127</v>
      </c>
      <c r="F74" s="11" t="str">
        <f>"2170590481 "</f>
        <v xml:space="preserve">2170590481 </v>
      </c>
      <c r="G74" s="11" t="str">
        <f t="shared" si="2"/>
        <v>ON1</v>
      </c>
      <c r="H74" s="11" t="s">
        <v>21</v>
      </c>
      <c r="I74" s="11" t="s">
        <v>128</v>
      </c>
      <c r="J74" s="11" t="str">
        <f>""</f>
        <v/>
      </c>
      <c r="K74" s="11" t="str">
        <f>"PFES1162578465_0001"</f>
        <v>PFES1162578465_0001</v>
      </c>
      <c r="L74" s="11">
        <v>1</v>
      </c>
      <c r="M74" s="11">
        <v>1</v>
      </c>
    </row>
    <row r="75" spans="1:13">
      <c r="A75" s="9">
        <v>43007</v>
      </c>
      <c r="B75" s="10">
        <v>0.55486111111111114</v>
      </c>
      <c r="C75" s="11" t="str">
        <f>"FES1162578409"</f>
        <v>FES1162578409</v>
      </c>
      <c r="D75" s="11" t="s">
        <v>19</v>
      </c>
      <c r="E75" s="11" t="s">
        <v>129</v>
      </c>
      <c r="F75" s="11" t="str">
        <f>"21705908563 "</f>
        <v xml:space="preserve">21705908563 </v>
      </c>
      <c r="G75" s="11" t="str">
        <f t="shared" si="2"/>
        <v>ON1</v>
      </c>
      <c r="H75" s="11" t="s">
        <v>21</v>
      </c>
      <c r="I75" s="11" t="s">
        <v>36</v>
      </c>
      <c r="J75" s="11" t="str">
        <f>""</f>
        <v/>
      </c>
      <c r="K75" s="11" t="str">
        <f>"PFES1162578409_0001"</f>
        <v>PFES1162578409_0001</v>
      </c>
      <c r="L75" s="11">
        <v>1</v>
      </c>
      <c r="M75" s="11">
        <v>1</v>
      </c>
    </row>
    <row r="76" spans="1:13">
      <c r="A76" s="9">
        <v>43007</v>
      </c>
      <c r="B76" s="10">
        <v>0.55486111111111114</v>
      </c>
      <c r="C76" s="11" t="str">
        <f>"FES1162578341"</f>
        <v>FES1162578341</v>
      </c>
      <c r="D76" s="11" t="s">
        <v>19</v>
      </c>
      <c r="E76" s="11" t="s">
        <v>130</v>
      </c>
      <c r="F76" s="11" t="str">
        <f>"2170593113 "</f>
        <v xml:space="preserve">2170593113 </v>
      </c>
      <c r="G76" s="11" t="str">
        <f t="shared" si="2"/>
        <v>ON1</v>
      </c>
      <c r="H76" s="11" t="s">
        <v>21</v>
      </c>
      <c r="I76" s="11" t="s">
        <v>131</v>
      </c>
      <c r="J76" s="11" t="str">
        <f>""</f>
        <v/>
      </c>
      <c r="K76" s="11" t="str">
        <f>"PFES1162578341_0001"</f>
        <v>PFES1162578341_0001</v>
      </c>
      <c r="L76" s="11">
        <v>1</v>
      </c>
      <c r="M76" s="11">
        <v>1</v>
      </c>
    </row>
    <row r="77" spans="1:13">
      <c r="A77" s="9">
        <v>43007</v>
      </c>
      <c r="B77" s="10">
        <v>0.5541666666666667</v>
      </c>
      <c r="C77" s="11" t="str">
        <f>"FES1162578480"</f>
        <v>FES1162578480</v>
      </c>
      <c r="D77" s="11" t="s">
        <v>19</v>
      </c>
      <c r="E77" s="11" t="s">
        <v>132</v>
      </c>
      <c r="F77" s="11" t="str">
        <f>"21705990831 "</f>
        <v xml:space="preserve">21705990831 </v>
      </c>
      <c r="G77" s="11" t="str">
        <f t="shared" si="2"/>
        <v>ON1</v>
      </c>
      <c r="H77" s="11" t="s">
        <v>21</v>
      </c>
      <c r="I77" s="11" t="s">
        <v>133</v>
      </c>
      <c r="J77" s="11" t="str">
        <f>""</f>
        <v/>
      </c>
      <c r="K77" s="11" t="str">
        <f>"PFES1162578480_0001"</f>
        <v>PFES1162578480_0001</v>
      </c>
      <c r="L77" s="11">
        <v>1</v>
      </c>
      <c r="M77" s="11">
        <v>1</v>
      </c>
    </row>
    <row r="78" spans="1:13">
      <c r="A78" s="9">
        <v>43007</v>
      </c>
      <c r="B78" s="10">
        <v>0.5541666666666667</v>
      </c>
      <c r="C78" s="11" t="str">
        <f>"FES1162578641"</f>
        <v>FES1162578641</v>
      </c>
      <c r="D78" s="11" t="s">
        <v>19</v>
      </c>
      <c r="E78" s="11" t="s">
        <v>134</v>
      </c>
      <c r="F78" s="11" t="str">
        <f>"2170593251 "</f>
        <v xml:space="preserve">2170593251 </v>
      </c>
      <c r="G78" s="11" t="str">
        <f t="shared" si="2"/>
        <v>ON1</v>
      </c>
      <c r="H78" s="11" t="s">
        <v>21</v>
      </c>
      <c r="I78" s="11" t="s">
        <v>135</v>
      </c>
      <c r="J78" s="11" t="str">
        <f>""</f>
        <v/>
      </c>
      <c r="K78" s="11" t="str">
        <f>"PFES1162578641_0001"</f>
        <v>PFES1162578641_0001</v>
      </c>
      <c r="L78" s="11">
        <v>1</v>
      </c>
      <c r="M78" s="11">
        <v>1</v>
      </c>
    </row>
    <row r="79" spans="1:13">
      <c r="A79" s="9">
        <v>43007</v>
      </c>
      <c r="B79" s="10">
        <v>0.5541666666666667</v>
      </c>
      <c r="C79" s="11" t="str">
        <f>"FES1162578349"</f>
        <v>FES1162578349</v>
      </c>
      <c r="D79" s="11" t="s">
        <v>19</v>
      </c>
      <c r="E79" s="11" t="s">
        <v>136</v>
      </c>
      <c r="F79" s="11" t="str">
        <f>"2170593125 "</f>
        <v xml:space="preserve">2170593125 </v>
      </c>
      <c r="G79" s="11" t="str">
        <f t="shared" si="2"/>
        <v>ON1</v>
      </c>
      <c r="H79" s="11" t="s">
        <v>21</v>
      </c>
      <c r="I79" s="11" t="s">
        <v>51</v>
      </c>
      <c r="J79" s="11" t="str">
        <f>""</f>
        <v/>
      </c>
      <c r="K79" s="11" t="str">
        <f>"PFES1162578349_0001"</f>
        <v>PFES1162578349_0001</v>
      </c>
      <c r="L79" s="11">
        <v>1</v>
      </c>
      <c r="M79" s="11">
        <v>2</v>
      </c>
    </row>
    <row r="80" spans="1:13">
      <c r="A80" s="9">
        <v>43007</v>
      </c>
      <c r="B80" s="10">
        <v>0.55347222222222225</v>
      </c>
      <c r="C80" s="11" t="str">
        <f>"FES1162578502"</f>
        <v>FES1162578502</v>
      </c>
      <c r="D80" s="11" t="s">
        <v>19</v>
      </c>
      <c r="E80" s="11" t="s">
        <v>137</v>
      </c>
      <c r="F80" s="11" t="str">
        <f>"2170591081 "</f>
        <v xml:space="preserve">2170591081 </v>
      </c>
      <c r="G80" s="11" t="str">
        <f t="shared" si="2"/>
        <v>ON1</v>
      </c>
      <c r="H80" s="11" t="s">
        <v>21</v>
      </c>
      <c r="I80" s="11" t="s">
        <v>138</v>
      </c>
      <c r="J80" s="11" t="str">
        <f>""</f>
        <v/>
      </c>
      <c r="K80" s="11" t="str">
        <f>"PFES1162578502_0001"</f>
        <v>PFES1162578502_0001</v>
      </c>
      <c r="L80" s="11">
        <v>1</v>
      </c>
      <c r="M80" s="11">
        <v>3</v>
      </c>
    </row>
    <row r="81" spans="1:13">
      <c r="A81" s="9">
        <v>43007</v>
      </c>
      <c r="B81" s="10">
        <v>0.55347222222222225</v>
      </c>
      <c r="C81" s="11" t="str">
        <f>"FES1162578440"</f>
        <v>FES1162578440</v>
      </c>
      <c r="D81" s="11" t="s">
        <v>19</v>
      </c>
      <c r="E81" s="11" t="s">
        <v>139</v>
      </c>
      <c r="F81" s="11" t="str">
        <f>"2170592709 "</f>
        <v xml:space="preserve">2170592709 </v>
      </c>
      <c r="G81" s="11" t="str">
        <f t="shared" si="2"/>
        <v>ON1</v>
      </c>
      <c r="H81" s="11" t="s">
        <v>21</v>
      </c>
      <c r="I81" s="11" t="s">
        <v>121</v>
      </c>
      <c r="J81" s="11" t="str">
        <f>""</f>
        <v/>
      </c>
      <c r="K81" s="11" t="str">
        <f>"PFES1162578440_0001"</f>
        <v>PFES1162578440_0001</v>
      </c>
      <c r="L81" s="11">
        <v>1</v>
      </c>
      <c r="M81" s="11">
        <v>1</v>
      </c>
    </row>
    <row r="82" spans="1:13">
      <c r="A82" s="9">
        <v>43007</v>
      </c>
      <c r="B82" s="10">
        <v>0.55347222222222225</v>
      </c>
      <c r="C82" s="11" t="str">
        <f>"FES1162578381"</f>
        <v>FES1162578381</v>
      </c>
      <c r="D82" s="11" t="s">
        <v>19</v>
      </c>
      <c r="E82" s="11" t="s">
        <v>140</v>
      </c>
      <c r="F82" s="11" t="str">
        <f>"217059798 "</f>
        <v xml:space="preserve">217059798 </v>
      </c>
      <c r="G82" s="11" t="str">
        <f t="shared" si="2"/>
        <v>ON1</v>
      </c>
      <c r="H82" s="11" t="s">
        <v>21</v>
      </c>
      <c r="I82" s="11" t="s">
        <v>141</v>
      </c>
      <c r="J82" s="11" t="str">
        <f>""</f>
        <v/>
      </c>
      <c r="K82" s="11" t="str">
        <f>"PFES1162578381_0001"</f>
        <v>PFES1162578381_0001</v>
      </c>
      <c r="L82" s="11">
        <v>1</v>
      </c>
      <c r="M82" s="11">
        <v>2</v>
      </c>
    </row>
    <row r="83" spans="1:13">
      <c r="A83" s="9">
        <v>43007</v>
      </c>
      <c r="B83" s="10">
        <v>0.55277777777777781</v>
      </c>
      <c r="C83" s="11" t="str">
        <f>"FES1162577921"</f>
        <v>FES1162577921</v>
      </c>
      <c r="D83" s="11" t="s">
        <v>19</v>
      </c>
      <c r="E83" s="11" t="s">
        <v>142</v>
      </c>
      <c r="F83" s="11" t="str">
        <f>"2170592646 "</f>
        <v xml:space="preserve">2170592646 </v>
      </c>
      <c r="G83" s="11" t="str">
        <f t="shared" si="2"/>
        <v>ON1</v>
      </c>
      <c r="H83" s="11" t="s">
        <v>21</v>
      </c>
      <c r="I83" s="11" t="s">
        <v>143</v>
      </c>
      <c r="J83" s="11" t="str">
        <f>""</f>
        <v/>
      </c>
      <c r="K83" s="11" t="str">
        <f>"PFES1162577921_0001"</f>
        <v>PFES1162577921_0001</v>
      </c>
      <c r="L83" s="11">
        <v>1</v>
      </c>
      <c r="M83" s="11">
        <v>1</v>
      </c>
    </row>
    <row r="84" spans="1:13">
      <c r="A84" s="9">
        <v>43007</v>
      </c>
      <c r="B84" s="10">
        <v>0.55277777777777781</v>
      </c>
      <c r="C84" s="11" t="str">
        <f>"FES1162578503"</f>
        <v>FES1162578503</v>
      </c>
      <c r="D84" s="11" t="s">
        <v>19</v>
      </c>
      <c r="E84" s="11" t="s">
        <v>144</v>
      </c>
      <c r="F84" s="11" t="str">
        <f>"2170591088 "</f>
        <v xml:space="preserve">2170591088 </v>
      </c>
      <c r="G84" s="11" t="str">
        <f t="shared" si="2"/>
        <v>ON1</v>
      </c>
      <c r="H84" s="11" t="s">
        <v>21</v>
      </c>
      <c r="I84" s="11" t="s">
        <v>105</v>
      </c>
      <c r="J84" s="11" t="str">
        <f>""</f>
        <v/>
      </c>
      <c r="K84" s="11" t="str">
        <f>"PFES1162578503_0001"</f>
        <v>PFES1162578503_0001</v>
      </c>
      <c r="L84" s="11">
        <v>1</v>
      </c>
      <c r="M84" s="11">
        <v>2</v>
      </c>
    </row>
    <row r="85" spans="1:13">
      <c r="A85" s="9">
        <v>43007</v>
      </c>
      <c r="B85" s="10">
        <v>0.55277777777777781</v>
      </c>
      <c r="C85" s="11" t="str">
        <f>"FES1162578538"</f>
        <v>FES1162578538</v>
      </c>
      <c r="D85" s="11" t="s">
        <v>19</v>
      </c>
      <c r="E85" s="11" t="s">
        <v>145</v>
      </c>
      <c r="F85" s="11" t="str">
        <f>"2170591392 "</f>
        <v xml:space="preserve">2170591392 </v>
      </c>
      <c r="G85" s="11" t="str">
        <f t="shared" si="2"/>
        <v>ON1</v>
      </c>
      <c r="H85" s="11" t="s">
        <v>21</v>
      </c>
      <c r="I85" s="11" t="s">
        <v>146</v>
      </c>
      <c r="J85" s="11" t="str">
        <f>""</f>
        <v/>
      </c>
      <c r="K85" s="11" t="str">
        <f>"PFES1162578538_0001"</f>
        <v>PFES1162578538_0001</v>
      </c>
      <c r="L85" s="11">
        <v>1</v>
      </c>
      <c r="M85" s="11">
        <v>2</v>
      </c>
    </row>
    <row r="86" spans="1:13">
      <c r="A86" s="9">
        <v>43007</v>
      </c>
      <c r="B86" s="10">
        <v>0.55208333333333337</v>
      </c>
      <c r="C86" s="11" t="str">
        <f>"FES1162578475"</f>
        <v>FES1162578475</v>
      </c>
      <c r="D86" s="11" t="s">
        <v>19</v>
      </c>
      <c r="E86" s="11" t="s">
        <v>147</v>
      </c>
      <c r="F86" s="11" t="str">
        <f>"2170590740 "</f>
        <v xml:space="preserve">2170590740 </v>
      </c>
      <c r="G86" s="11" t="str">
        <f t="shared" si="2"/>
        <v>ON1</v>
      </c>
      <c r="H86" s="11" t="s">
        <v>21</v>
      </c>
      <c r="I86" s="11" t="s">
        <v>124</v>
      </c>
      <c r="J86" s="11" t="str">
        <f>""</f>
        <v/>
      </c>
      <c r="K86" s="11" t="str">
        <f>"PFES1162578475_0001"</f>
        <v>PFES1162578475_0001</v>
      </c>
      <c r="L86" s="11">
        <v>1</v>
      </c>
      <c r="M86" s="11">
        <v>1</v>
      </c>
    </row>
    <row r="87" spans="1:13">
      <c r="A87" s="9">
        <v>43007</v>
      </c>
      <c r="B87" s="10">
        <v>0.55208333333333337</v>
      </c>
      <c r="C87" s="11" t="str">
        <f>"FES1162578491"</f>
        <v>FES1162578491</v>
      </c>
      <c r="D87" s="11" t="s">
        <v>19</v>
      </c>
      <c r="E87" s="11" t="s">
        <v>148</v>
      </c>
      <c r="F87" s="11" t="str">
        <f>"2170590988 "</f>
        <v xml:space="preserve">2170590988 </v>
      </c>
      <c r="G87" s="11" t="str">
        <f>"DBC"</f>
        <v>DBC</v>
      </c>
      <c r="H87" s="11" t="s">
        <v>21</v>
      </c>
      <c r="I87" s="11" t="s">
        <v>59</v>
      </c>
      <c r="J87" s="11" t="str">
        <f>""</f>
        <v/>
      </c>
      <c r="K87" s="11" t="str">
        <f>"PFES1162578491_0001"</f>
        <v>PFES1162578491_0001</v>
      </c>
      <c r="L87" s="11">
        <v>1</v>
      </c>
      <c r="M87" s="11">
        <v>10</v>
      </c>
    </row>
    <row r="88" spans="1:13">
      <c r="A88" s="9">
        <v>43007</v>
      </c>
      <c r="B88" s="10">
        <v>0.55208333333333337</v>
      </c>
      <c r="C88" s="11" t="str">
        <f>"FES1162578526"</f>
        <v>FES1162578526</v>
      </c>
      <c r="D88" s="11" t="s">
        <v>19</v>
      </c>
      <c r="E88" s="11" t="s">
        <v>149</v>
      </c>
      <c r="F88" s="11" t="str">
        <f>"2170591291 "</f>
        <v xml:space="preserve">2170591291 </v>
      </c>
      <c r="G88" s="11" t="str">
        <f>"ON1"</f>
        <v>ON1</v>
      </c>
      <c r="H88" s="11" t="s">
        <v>21</v>
      </c>
      <c r="I88" s="11" t="s">
        <v>49</v>
      </c>
      <c r="J88" s="11" t="str">
        <f>""</f>
        <v/>
      </c>
      <c r="K88" s="11" t="str">
        <f>"PFES1162578526_0001"</f>
        <v>PFES1162578526_0001</v>
      </c>
      <c r="L88" s="11">
        <v>1</v>
      </c>
      <c r="M88" s="11">
        <v>1</v>
      </c>
    </row>
    <row r="89" spans="1:13">
      <c r="A89" s="9">
        <v>43007</v>
      </c>
      <c r="B89" s="10">
        <v>0.55138888888888882</v>
      </c>
      <c r="C89" s="11" t="str">
        <f>"FES1162578511"</f>
        <v>FES1162578511</v>
      </c>
      <c r="D89" s="11" t="s">
        <v>19</v>
      </c>
      <c r="E89" s="11" t="s">
        <v>150</v>
      </c>
      <c r="F89" s="11" t="str">
        <f>"2170591177 "</f>
        <v xml:space="preserve">2170591177 </v>
      </c>
      <c r="G89" s="11" t="str">
        <f>"ON1"</f>
        <v>ON1</v>
      </c>
      <c r="H89" s="11" t="s">
        <v>21</v>
      </c>
      <c r="I89" s="11" t="s">
        <v>128</v>
      </c>
      <c r="J89" s="11" t="str">
        <f>""</f>
        <v/>
      </c>
      <c r="K89" s="11" t="str">
        <f>"PFES1162578511_0001"</f>
        <v>PFES1162578511_0001</v>
      </c>
      <c r="L89" s="11">
        <v>1</v>
      </c>
      <c r="M89" s="11">
        <v>1</v>
      </c>
    </row>
    <row r="90" spans="1:13">
      <c r="A90" s="9">
        <v>43007</v>
      </c>
      <c r="B90" s="10">
        <v>0.55069444444444449</v>
      </c>
      <c r="C90" s="11" t="str">
        <f>"FES1162578412"</f>
        <v>FES1162578412</v>
      </c>
      <c r="D90" s="11" t="s">
        <v>19</v>
      </c>
      <c r="E90" s="11" t="s">
        <v>48</v>
      </c>
      <c r="F90" s="11" t="str">
        <f>"2170590921 "</f>
        <v xml:space="preserve">2170590921 </v>
      </c>
      <c r="G90" s="11" t="str">
        <f>"ON1"</f>
        <v>ON1</v>
      </c>
      <c r="H90" s="11" t="s">
        <v>21</v>
      </c>
      <c r="I90" s="11" t="s">
        <v>49</v>
      </c>
      <c r="J90" s="11" t="str">
        <f>""</f>
        <v/>
      </c>
      <c r="K90" s="11" t="str">
        <f>"PFES1162578412_0001"</f>
        <v>PFES1162578412_0001</v>
      </c>
      <c r="L90" s="11">
        <v>1</v>
      </c>
      <c r="M90" s="11">
        <v>1</v>
      </c>
    </row>
    <row r="91" spans="1:13">
      <c r="A91" s="9">
        <v>43007</v>
      </c>
      <c r="B91" s="10">
        <v>0.54999999999999993</v>
      </c>
      <c r="C91" s="11" t="str">
        <f>"FES1162578529"</f>
        <v>FES1162578529</v>
      </c>
      <c r="D91" s="11" t="s">
        <v>19</v>
      </c>
      <c r="E91" s="11" t="s">
        <v>110</v>
      </c>
      <c r="F91" s="11" t="str">
        <f>"2170591337 "</f>
        <v xml:space="preserve">2170591337 </v>
      </c>
      <c r="G91" s="11" t="str">
        <f>"ON1"</f>
        <v>ON1</v>
      </c>
      <c r="H91" s="11" t="s">
        <v>21</v>
      </c>
      <c r="I91" s="11" t="s">
        <v>111</v>
      </c>
      <c r="J91" s="11" t="str">
        <f>""</f>
        <v/>
      </c>
      <c r="K91" s="11" t="str">
        <f>"PFES1162578529_0001"</f>
        <v>PFES1162578529_0001</v>
      </c>
      <c r="L91" s="11">
        <v>1</v>
      </c>
      <c r="M91" s="11">
        <v>1</v>
      </c>
    </row>
    <row r="92" spans="1:13">
      <c r="A92" s="9">
        <v>43007</v>
      </c>
      <c r="B92" s="10">
        <v>0.5493055555555556</v>
      </c>
      <c r="C92" s="11" t="str">
        <f>"FES1162578549"</f>
        <v>FES1162578549</v>
      </c>
      <c r="D92" s="11" t="s">
        <v>19</v>
      </c>
      <c r="E92" s="11" t="s">
        <v>110</v>
      </c>
      <c r="F92" s="11" t="str">
        <f>"2170591578 "</f>
        <v xml:space="preserve">2170591578 </v>
      </c>
      <c r="G92" s="11" t="str">
        <f>"ON1"</f>
        <v>ON1</v>
      </c>
      <c r="H92" s="11" t="s">
        <v>21</v>
      </c>
      <c r="I92" s="11" t="s">
        <v>111</v>
      </c>
      <c r="J92" s="11" t="str">
        <f>""</f>
        <v/>
      </c>
      <c r="K92" s="11" t="str">
        <f>"PFES1162578549_0001"</f>
        <v>PFES1162578549_0001</v>
      </c>
      <c r="L92" s="11">
        <v>1</v>
      </c>
      <c r="M92" s="11">
        <v>1</v>
      </c>
    </row>
    <row r="93" spans="1:13">
      <c r="A93" s="9">
        <v>43007</v>
      </c>
      <c r="B93" s="10">
        <v>0.5493055555555556</v>
      </c>
      <c r="C93" s="11" t="str">
        <f>"FES1162578539"</f>
        <v>FES1162578539</v>
      </c>
      <c r="D93" s="11" t="s">
        <v>19</v>
      </c>
      <c r="E93" s="11" t="s">
        <v>151</v>
      </c>
      <c r="F93" s="11" t="str">
        <f>"2170591408 "</f>
        <v xml:space="preserve">2170591408 </v>
      </c>
      <c r="G93" s="11" t="str">
        <f>"DBC"</f>
        <v>DBC</v>
      </c>
      <c r="H93" s="11" t="s">
        <v>21</v>
      </c>
      <c r="I93" s="11" t="s">
        <v>59</v>
      </c>
      <c r="J93" s="11" t="str">
        <f>""</f>
        <v/>
      </c>
      <c r="K93" s="11" t="str">
        <f>"PFES1162578539_0001"</f>
        <v>PFES1162578539_0001</v>
      </c>
      <c r="L93" s="11">
        <v>1</v>
      </c>
      <c r="M93" s="11">
        <v>5</v>
      </c>
    </row>
    <row r="94" spans="1:13">
      <c r="A94" s="9">
        <v>43007</v>
      </c>
      <c r="B94" s="10">
        <v>0.5493055555555556</v>
      </c>
      <c r="C94" s="11" t="str">
        <f>"FES1162578546"</f>
        <v>FES1162578546</v>
      </c>
      <c r="D94" s="11" t="s">
        <v>19</v>
      </c>
      <c r="E94" s="11" t="s">
        <v>152</v>
      </c>
      <c r="F94" s="11" t="str">
        <f>"2170591543 "</f>
        <v xml:space="preserve">2170591543 </v>
      </c>
      <c r="G94" s="11" t="str">
        <f t="shared" ref="G94:G99" si="3">"ON1"</f>
        <v>ON1</v>
      </c>
      <c r="H94" s="11" t="s">
        <v>21</v>
      </c>
      <c r="I94" s="11" t="s">
        <v>22</v>
      </c>
      <c r="J94" s="11" t="str">
        <f>""</f>
        <v/>
      </c>
      <c r="K94" s="11" t="str">
        <f>"PFES1162578546_0001"</f>
        <v>PFES1162578546_0001</v>
      </c>
      <c r="L94" s="11">
        <v>1</v>
      </c>
      <c r="M94" s="11">
        <v>1</v>
      </c>
    </row>
    <row r="95" spans="1:13">
      <c r="A95" s="9">
        <v>43007</v>
      </c>
      <c r="B95" s="10">
        <v>0.54861111111111105</v>
      </c>
      <c r="C95" s="11" t="str">
        <f>"FES1162578404"</f>
        <v>FES1162578404</v>
      </c>
      <c r="D95" s="11" t="s">
        <v>19</v>
      </c>
      <c r="E95" s="11" t="s">
        <v>53</v>
      </c>
      <c r="F95" s="11" t="str">
        <f>"2170590804 "</f>
        <v xml:space="preserve">2170590804 </v>
      </c>
      <c r="G95" s="11" t="str">
        <f t="shared" si="3"/>
        <v>ON1</v>
      </c>
      <c r="H95" s="11" t="s">
        <v>21</v>
      </c>
      <c r="I95" s="11" t="s">
        <v>54</v>
      </c>
      <c r="J95" s="11" t="str">
        <f>""</f>
        <v/>
      </c>
      <c r="K95" s="11" t="str">
        <f>"PFES1162578404_0001"</f>
        <v>PFES1162578404_0001</v>
      </c>
      <c r="L95" s="11">
        <v>1</v>
      </c>
      <c r="M95" s="11">
        <v>2</v>
      </c>
    </row>
    <row r="96" spans="1:13">
      <c r="A96" s="9">
        <v>43007</v>
      </c>
      <c r="B96" s="10">
        <v>0.54861111111111105</v>
      </c>
      <c r="C96" s="11" t="str">
        <f>"FES1162578434"</f>
        <v>FES1162578434</v>
      </c>
      <c r="D96" s="11" t="s">
        <v>19</v>
      </c>
      <c r="E96" s="11" t="s">
        <v>153</v>
      </c>
      <c r="F96" s="11" t="str">
        <f>"2170592824 "</f>
        <v xml:space="preserve">2170592824 </v>
      </c>
      <c r="G96" s="11" t="str">
        <f t="shared" si="3"/>
        <v>ON1</v>
      </c>
      <c r="H96" s="11" t="s">
        <v>21</v>
      </c>
      <c r="I96" s="11" t="s">
        <v>36</v>
      </c>
      <c r="J96" s="11" t="str">
        <f>""</f>
        <v/>
      </c>
      <c r="K96" s="11" t="str">
        <f>"PFES1162578434_0001"</f>
        <v>PFES1162578434_0001</v>
      </c>
      <c r="L96" s="11">
        <v>1</v>
      </c>
      <c r="M96" s="11">
        <v>1</v>
      </c>
    </row>
    <row r="97" spans="1:13">
      <c r="A97" s="9">
        <v>43007</v>
      </c>
      <c r="B97" s="10">
        <v>0.54861111111111105</v>
      </c>
      <c r="C97" s="11" t="str">
        <f>"FES1162578591"</f>
        <v>FES1162578591</v>
      </c>
      <c r="D97" s="11" t="s">
        <v>19</v>
      </c>
      <c r="E97" s="11" t="s">
        <v>140</v>
      </c>
      <c r="F97" s="11" t="str">
        <f>"2170593189 "</f>
        <v xml:space="preserve">2170593189 </v>
      </c>
      <c r="G97" s="11" t="str">
        <f t="shared" si="3"/>
        <v>ON1</v>
      </c>
      <c r="H97" s="11" t="s">
        <v>21</v>
      </c>
      <c r="I97" s="11" t="s">
        <v>141</v>
      </c>
      <c r="J97" s="11" t="str">
        <f>""</f>
        <v/>
      </c>
      <c r="K97" s="11" t="str">
        <f>"PFES1162578591_0001"</f>
        <v>PFES1162578591_0001</v>
      </c>
      <c r="L97" s="11">
        <v>1</v>
      </c>
      <c r="M97" s="11">
        <v>2</v>
      </c>
    </row>
    <row r="98" spans="1:13">
      <c r="A98" s="9">
        <v>43007</v>
      </c>
      <c r="B98" s="10">
        <v>0.54791666666666672</v>
      </c>
      <c r="C98" s="11" t="str">
        <f>"FES1162578482"</f>
        <v>FES1162578482</v>
      </c>
      <c r="D98" s="11" t="s">
        <v>19</v>
      </c>
      <c r="E98" s="11" t="s">
        <v>154</v>
      </c>
      <c r="F98" s="11" t="str">
        <f>"2170590862 "</f>
        <v xml:space="preserve">2170590862 </v>
      </c>
      <c r="G98" s="11" t="str">
        <f t="shared" si="3"/>
        <v>ON1</v>
      </c>
      <c r="H98" s="11" t="s">
        <v>21</v>
      </c>
      <c r="I98" s="11" t="s">
        <v>155</v>
      </c>
      <c r="J98" s="11" t="str">
        <f>""</f>
        <v/>
      </c>
      <c r="K98" s="11" t="str">
        <f>"PFES1162578482_0001"</f>
        <v>PFES1162578482_0001</v>
      </c>
      <c r="L98" s="11">
        <v>1</v>
      </c>
      <c r="M98" s="11">
        <v>3</v>
      </c>
    </row>
    <row r="99" spans="1:13">
      <c r="A99" s="9">
        <v>43007</v>
      </c>
      <c r="B99" s="10">
        <v>0.54791666666666672</v>
      </c>
      <c r="C99" s="11" t="str">
        <f>"FES1162578453"</f>
        <v>FES1162578453</v>
      </c>
      <c r="D99" s="11" t="s">
        <v>19</v>
      </c>
      <c r="E99" s="11" t="s">
        <v>156</v>
      </c>
      <c r="F99" s="11" t="str">
        <f>"2170588377 "</f>
        <v xml:space="preserve">2170588377 </v>
      </c>
      <c r="G99" s="11" t="str">
        <f t="shared" si="3"/>
        <v>ON1</v>
      </c>
      <c r="H99" s="11" t="s">
        <v>21</v>
      </c>
      <c r="I99" s="11" t="s">
        <v>157</v>
      </c>
      <c r="J99" s="11" t="str">
        <f>""</f>
        <v/>
      </c>
      <c r="K99" s="11" t="str">
        <f>"PFES1162578453_0001"</f>
        <v>PFES1162578453_0001</v>
      </c>
      <c r="L99" s="11">
        <v>1</v>
      </c>
      <c r="M99" s="11">
        <v>1</v>
      </c>
    </row>
    <row r="100" spans="1:13">
      <c r="A100" s="9">
        <v>43007</v>
      </c>
      <c r="B100" s="10">
        <v>0.54791666666666672</v>
      </c>
      <c r="C100" s="11" t="str">
        <f>"FES1162578332"</f>
        <v>FES1162578332</v>
      </c>
      <c r="D100" s="11" t="s">
        <v>19</v>
      </c>
      <c r="E100" s="11" t="s">
        <v>158</v>
      </c>
      <c r="F100" s="11" t="str">
        <f>"2170593096 "</f>
        <v xml:space="preserve">2170593096 </v>
      </c>
      <c r="G100" s="11" t="str">
        <f>"DBC"</f>
        <v>DBC</v>
      </c>
      <c r="H100" s="11" t="s">
        <v>21</v>
      </c>
      <c r="I100" s="11" t="s">
        <v>36</v>
      </c>
      <c r="J100" s="11" t="str">
        <f>""</f>
        <v/>
      </c>
      <c r="K100" s="11" t="str">
        <f>"PFES1162578332_0001"</f>
        <v>PFES1162578332_0001</v>
      </c>
      <c r="L100" s="11">
        <v>1</v>
      </c>
      <c r="M100" s="11">
        <v>7</v>
      </c>
    </row>
    <row r="101" spans="1:13">
      <c r="A101" s="9">
        <v>43007</v>
      </c>
      <c r="B101" s="10">
        <v>0.54722222222222217</v>
      </c>
      <c r="C101" s="11" t="str">
        <f>"FES1162578379"</f>
        <v>FES1162578379</v>
      </c>
      <c r="D101" s="11" t="s">
        <v>19</v>
      </c>
      <c r="E101" s="11" t="s">
        <v>159</v>
      </c>
      <c r="F101" s="11" t="str">
        <f>"2170588227 "</f>
        <v xml:space="preserve">2170588227 </v>
      </c>
      <c r="G101" s="11" t="str">
        <f t="shared" ref="G101:G164" si="4">"ON1"</f>
        <v>ON1</v>
      </c>
      <c r="H101" s="11" t="s">
        <v>21</v>
      </c>
      <c r="I101" s="11" t="s">
        <v>160</v>
      </c>
      <c r="J101" s="11" t="str">
        <f>""</f>
        <v/>
      </c>
      <c r="K101" s="11" t="str">
        <f>"PFES1162578379_0001"</f>
        <v>PFES1162578379_0001</v>
      </c>
      <c r="L101" s="11">
        <v>1</v>
      </c>
      <c r="M101" s="11">
        <v>1</v>
      </c>
    </row>
    <row r="102" spans="1:13">
      <c r="A102" s="9">
        <v>43007</v>
      </c>
      <c r="B102" s="10">
        <v>0.54652777777777783</v>
      </c>
      <c r="C102" s="11" t="str">
        <f>"FES1162578402"</f>
        <v>FES1162578402</v>
      </c>
      <c r="D102" s="11" t="s">
        <v>19</v>
      </c>
      <c r="E102" s="11" t="s">
        <v>161</v>
      </c>
      <c r="F102" s="11" t="str">
        <f>"2170590785 "</f>
        <v xml:space="preserve">2170590785 </v>
      </c>
      <c r="G102" s="11" t="str">
        <f t="shared" si="4"/>
        <v>ON1</v>
      </c>
      <c r="H102" s="11" t="s">
        <v>21</v>
      </c>
      <c r="I102" s="11" t="s">
        <v>68</v>
      </c>
      <c r="J102" s="11" t="str">
        <f>""</f>
        <v/>
      </c>
      <c r="K102" s="11" t="str">
        <f>"PFES1162578402_0001"</f>
        <v>PFES1162578402_0001</v>
      </c>
      <c r="L102" s="11">
        <v>1</v>
      </c>
      <c r="M102" s="11">
        <v>1</v>
      </c>
    </row>
    <row r="103" spans="1:13">
      <c r="A103" s="9">
        <v>43007</v>
      </c>
      <c r="B103" s="10">
        <v>0.54583333333333328</v>
      </c>
      <c r="C103" s="11" t="str">
        <f>"FES1162578343"</f>
        <v>FES1162578343</v>
      </c>
      <c r="D103" s="11" t="s">
        <v>19</v>
      </c>
      <c r="E103" s="11" t="s">
        <v>162</v>
      </c>
      <c r="F103" s="11" t="str">
        <f>"2170593115 "</f>
        <v xml:space="preserve">2170593115 </v>
      </c>
      <c r="G103" s="11" t="str">
        <f t="shared" si="4"/>
        <v>ON1</v>
      </c>
      <c r="H103" s="11" t="s">
        <v>21</v>
      </c>
      <c r="I103" s="11" t="s">
        <v>155</v>
      </c>
      <c r="J103" s="11" t="str">
        <f>""</f>
        <v/>
      </c>
      <c r="K103" s="11" t="str">
        <f>"PFES1162578343_0001"</f>
        <v>PFES1162578343_0001</v>
      </c>
      <c r="L103" s="11">
        <v>1</v>
      </c>
      <c r="M103" s="11">
        <v>1</v>
      </c>
    </row>
    <row r="104" spans="1:13">
      <c r="A104" s="9">
        <v>43007</v>
      </c>
      <c r="B104" s="10">
        <v>0.54375000000000007</v>
      </c>
      <c r="C104" s="11" t="str">
        <f>"FES1162578386"</f>
        <v>FES1162578386</v>
      </c>
      <c r="D104" s="11" t="s">
        <v>19</v>
      </c>
      <c r="E104" s="11" t="s">
        <v>163</v>
      </c>
      <c r="F104" s="11" t="str">
        <f>"2170590579 "</f>
        <v xml:space="preserve">2170590579 </v>
      </c>
      <c r="G104" s="11" t="str">
        <f t="shared" si="4"/>
        <v>ON1</v>
      </c>
      <c r="H104" s="11" t="s">
        <v>21</v>
      </c>
      <c r="I104" s="11" t="s">
        <v>133</v>
      </c>
      <c r="J104" s="11" t="str">
        <f>""</f>
        <v/>
      </c>
      <c r="K104" s="11" t="str">
        <f>"PFES1162578386_0001"</f>
        <v>PFES1162578386_0001</v>
      </c>
      <c r="L104" s="11">
        <v>1</v>
      </c>
      <c r="M104" s="11">
        <v>1</v>
      </c>
    </row>
    <row r="105" spans="1:13">
      <c r="A105" s="9">
        <v>43007</v>
      </c>
      <c r="B105" s="10">
        <v>0.54375000000000007</v>
      </c>
      <c r="C105" s="11" t="str">
        <f>"FES1162578467"</f>
        <v>FES1162578467</v>
      </c>
      <c r="D105" s="11" t="s">
        <v>19</v>
      </c>
      <c r="E105" s="11" t="s">
        <v>163</v>
      </c>
      <c r="F105" s="11" t="str">
        <f>"2170590581 "</f>
        <v xml:space="preserve">2170590581 </v>
      </c>
      <c r="G105" s="11" t="str">
        <f t="shared" si="4"/>
        <v>ON1</v>
      </c>
      <c r="H105" s="11" t="s">
        <v>21</v>
      </c>
      <c r="I105" s="11" t="s">
        <v>133</v>
      </c>
      <c r="J105" s="11" t="str">
        <f>""</f>
        <v/>
      </c>
      <c r="K105" s="11" t="str">
        <f>"PFES1162578467_0001"</f>
        <v>PFES1162578467_0001</v>
      </c>
      <c r="L105" s="11">
        <v>1</v>
      </c>
      <c r="M105" s="11">
        <v>1</v>
      </c>
    </row>
    <row r="106" spans="1:13">
      <c r="A106" s="9">
        <v>43007</v>
      </c>
      <c r="B106" s="10">
        <v>0.54305555555555551</v>
      </c>
      <c r="C106" s="11" t="str">
        <f>"FES1162578338"</f>
        <v>FES1162578338</v>
      </c>
      <c r="D106" s="11" t="s">
        <v>19</v>
      </c>
      <c r="E106" s="11" t="s">
        <v>164</v>
      </c>
      <c r="F106" s="11" t="str">
        <f>"2170593108 "</f>
        <v xml:space="preserve">2170593108 </v>
      </c>
      <c r="G106" s="11" t="str">
        <f t="shared" si="4"/>
        <v>ON1</v>
      </c>
      <c r="H106" s="11" t="s">
        <v>21</v>
      </c>
      <c r="I106" s="11" t="s">
        <v>165</v>
      </c>
      <c r="J106" s="11" t="str">
        <f>""</f>
        <v/>
      </c>
      <c r="K106" s="11" t="str">
        <f>"PFES1162578338_0001"</f>
        <v>PFES1162578338_0001</v>
      </c>
      <c r="L106" s="11">
        <v>1</v>
      </c>
      <c r="M106" s="11">
        <v>1</v>
      </c>
    </row>
    <row r="107" spans="1:13">
      <c r="A107" s="9">
        <v>43007</v>
      </c>
      <c r="B107" s="10">
        <v>0.54236111111111118</v>
      </c>
      <c r="C107" s="11" t="str">
        <f>"FES1162578557"</f>
        <v>FES1162578557</v>
      </c>
      <c r="D107" s="11" t="s">
        <v>19</v>
      </c>
      <c r="E107" s="11" t="s">
        <v>166</v>
      </c>
      <c r="F107" s="11" t="str">
        <f>"2170592583 "</f>
        <v xml:space="preserve">2170592583 </v>
      </c>
      <c r="G107" s="11" t="str">
        <f t="shared" si="4"/>
        <v>ON1</v>
      </c>
      <c r="H107" s="11" t="s">
        <v>21</v>
      </c>
      <c r="I107" s="11" t="s">
        <v>59</v>
      </c>
      <c r="J107" s="11" t="str">
        <f>""</f>
        <v/>
      </c>
      <c r="K107" s="11" t="str">
        <f>"PFES1162578557_0001"</f>
        <v>PFES1162578557_0001</v>
      </c>
      <c r="L107" s="11">
        <v>1</v>
      </c>
      <c r="M107" s="11">
        <v>1</v>
      </c>
    </row>
    <row r="108" spans="1:13">
      <c r="A108" s="9">
        <v>43007</v>
      </c>
      <c r="B108" s="10">
        <v>0.54166666666666663</v>
      </c>
      <c r="C108" s="11" t="str">
        <f>"FES1162578403"</f>
        <v>FES1162578403</v>
      </c>
      <c r="D108" s="11" t="s">
        <v>19</v>
      </c>
      <c r="E108" s="11" t="s">
        <v>53</v>
      </c>
      <c r="F108" s="11" t="str">
        <f>"2170590797 "</f>
        <v xml:space="preserve">2170590797 </v>
      </c>
      <c r="G108" s="11" t="str">
        <f t="shared" si="4"/>
        <v>ON1</v>
      </c>
      <c r="H108" s="11" t="s">
        <v>21</v>
      </c>
      <c r="I108" s="11" t="s">
        <v>54</v>
      </c>
      <c r="J108" s="11" t="str">
        <f>""</f>
        <v/>
      </c>
      <c r="K108" s="11" t="str">
        <f>"PFES1162578403_0001"</f>
        <v>PFES1162578403_0001</v>
      </c>
      <c r="L108" s="11">
        <v>1</v>
      </c>
      <c r="M108" s="11">
        <v>1</v>
      </c>
    </row>
    <row r="109" spans="1:13">
      <c r="A109" s="9">
        <v>43007</v>
      </c>
      <c r="B109" s="10">
        <v>0.54027777777777775</v>
      </c>
      <c r="C109" s="11" t="str">
        <f>"FES1162578372"</f>
        <v>FES1162578372</v>
      </c>
      <c r="D109" s="11" t="s">
        <v>19</v>
      </c>
      <c r="E109" s="11" t="s">
        <v>167</v>
      </c>
      <c r="F109" s="11" t="str">
        <f>"2170592624 "</f>
        <v xml:space="preserve">2170592624 </v>
      </c>
      <c r="G109" s="11" t="str">
        <f t="shared" si="4"/>
        <v>ON1</v>
      </c>
      <c r="H109" s="11" t="s">
        <v>21</v>
      </c>
      <c r="I109" s="11" t="s">
        <v>168</v>
      </c>
      <c r="J109" s="11" t="str">
        <f>""</f>
        <v/>
      </c>
      <c r="K109" s="11" t="str">
        <f>"PFES1162578372_0001"</f>
        <v>PFES1162578372_0001</v>
      </c>
      <c r="L109" s="11">
        <v>1</v>
      </c>
      <c r="M109" s="11">
        <v>1</v>
      </c>
    </row>
    <row r="110" spans="1:13">
      <c r="A110" s="9">
        <v>43007</v>
      </c>
      <c r="B110" s="10">
        <v>0.5395833333333333</v>
      </c>
      <c r="C110" s="11" t="str">
        <f>"FES1162578388"</f>
        <v>FES1162578388</v>
      </c>
      <c r="D110" s="11" t="s">
        <v>19</v>
      </c>
      <c r="E110" s="11" t="s">
        <v>169</v>
      </c>
      <c r="F110" s="11" t="str">
        <f>"2170590587 "</f>
        <v xml:space="preserve">2170590587 </v>
      </c>
      <c r="G110" s="11" t="str">
        <f t="shared" si="4"/>
        <v>ON1</v>
      </c>
      <c r="H110" s="11" t="s">
        <v>21</v>
      </c>
      <c r="I110" s="11" t="s">
        <v>51</v>
      </c>
      <c r="J110" s="11" t="str">
        <f>""</f>
        <v/>
      </c>
      <c r="K110" s="11" t="str">
        <f>"PFES1162578388_0001"</f>
        <v>PFES1162578388_0001</v>
      </c>
      <c r="L110" s="11">
        <v>1</v>
      </c>
      <c r="M110" s="11">
        <v>1</v>
      </c>
    </row>
    <row r="111" spans="1:13">
      <c r="A111" s="9">
        <v>43007</v>
      </c>
      <c r="B111" s="10">
        <v>0.53888888888888886</v>
      </c>
      <c r="C111" s="11" t="str">
        <f>"FES1162578522"</f>
        <v>FES1162578522</v>
      </c>
      <c r="D111" s="11" t="s">
        <v>19</v>
      </c>
      <c r="E111" s="11" t="s">
        <v>170</v>
      </c>
      <c r="F111" s="11" t="str">
        <f>"2170591272 "</f>
        <v xml:space="preserve">2170591272 </v>
      </c>
      <c r="G111" s="11" t="str">
        <f t="shared" si="4"/>
        <v>ON1</v>
      </c>
      <c r="H111" s="11" t="s">
        <v>21</v>
      </c>
      <c r="I111" s="11" t="s">
        <v>171</v>
      </c>
      <c r="J111" s="11" t="str">
        <f>""</f>
        <v/>
      </c>
      <c r="K111" s="11" t="str">
        <f>"PFES1162578522_0001"</f>
        <v>PFES1162578522_0001</v>
      </c>
      <c r="L111" s="11">
        <v>1</v>
      </c>
      <c r="M111" s="11">
        <v>1</v>
      </c>
    </row>
    <row r="112" spans="1:13">
      <c r="A112" s="9">
        <v>43007</v>
      </c>
      <c r="B112" s="10">
        <v>0.53819444444444442</v>
      </c>
      <c r="C112" s="11" t="str">
        <f>"FES1162578541"</f>
        <v>FES1162578541</v>
      </c>
      <c r="D112" s="11" t="s">
        <v>19</v>
      </c>
      <c r="E112" s="11" t="s">
        <v>48</v>
      </c>
      <c r="F112" s="11" t="str">
        <f>"2170591422 "</f>
        <v xml:space="preserve">2170591422 </v>
      </c>
      <c r="G112" s="11" t="str">
        <f t="shared" si="4"/>
        <v>ON1</v>
      </c>
      <c r="H112" s="11" t="s">
        <v>21</v>
      </c>
      <c r="I112" s="11" t="s">
        <v>49</v>
      </c>
      <c r="J112" s="11" t="str">
        <f>""</f>
        <v/>
      </c>
      <c r="K112" s="11" t="str">
        <f>"PFES1162578541_0001"</f>
        <v>PFES1162578541_0001</v>
      </c>
      <c r="L112" s="11">
        <v>1</v>
      </c>
      <c r="M112" s="11">
        <v>1</v>
      </c>
    </row>
    <row r="113" spans="1:13">
      <c r="A113" s="9">
        <v>43007</v>
      </c>
      <c r="B113" s="10">
        <v>0.53749999999999998</v>
      </c>
      <c r="C113" s="11" t="str">
        <f>"FES1162578387"</f>
        <v>FES1162578387</v>
      </c>
      <c r="D113" s="11" t="s">
        <v>19</v>
      </c>
      <c r="E113" s="11" t="s">
        <v>172</v>
      </c>
      <c r="F113" s="11" t="str">
        <f>"2170590586 "</f>
        <v xml:space="preserve">2170590586 </v>
      </c>
      <c r="G113" s="11" t="str">
        <f t="shared" si="4"/>
        <v>ON1</v>
      </c>
      <c r="H113" s="11" t="s">
        <v>21</v>
      </c>
      <c r="I113" s="11" t="s">
        <v>173</v>
      </c>
      <c r="J113" s="11" t="str">
        <f>""</f>
        <v/>
      </c>
      <c r="K113" s="11" t="str">
        <f>"PFES1162578387_0001"</f>
        <v>PFES1162578387_0001</v>
      </c>
      <c r="L113" s="11">
        <v>1</v>
      </c>
      <c r="M113" s="11">
        <v>1</v>
      </c>
    </row>
    <row r="114" spans="1:13">
      <c r="A114" s="9">
        <v>43007</v>
      </c>
      <c r="B114" s="10">
        <v>0.53680555555555554</v>
      </c>
      <c r="C114" s="11" t="str">
        <f>"FES1162578479"</f>
        <v>FES1162578479</v>
      </c>
      <c r="D114" s="11" t="s">
        <v>19</v>
      </c>
      <c r="E114" s="11" t="s">
        <v>174</v>
      </c>
      <c r="F114" s="11" t="str">
        <f>"2170590814 "</f>
        <v xml:space="preserve">2170590814 </v>
      </c>
      <c r="G114" s="11" t="str">
        <f t="shared" si="4"/>
        <v>ON1</v>
      </c>
      <c r="H114" s="11" t="s">
        <v>21</v>
      </c>
      <c r="I114" s="11" t="s">
        <v>175</v>
      </c>
      <c r="J114" s="11" t="str">
        <f>""</f>
        <v/>
      </c>
      <c r="K114" s="11" t="str">
        <f>"PFES1162578479_0001"</f>
        <v>PFES1162578479_0001</v>
      </c>
      <c r="L114" s="11">
        <v>1</v>
      </c>
      <c r="M114" s="11">
        <v>1</v>
      </c>
    </row>
    <row r="115" spans="1:13">
      <c r="A115" s="9">
        <v>43007</v>
      </c>
      <c r="B115" s="10">
        <v>0.53541666666666665</v>
      </c>
      <c r="C115" s="11" t="str">
        <f>"FES1162578345"</f>
        <v>FES1162578345</v>
      </c>
      <c r="D115" s="11" t="s">
        <v>19</v>
      </c>
      <c r="E115" s="11" t="s">
        <v>163</v>
      </c>
      <c r="F115" s="11" t="str">
        <f>"2170593119 "</f>
        <v xml:space="preserve">2170593119 </v>
      </c>
      <c r="G115" s="11" t="str">
        <f t="shared" si="4"/>
        <v>ON1</v>
      </c>
      <c r="H115" s="11" t="s">
        <v>21</v>
      </c>
      <c r="I115" s="11" t="s">
        <v>133</v>
      </c>
      <c r="J115" s="11" t="str">
        <f>""</f>
        <v/>
      </c>
      <c r="K115" s="11" t="str">
        <f>"PFES1162578345_0001"</f>
        <v>PFES1162578345_0001</v>
      </c>
      <c r="L115" s="11">
        <v>1</v>
      </c>
      <c r="M115" s="11">
        <v>1</v>
      </c>
    </row>
    <row r="116" spans="1:13">
      <c r="A116" s="9">
        <v>43007</v>
      </c>
      <c r="B116" s="10">
        <v>0.52986111111111112</v>
      </c>
      <c r="C116" s="11" t="str">
        <f>"FES1162578601"</f>
        <v>FES1162578601</v>
      </c>
      <c r="D116" s="11" t="s">
        <v>19</v>
      </c>
      <c r="E116" s="11" t="s">
        <v>176</v>
      </c>
      <c r="F116" s="11" t="str">
        <f>"2170593207 "</f>
        <v xml:space="preserve">2170593207 </v>
      </c>
      <c r="G116" s="11" t="str">
        <f t="shared" si="4"/>
        <v>ON1</v>
      </c>
      <c r="H116" s="11" t="s">
        <v>21</v>
      </c>
      <c r="I116" s="11" t="s">
        <v>177</v>
      </c>
      <c r="J116" s="11" t="str">
        <f>""</f>
        <v/>
      </c>
      <c r="K116" s="11" t="str">
        <f>"PFES1162578601_0001"</f>
        <v>PFES1162578601_0001</v>
      </c>
      <c r="L116" s="11">
        <v>1</v>
      </c>
      <c r="M116" s="11">
        <v>1</v>
      </c>
    </row>
    <row r="117" spans="1:13">
      <c r="A117" s="9">
        <v>43007</v>
      </c>
      <c r="B117" s="10">
        <v>0.52916666666666667</v>
      </c>
      <c r="C117" s="11" t="str">
        <f>"FES1162578583"</f>
        <v>FES1162578583</v>
      </c>
      <c r="D117" s="11" t="s">
        <v>19</v>
      </c>
      <c r="E117" s="11" t="s">
        <v>178</v>
      </c>
      <c r="F117" s="11" t="str">
        <f>"2170593044 "</f>
        <v xml:space="preserve">2170593044 </v>
      </c>
      <c r="G117" s="11" t="str">
        <f t="shared" si="4"/>
        <v>ON1</v>
      </c>
      <c r="H117" s="11" t="s">
        <v>21</v>
      </c>
      <c r="I117" s="11" t="s">
        <v>179</v>
      </c>
      <c r="J117" s="11" t="str">
        <f>""</f>
        <v/>
      </c>
      <c r="K117" s="11" t="str">
        <f>"PFES1162578583_0001"</f>
        <v>PFES1162578583_0001</v>
      </c>
      <c r="L117" s="11">
        <v>1</v>
      </c>
      <c r="M117" s="11">
        <v>1</v>
      </c>
    </row>
    <row r="118" spans="1:13">
      <c r="A118" s="9">
        <v>43007</v>
      </c>
      <c r="B118" s="10">
        <v>0.52569444444444446</v>
      </c>
      <c r="C118" s="11" t="str">
        <f>"FES1162578464"</f>
        <v>FES1162578464</v>
      </c>
      <c r="D118" s="11" t="s">
        <v>19</v>
      </c>
      <c r="E118" s="11" t="s">
        <v>180</v>
      </c>
      <c r="F118" s="11" t="str">
        <f>"2170590427 "</f>
        <v xml:space="preserve">2170590427 </v>
      </c>
      <c r="G118" s="11" t="str">
        <f t="shared" si="4"/>
        <v>ON1</v>
      </c>
      <c r="H118" s="11" t="s">
        <v>21</v>
      </c>
      <c r="I118" s="11" t="s">
        <v>43</v>
      </c>
      <c r="J118" s="11" t="str">
        <f>""</f>
        <v/>
      </c>
      <c r="K118" s="11" t="str">
        <f>"PFES1162578464_0001"</f>
        <v>PFES1162578464_0001</v>
      </c>
      <c r="L118" s="11">
        <v>1</v>
      </c>
      <c r="M118" s="11">
        <v>1</v>
      </c>
    </row>
    <row r="119" spans="1:13">
      <c r="A119" s="9">
        <v>43007</v>
      </c>
      <c r="B119" s="10">
        <v>0.52500000000000002</v>
      </c>
      <c r="C119" s="11" t="str">
        <f>"FES1162578513"</f>
        <v>FES1162578513</v>
      </c>
      <c r="D119" s="11" t="s">
        <v>19</v>
      </c>
      <c r="E119" s="11" t="s">
        <v>69</v>
      </c>
      <c r="F119" s="11" t="str">
        <f>"2170591201 "</f>
        <v xml:space="preserve">2170591201 </v>
      </c>
      <c r="G119" s="11" t="str">
        <f t="shared" si="4"/>
        <v>ON1</v>
      </c>
      <c r="H119" s="11" t="s">
        <v>21</v>
      </c>
      <c r="I119" s="11" t="s">
        <v>70</v>
      </c>
      <c r="J119" s="11" t="str">
        <f>""</f>
        <v/>
      </c>
      <c r="K119" s="11" t="str">
        <f>"PFES1162578513_0001"</f>
        <v>PFES1162578513_0001</v>
      </c>
      <c r="L119" s="11">
        <v>1</v>
      </c>
      <c r="M119" s="11">
        <v>1</v>
      </c>
    </row>
    <row r="120" spans="1:13">
      <c r="A120" s="9">
        <v>43007</v>
      </c>
      <c r="B120" s="10">
        <v>0.52500000000000002</v>
      </c>
      <c r="C120" s="11" t="str">
        <f>"FES1162578369"</f>
        <v>FES1162578369</v>
      </c>
      <c r="D120" s="11" t="s">
        <v>19</v>
      </c>
      <c r="E120" s="11" t="s">
        <v>64</v>
      </c>
      <c r="F120" s="11" t="str">
        <f>"2170592005 "</f>
        <v xml:space="preserve">2170592005 </v>
      </c>
      <c r="G120" s="11" t="str">
        <f t="shared" si="4"/>
        <v>ON1</v>
      </c>
      <c r="H120" s="11" t="s">
        <v>21</v>
      </c>
      <c r="I120" s="11" t="s">
        <v>65</v>
      </c>
      <c r="J120" s="11" t="str">
        <f>""</f>
        <v/>
      </c>
      <c r="K120" s="11" t="str">
        <f>"PFES1162578369_0001"</f>
        <v>PFES1162578369_0001</v>
      </c>
      <c r="L120" s="11">
        <v>1</v>
      </c>
      <c r="M120" s="11">
        <v>1</v>
      </c>
    </row>
    <row r="121" spans="1:13">
      <c r="A121" s="9">
        <v>43007</v>
      </c>
      <c r="B121" s="10">
        <v>0.52430555555555558</v>
      </c>
      <c r="C121" s="11" t="str">
        <f>"FES1162578393"</f>
        <v>FES1162578393</v>
      </c>
      <c r="D121" s="11" t="s">
        <v>19</v>
      </c>
      <c r="E121" s="11" t="s">
        <v>96</v>
      </c>
      <c r="F121" s="11" t="str">
        <f>"2170590663 "</f>
        <v xml:space="preserve">2170590663 </v>
      </c>
      <c r="G121" s="11" t="str">
        <f t="shared" si="4"/>
        <v>ON1</v>
      </c>
      <c r="H121" s="11" t="s">
        <v>21</v>
      </c>
      <c r="I121" s="11" t="s">
        <v>114</v>
      </c>
      <c r="J121" s="11" t="str">
        <f>""</f>
        <v/>
      </c>
      <c r="K121" s="11" t="str">
        <f>"PFES1162578393_0001"</f>
        <v>PFES1162578393_0001</v>
      </c>
      <c r="L121" s="11">
        <v>1</v>
      </c>
      <c r="M121" s="11">
        <v>1</v>
      </c>
    </row>
    <row r="122" spans="1:13">
      <c r="A122" s="9">
        <v>43007</v>
      </c>
      <c r="B122" s="10">
        <v>0.52430555555555558</v>
      </c>
      <c r="C122" s="11" t="str">
        <f>"FES1162578553"</f>
        <v>FES1162578553</v>
      </c>
      <c r="D122" s="11" t="s">
        <v>19</v>
      </c>
      <c r="E122" s="11" t="s">
        <v>64</v>
      </c>
      <c r="F122" s="11" t="str">
        <f>"2170592005 "</f>
        <v xml:space="preserve">2170592005 </v>
      </c>
      <c r="G122" s="11" t="str">
        <f t="shared" si="4"/>
        <v>ON1</v>
      </c>
      <c r="H122" s="11" t="s">
        <v>21</v>
      </c>
      <c r="I122" s="11" t="s">
        <v>65</v>
      </c>
      <c r="J122" s="11" t="str">
        <f>""</f>
        <v/>
      </c>
      <c r="K122" s="11" t="str">
        <f>"PFES1162578553_0001"</f>
        <v>PFES1162578553_0001</v>
      </c>
      <c r="L122" s="11">
        <v>1</v>
      </c>
      <c r="M122" s="11">
        <v>1</v>
      </c>
    </row>
    <row r="123" spans="1:13">
      <c r="A123" s="9">
        <v>43007</v>
      </c>
      <c r="B123" s="10">
        <v>0.52430555555555558</v>
      </c>
      <c r="C123" s="11" t="str">
        <f>"FES1162578336"</f>
        <v>FES1162578336</v>
      </c>
      <c r="D123" s="11" t="s">
        <v>19</v>
      </c>
      <c r="E123" s="11" t="s">
        <v>181</v>
      </c>
      <c r="F123" s="11" t="str">
        <f>"2170593104 "</f>
        <v xml:space="preserve">2170593104 </v>
      </c>
      <c r="G123" s="11" t="str">
        <f t="shared" si="4"/>
        <v>ON1</v>
      </c>
      <c r="H123" s="11" t="s">
        <v>21</v>
      </c>
      <c r="I123" s="11" t="s">
        <v>59</v>
      </c>
      <c r="J123" s="11" t="str">
        <f>""</f>
        <v/>
      </c>
      <c r="K123" s="11" t="str">
        <f>"PFES1162578336_0001"</f>
        <v>PFES1162578336_0001</v>
      </c>
      <c r="L123" s="11">
        <v>1</v>
      </c>
      <c r="M123" s="11">
        <v>2</v>
      </c>
    </row>
    <row r="124" spans="1:13">
      <c r="A124" s="9">
        <v>43007</v>
      </c>
      <c r="B124" s="10">
        <v>0.52430555555555558</v>
      </c>
      <c r="C124" s="11" t="str">
        <f>"FES1162578364"</f>
        <v>FES1162578364</v>
      </c>
      <c r="D124" s="11" t="s">
        <v>19</v>
      </c>
      <c r="E124" s="11" t="s">
        <v>64</v>
      </c>
      <c r="F124" s="11" t="str">
        <f>"2170591515 "</f>
        <v xml:space="preserve">2170591515 </v>
      </c>
      <c r="G124" s="11" t="str">
        <f t="shared" si="4"/>
        <v>ON1</v>
      </c>
      <c r="H124" s="11" t="s">
        <v>21</v>
      </c>
      <c r="I124" s="11" t="s">
        <v>65</v>
      </c>
      <c r="J124" s="11" t="str">
        <f>""</f>
        <v/>
      </c>
      <c r="K124" s="11" t="str">
        <f>"PFES1162578364_0001"</f>
        <v>PFES1162578364_0001</v>
      </c>
      <c r="L124" s="11">
        <v>1</v>
      </c>
      <c r="M124" s="11">
        <v>1</v>
      </c>
    </row>
    <row r="125" spans="1:13">
      <c r="A125" s="9">
        <v>43007</v>
      </c>
      <c r="B125" s="10">
        <v>0.52361111111111114</v>
      </c>
      <c r="C125" s="11" t="str">
        <f>"FES1162578461"</f>
        <v>FES1162578461</v>
      </c>
      <c r="D125" s="11" t="s">
        <v>19</v>
      </c>
      <c r="E125" s="11" t="s">
        <v>64</v>
      </c>
      <c r="F125" s="11" t="str">
        <f>"2170590299 3"</f>
        <v>2170590299 3</v>
      </c>
      <c r="G125" s="11" t="str">
        <f t="shared" si="4"/>
        <v>ON1</v>
      </c>
      <c r="H125" s="11" t="s">
        <v>21</v>
      </c>
      <c r="I125" s="11" t="s">
        <v>65</v>
      </c>
      <c r="J125" s="11" t="str">
        <f>""</f>
        <v/>
      </c>
      <c r="K125" s="11" t="str">
        <f>"PFES1162578461_0001"</f>
        <v>PFES1162578461_0001</v>
      </c>
      <c r="L125" s="11">
        <v>1</v>
      </c>
      <c r="M125" s="11">
        <v>1</v>
      </c>
    </row>
    <row r="126" spans="1:13">
      <c r="A126" s="9">
        <v>43007</v>
      </c>
      <c r="B126" s="10">
        <v>0.52361111111111114</v>
      </c>
      <c r="C126" s="11" t="str">
        <f>"FES1162578417"</f>
        <v>FES1162578417</v>
      </c>
      <c r="D126" s="11" t="s">
        <v>19</v>
      </c>
      <c r="E126" s="11" t="s">
        <v>96</v>
      </c>
      <c r="F126" s="11" t="str">
        <f>"2170591010 "</f>
        <v xml:space="preserve">2170591010 </v>
      </c>
      <c r="G126" s="11" t="str">
        <f t="shared" si="4"/>
        <v>ON1</v>
      </c>
      <c r="H126" s="11" t="s">
        <v>21</v>
      </c>
      <c r="I126" s="11" t="s">
        <v>114</v>
      </c>
      <c r="J126" s="11" t="str">
        <f>""</f>
        <v/>
      </c>
      <c r="K126" s="11" t="str">
        <f>"PFES1162578417_0001"</f>
        <v>PFES1162578417_0001</v>
      </c>
      <c r="L126" s="11">
        <v>1</v>
      </c>
      <c r="M126" s="11">
        <v>1</v>
      </c>
    </row>
    <row r="127" spans="1:13">
      <c r="A127" s="9">
        <v>43007</v>
      </c>
      <c r="B127" s="10">
        <v>0.52361111111111114</v>
      </c>
      <c r="C127" s="11" t="str">
        <f>"FES1162578390"</f>
        <v>FES1162578390</v>
      </c>
      <c r="D127" s="11" t="s">
        <v>19</v>
      </c>
      <c r="E127" s="11" t="s">
        <v>182</v>
      </c>
      <c r="F127" s="11" t="str">
        <f>"2170590632 "</f>
        <v xml:space="preserve">2170590632 </v>
      </c>
      <c r="G127" s="11" t="str">
        <f t="shared" si="4"/>
        <v>ON1</v>
      </c>
      <c r="H127" s="11" t="s">
        <v>21</v>
      </c>
      <c r="I127" s="11" t="s">
        <v>183</v>
      </c>
      <c r="J127" s="11" t="str">
        <f>""</f>
        <v/>
      </c>
      <c r="K127" s="11" t="str">
        <f>"PFES1162578390_0001"</f>
        <v>PFES1162578390_0001</v>
      </c>
      <c r="L127" s="11">
        <v>1</v>
      </c>
      <c r="M127" s="11">
        <v>1</v>
      </c>
    </row>
    <row r="128" spans="1:13">
      <c r="A128" s="9">
        <v>43007</v>
      </c>
      <c r="B128" s="10">
        <v>0.5229166666666667</v>
      </c>
      <c r="C128" s="11" t="str">
        <f>"FES1162578559"</f>
        <v>FES1162578559</v>
      </c>
      <c r="D128" s="11" t="s">
        <v>19</v>
      </c>
      <c r="E128" s="11" t="s">
        <v>184</v>
      </c>
      <c r="F128" s="11" t="str">
        <f>"2170592739 "</f>
        <v xml:space="preserve">2170592739 </v>
      </c>
      <c r="G128" s="11" t="str">
        <f t="shared" si="4"/>
        <v>ON1</v>
      </c>
      <c r="H128" s="11" t="s">
        <v>21</v>
      </c>
      <c r="I128" s="11" t="s">
        <v>185</v>
      </c>
      <c r="J128" s="11" t="str">
        <f>""</f>
        <v/>
      </c>
      <c r="K128" s="11" t="str">
        <f>"PFES1162578559_0001"</f>
        <v>PFES1162578559_0001</v>
      </c>
      <c r="L128" s="11">
        <v>1</v>
      </c>
      <c r="M128" s="11">
        <v>1</v>
      </c>
    </row>
    <row r="129" spans="1:13">
      <c r="A129" s="9">
        <v>43007</v>
      </c>
      <c r="B129" s="10">
        <v>0.5229166666666667</v>
      </c>
      <c r="C129" s="11" t="str">
        <f>"FES1162578468"</f>
        <v>FES1162578468</v>
      </c>
      <c r="D129" s="11" t="s">
        <v>19</v>
      </c>
      <c r="E129" s="11" t="s">
        <v>163</v>
      </c>
      <c r="F129" s="11" t="str">
        <f>"2170590582 "</f>
        <v xml:space="preserve">2170590582 </v>
      </c>
      <c r="G129" s="11" t="str">
        <f t="shared" si="4"/>
        <v>ON1</v>
      </c>
      <c r="H129" s="11" t="s">
        <v>21</v>
      </c>
      <c r="I129" s="11" t="s">
        <v>133</v>
      </c>
      <c r="J129" s="11" t="str">
        <f>""</f>
        <v/>
      </c>
      <c r="K129" s="11" t="str">
        <f>"PFES1162578468_0001"</f>
        <v>PFES1162578468_0001</v>
      </c>
      <c r="L129" s="11">
        <v>1</v>
      </c>
      <c r="M129" s="11">
        <v>1</v>
      </c>
    </row>
    <row r="130" spans="1:13">
      <c r="A130" s="9">
        <v>43007</v>
      </c>
      <c r="B130" s="10">
        <v>0.5229166666666667</v>
      </c>
      <c r="C130" s="11" t="str">
        <f>"FES1162578365"</f>
        <v>FES1162578365</v>
      </c>
      <c r="D130" s="11" t="s">
        <v>19</v>
      </c>
      <c r="E130" s="11" t="s">
        <v>186</v>
      </c>
      <c r="F130" s="11" t="str">
        <f>"2170591538 "</f>
        <v xml:space="preserve">2170591538 </v>
      </c>
      <c r="G130" s="11" t="str">
        <f t="shared" si="4"/>
        <v>ON1</v>
      </c>
      <c r="H130" s="11" t="s">
        <v>21</v>
      </c>
      <c r="I130" s="11" t="s">
        <v>88</v>
      </c>
      <c r="J130" s="11" t="str">
        <f>""</f>
        <v/>
      </c>
      <c r="K130" s="11" t="str">
        <f>"PFES1162578365_0001"</f>
        <v>PFES1162578365_0001</v>
      </c>
      <c r="L130" s="11">
        <v>1</v>
      </c>
      <c r="M130" s="11">
        <v>1</v>
      </c>
    </row>
    <row r="131" spans="1:13">
      <c r="A131" s="9">
        <v>43007</v>
      </c>
      <c r="B131" s="10">
        <v>0.52222222222222225</v>
      </c>
      <c r="C131" s="11" t="str">
        <f>"FES1162578492"</f>
        <v>FES1162578492</v>
      </c>
      <c r="D131" s="11" t="s">
        <v>19</v>
      </c>
      <c r="E131" s="11" t="s">
        <v>187</v>
      </c>
      <c r="F131" s="11" t="str">
        <f>"2170591003 "</f>
        <v xml:space="preserve">2170591003 </v>
      </c>
      <c r="G131" s="11" t="str">
        <f t="shared" si="4"/>
        <v>ON1</v>
      </c>
      <c r="H131" s="11" t="s">
        <v>21</v>
      </c>
      <c r="I131" s="11" t="s">
        <v>65</v>
      </c>
      <c r="J131" s="11" t="str">
        <f>""</f>
        <v/>
      </c>
      <c r="K131" s="11" t="str">
        <f>"PFES1162578492_0001"</f>
        <v>PFES1162578492_0001</v>
      </c>
      <c r="L131" s="11">
        <v>1</v>
      </c>
      <c r="M131" s="11">
        <v>1</v>
      </c>
    </row>
    <row r="132" spans="1:13">
      <c r="A132" s="9">
        <v>43007</v>
      </c>
      <c r="B132" s="10">
        <v>0.52222222222222225</v>
      </c>
      <c r="C132" s="11" t="str">
        <f>"FES1162578406"</f>
        <v>FES1162578406</v>
      </c>
      <c r="D132" s="11" t="s">
        <v>19</v>
      </c>
      <c r="E132" s="11" t="s">
        <v>188</v>
      </c>
      <c r="F132" s="11" t="str">
        <f>"2170590829 "</f>
        <v xml:space="preserve">2170590829 </v>
      </c>
      <c r="G132" s="11" t="str">
        <f t="shared" si="4"/>
        <v>ON1</v>
      </c>
      <c r="H132" s="11" t="s">
        <v>21</v>
      </c>
      <c r="I132" s="11" t="s">
        <v>189</v>
      </c>
      <c r="J132" s="11" t="str">
        <f>""</f>
        <v/>
      </c>
      <c r="K132" s="11" t="str">
        <f>"PFES1162578406_0001"</f>
        <v>PFES1162578406_0001</v>
      </c>
      <c r="L132" s="11">
        <v>1</v>
      </c>
      <c r="M132" s="11">
        <v>5</v>
      </c>
    </row>
    <row r="133" spans="1:13">
      <c r="A133" s="9">
        <v>43007</v>
      </c>
      <c r="B133" s="10">
        <v>0.52222222222222225</v>
      </c>
      <c r="C133" s="11" t="str">
        <f>"FES1162578555"</f>
        <v>FES1162578555</v>
      </c>
      <c r="D133" s="11" t="s">
        <v>19</v>
      </c>
      <c r="E133" s="11" t="s">
        <v>64</v>
      </c>
      <c r="F133" s="11" t="str">
        <f>"2170592206 "</f>
        <v xml:space="preserve">2170592206 </v>
      </c>
      <c r="G133" s="11" t="str">
        <f t="shared" si="4"/>
        <v>ON1</v>
      </c>
      <c r="H133" s="11" t="s">
        <v>21</v>
      </c>
      <c r="I133" s="11" t="s">
        <v>65</v>
      </c>
      <c r="J133" s="11" t="str">
        <f>""</f>
        <v/>
      </c>
      <c r="K133" s="11" t="str">
        <f>"PFES1162578555_0001"</f>
        <v>PFES1162578555_0001</v>
      </c>
      <c r="L133" s="11">
        <v>1</v>
      </c>
      <c r="M133" s="11">
        <v>1</v>
      </c>
    </row>
    <row r="134" spans="1:13">
      <c r="A134" s="9">
        <v>43007</v>
      </c>
      <c r="B134" s="10">
        <v>0.52222222222222225</v>
      </c>
      <c r="C134" s="11" t="str">
        <f>"FES1162578391"</f>
        <v>FES1162578391</v>
      </c>
      <c r="D134" s="11" t="s">
        <v>19</v>
      </c>
      <c r="E134" s="11" t="s">
        <v>190</v>
      </c>
      <c r="F134" s="11" t="str">
        <f>"2170590648 "</f>
        <v xml:space="preserve">2170590648 </v>
      </c>
      <c r="G134" s="11" t="str">
        <f t="shared" si="4"/>
        <v>ON1</v>
      </c>
      <c r="H134" s="11" t="s">
        <v>21</v>
      </c>
      <c r="I134" s="11" t="s">
        <v>191</v>
      </c>
      <c r="J134" s="11" t="str">
        <f>""</f>
        <v/>
      </c>
      <c r="K134" s="11" t="str">
        <f>"PFES1162578391_0001"</f>
        <v>PFES1162578391_0001</v>
      </c>
      <c r="L134" s="11">
        <v>1</v>
      </c>
      <c r="M134" s="11">
        <v>1</v>
      </c>
    </row>
    <row r="135" spans="1:13">
      <c r="A135" s="9">
        <v>43007</v>
      </c>
      <c r="B135" s="10">
        <v>0.52152777777777781</v>
      </c>
      <c r="C135" s="11" t="str">
        <f>"FES1162578411"</f>
        <v>FES1162578411</v>
      </c>
      <c r="D135" s="11" t="s">
        <v>19</v>
      </c>
      <c r="E135" s="11" t="s">
        <v>192</v>
      </c>
      <c r="F135" s="11" t="str">
        <f>"2170590913 "</f>
        <v xml:space="preserve">2170590913 </v>
      </c>
      <c r="G135" s="11" t="str">
        <f t="shared" si="4"/>
        <v>ON1</v>
      </c>
      <c r="H135" s="11" t="s">
        <v>21</v>
      </c>
      <c r="I135" s="11" t="s">
        <v>193</v>
      </c>
      <c r="J135" s="11" t="str">
        <f>""</f>
        <v/>
      </c>
      <c r="K135" s="11" t="str">
        <f>"PFES1162578411_0001"</f>
        <v>PFES1162578411_0001</v>
      </c>
      <c r="L135" s="11">
        <v>1</v>
      </c>
      <c r="M135" s="11">
        <v>1</v>
      </c>
    </row>
    <row r="136" spans="1:13">
      <c r="A136" s="9">
        <v>43007</v>
      </c>
      <c r="B136" s="10">
        <v>0.52152777777777781</v>
      </c>
      <c r="C136" s="11" t="str">
        <f>"FES1162578415"</f>
        <v>FES1162578415</v>
      </c>
      <c r="D136" s="11" t="s">
        <v>19</v>
      </c>
      <c r="E136" s="11" t="s">
        <v>96</v>
      </c>
      <c r="F136" s="11" t="str">
        <f>"2170590961 "</f>
        <v xml:space="preserve">2170590961 </v>
      </c>
      <c r="G136" s="11" t="str">
        <f t="shared" si="4"/>
        <v>ON1</v>
      </c>
      <c r="H136" s="11" t="s">
        <v>21</v>
      </c>
      <c r="I136" s="11" t="s">
        <v>114</v>
      </c>
      <c r="J136" s="11" t="str">
        <f>""</f>
        <v/>
      </c>
      <c r="K136" s="11" t="str">
        <f>"PFES1162578415_0001"</f>
        <v>PFES1162578415_0001</v>
      </c>
      <c r="L136" s="11">
        <v>1</v>
      </c>
      <c r="M136" s="11">
        <v>1</v>
      </c>
    </row>
    <row r="137" spans="1:13">
      <c r="A137" s="9">
        <v>43007</v>
      </c>
      <c r="B137" s="10">
        <v>0.52152777777777781</v>
      </c>
      <c r="C137" s="11" t="str">
        <f>"FES1162578383"</f>
        <v>FES1162578383</v>
      </c>
      <c r="D137" s="11" t="s">
        <v>19</v>
      </c>
      <c r="E137" s="11" t="s">
        <v>194</v>
      </c>
      <c r="F137" s="11" t="str">
        <f>"2170590323 "</f>
        <v xml:space="preserve">2170590323 </v>
      </c>
      <c r="G137" s="11" t="str">
        <f t="shared" si="4"/>
        <v>ON1</v>
      </c>
      <c r="H137" s="11" t="s">
        <v>21</v>
      </c>
      <c r="I137" s="11" t="s">
        <v>183</v>
      </c>
      <c r="J137" s="11" t="str">
        <f>""</f>
        <v/>
      </c>
      <c r="K137" s="11" t="str">
        <f>"PFES1162578383_0001"</f>
        <v>PFES1162578383_0001</v>
      </c>
      <c r="L137" s="11">
        <v>1</v>
      </c>
      <c r="M137" s="11">
        <v>1</v>
      </c>
    </row>
    <row r="138" spans="1:13">
      <c r="A138" s="9">
        <v>43007</v>
      </c>
      <c r="B138" s="10">
        <v>0.52083333333333337</v>
      </c>
      <c r="C138" s="11" t="str">
        <f>"FES1162578499"</f>
        <v>FES1162578499</v>
      </c>
      <c r="D138" s="11" t="s">
        <v>19</v>
      </c>
      <c r="E138" s="11" t="s">
        <v>195</v>
      </c>
      <c r="F138" s="11" t="str">
        <f>"2170591064 "</f>
        <v xml:space="preserve">2170591064 </v>
      </c>
      <c r="G138" s="11" t="str">
        <f t="shared" si="4"/>
        <v>ON1</v>
      </c>
      <c r="H138" s="11" t="s">
        <v>21</v>
      </c>
      <c r="I138" s="11" t="s">
        <v>196</v>
      </c>
      <c r="J138" s="11" t="str">
        <f>""</f>
        <v/>
      </c>
      <c r="K138" s="11" t="str">
        <f>"PFES1162578499_0001"</f>
        <v>PFES1162578499_0001</v>
      </c>
      <c r="L138" s="11">
        <v>1</v>
      </c>
      <c r="M138" s="11">
        <v>3</v>
      </c>
    </row>
    <row r="139" spans="1:13">
      <c r="A139" s="9">
        <v>43007</v>
      </c>
      <c r="B139" s="10">
        <v>0.52013888888888882</v>
      </c>
      <c r="C139" s="11" t="str">
        <f>"FES1162578473"</f>
        <v>FES1162578473</v>
      </c>
      <c r="D139" s="11" t="s">
        <v>19</v>
      </c>
      <c r="E139" s="11" t="s">
        <v>96</v>
      </c>
      <c r="F139" s="11" t="str">
        <f>"2170590663 "</f>
        <v xml:space="preserve">2170590663 </v>
      </c>
      <c r="G139" s="11" t="str">
        <f t="shared" si="4"/>
        <v>ON1</v>
      </c>
      <c r="H139" s="11" t="s">
        <v>21</v>
      </c>
      <c r="I139" s="11" t="s">
        <v>114</v>
      </c>
      <c r="J139" s="11" t="str">
        <f>""</f>
        <v/>
      </c>
      <c r="K139" s="11" t="str">
        <f>"PFES1162578473_0001"</f>
        <v>PFES1162578473_0001</v>
      </c>
      <c r="L139" s="11">
        <v>1</v>
      </c>
      <c r="M139" s="11">
        <v>1</v>
      </c>
    </row>
    <row r="140" spans="1:13">
      <c r="A140" s="9">
        <v>43007</v>
      </c>
      <c r="B140" s="10">
        <v>0.52013888888888882</v>
      </c>
      <c r="C140" s="11" t="str">
        <f>"FES1162578438"</f>
        <v>FES1162578438</v>
      </c>
      <c r="D140" s="11" t="s">
        <v>19</v>
      </c>
      <c r="E140" s="11" t="s">
        <v>197</v>
      </c>
      <c r="F140" s="11" t="str">
        <f>"21705988219 "</f>
        <v xml:space="preserve">21705988219 </v>
      </c>
      <c r="G140" s="11" t="str">
        <f t="shared" si="4"/>
        <v>ON1</v>
      </c>
      <c r="H140" s="11" t="s">
        <v>21</v>
      </c>
      <c r="I140" s="11" t="s">
        <v>198</v>
      </c>
      <c r="J140" s="11" t="str">
        <f>""</f>
        <v/>
      </c>
      <c r="K140" s="11" t="str">
        <f>"PFES1162578438_0001"</f>
        <v>PFES1162578438_0001</v>
      </c>
      <c r="L140" s="11">
        <v>1</v>
      </c>
      <c r="M140" s="11">
        <v>1</v>
      </c>
    </row>
    <row r="141" spans="1:13">
      <c r="A141" s="9">
        <v>43007</v>
      </c>
      <c r="B141" s="10">
        <v>0.52013888888888882</v>
      </c>
      <c r="C141" s="11" t="str">
        <f>"FES1162578370"</f>
        <v>FES1162578370</v>
      </c>
      <c r="D141" s="11" t="s">
        <v>19</v>
      </c>
      <c r="E141" s="11" t="s">
        <v>194</v>
      </c>
      <c r="F141" s="11" t="str">
        <f>"2170592513 "</f>
        <v xml:space="preserve">2170592513 </v>
      </c>
      <c r="G141" s="11" t="str">
        <f t="shared" si="4"/>
        <v>ON1</v>
      </c>
      <c r="H141" s="11" t="s">
        <v>21</v>
      </c>
      <c r="I141" s="11" t="s">
        <v>183</v>
      </c>
      <c r="J141" s="11" t="str">
        <f>""</f>
        <v/>
      </c>
      <c r="K141" s="11" t="str">
        <f>"PFES1162578370_0001"</f>
        <v>PFES1162578370_0001</v>
      </c>
      <c r="L141" s="11">
        <v>1</v>
      </c>
      <c r="M141" s="11">
        <v>1</v>
      </c>
    </row>
    <row r="142" spans="1:13">
      <c r="A142" s="9">
        <v>43007</v>
      </c>
      <c r="B142" s="10">
        <v>0.51944444444444449</v>
      </c>
      <c r="C142" s="11" t="str">
        <f>"FES1162578471"</f>
        <v>FES1162578471</v>
      </c>
      <c r="D142" s="11" t="s">
        <v>19</v>
      </c>
      <c r="E142" s="11" t="s">
        <v>163</v>
      </c>
      <c r="F142" s="11" t="str">
        <f>"2170590591 "</f>
        <v xml:space="preserve">2170590591 </v>
      </c>
      <c r="G142" s="11" t="str">
        <f t="shared" si="4"/>
        <v>ON1</v>
      </c>
      <c r="H142" s="11" t="s">
        <v>21</v>
      </c>
      <c r="I142" s="11" t="s">
        <v>133</v>
      </c>
      <c r="J142" s="11" t="str">
        <f>""</f>
        <v/>
      </c>
      <c r="K142" s="11" t="str">
        <f>"PFES1162578471_0001"</f>
        <v>PFES1162578471_0001</v>
      </c>
      <c r="L142" s="11">
        <v>1</v>
      </c>
      <c r="M142" s="11">
        <v>1</v>
      </c>
    </row>
    <row r="143" spans="1:13">
      <c r="A143" s="9">
        <v>43007</v>
      </c>
      <c r="B143" s="10">
        <v>0.51944444444444449</v>
      </c>
      <c r="C143" s="11" t="str">
        <f>"FES1162578363"</f>
        <v>FES1162578363</v>
      </c>
      <c r="D143" s="11" t="s">
        <v>19</v>
      </c>
      <c r="E143" s="11" t="s">
        <v>100</v>
      </c>
      <c r="F143" s="11" t="str">
        <f>"2170591499 "</f>
        <v xml:space="preserve">2170591499 </v>
      </c>
      <c r="G143" s="11" t="str">
        <f t="shared" si="4"/>
        <v>ON1</v>
      </c>
      <c r="H143" s="11" t="s">
        <v>21</v>
      </c>
      <c r="I143" s="11" t="s">
        <v>101</v>
      </c>
      <c r="J143" s="11" t="str">
        <f>""</f>
        <v/>
      </c>
      <c r="K143" s="11" t="str">
        <f>"PFES1162578363_0001"</f>
        <v>PFES1162578363_0001</v>
      </c>
      <c r="L143" s="11">
        <v>1</v>
      </c>
      <c r="M143" s="11">
        <v>1</v>
      </c>
    </row>
    <row r="144" spans="1:13">
      <c r="A144" s="9">
        <v>43007</v>
      </c>
      <c r="B144" s="10">
        <v>0.51944444444444449</v>
      </c>
      <c r="C144" s="11" t="str">
        <f>"FES1162578448"</f>
        <v>FES1162578448</v>
      </c>
      <c r="D144" s="11" t="s">
        <v>19</v>
      </c>
      <c r="E144" s="11" t="s">
        <v>69</v>
      </c>
      <c r="F144" s="11" t="str">
        <f>"2170576830 "</f>
        <v xml:space="preserve">2170576830 </v>
      </c>
      <c r="G144" s="11" t="str">
        <f t="shared" si="4"/>
        <v>ON1</v>
      </c>
      <c r="H144" s="11" t="s">
        <v>21</v>
      </c>
      <c r="I144" s="11" t="s">
        <v>70</v>
      </c>
      <c r="J144" s="11" t="str">
        <f>""</f>
        <v/>
      </c>
      <c r="K144" s="11" t="str">
        <f>"PFES1162578448_0001"</f>
        <v>PFES1162578448_0001</v>
      </c>
      <c r="L144" s="11">
        <v>1</v>
      </c>
      <c r="M144" s="11">
        <v>5</v>
      </c>
    </row>
    <row r="145" spans="1:13">
      <c r="A145" s="9">
        <v>43007</v>
      </c>
      <c r="B145" s="10">
        <v>0.51874999999999993</v>
      </c>
      <c r="C145" s="11" t="str">
        <f>"FES1162578422"</f>
        <v>FES1162578422</v>
      </c>
      <c r="D145" s="11" t="s">
        <v>19</v>
      </c>
      <c r="E145" s="11" t="s">
        <v>199</v>
      </c>
      <c r="F145" s="11" t="str">
        <f>"2170591099 "</f>
        <v xml:space="preserve">2170591099 </v>
      </c>
      <c r="G145" s="11" t="str">
        <f t="shared" si="4"/>
        <v>ON1</v>
      </c>
      <c r="H145" s="11" t="s">
        <v>21</v>
      </c>
      <c r="I145" s="11" t="s">
        <v>65</v>
      </c>
      <c r="J145" s="11" t="str">
        <f>""</f>
        <v/>
      </c>
      <c r="K145" s="11" t="str">
        <f>"PFES1162578422_0001"</f>
        <v>PFES1162578422_0001</v>
      </c>
      <c r="L145" s="11">
        <v>1</v>
      </c>
      <c r="M145" s="11">
        <v>1</v>
      </c>
    </row>
    <row r="146" spans="1:13">
      <c r="A146" s="9">
        <v>43007</v>
      </c>
      <c r="B146" s="10">
        <v>0.51874999999999993</v>
      </c>
      <c r="C146" s="11" t="str">
        <f>"FES1162578371"</f>
        <v>FES1162578371</v>
      </c>
      <c r="D146" s="11" t="s">
        <v>19</v>
      </c>
      <c r="E146" s="11" t="s">
        <v>200</v>
      </c>
      <c r="F146" s="11" t="str">
        <f>"217059257 "</f>
        <v xml:space="preserve">217059257 </v>
      </c>
      <c r="G146" s="11" t="str">
        <f t="shared" si="4"/>
        <v>ON1</v>
      </c>
      <c r="H146" s="11" t="s">
        <v>21</v>
      </c>
      <c r="I146" s="11" t="s">
        <v>65</v>
      </c>
      <c r="J146" s="11" t="str">
        <f>""</f>
        <v/>
      </c>
      <c r="K146" s="11" t="str">
        <f>"PFES1162578371_0001"</f>
        <v>PFES1162578371_0001</v>
      </c>
      <c r="L146" s="11">
        <v>1</v>
      </c>
      <c r="M146" s="11">
        <v>1</v>
      </c>
    </row>
    <row r="147" spans="1:13">
      <c r="A147" s="9">
        <v>43007</v>
      </c>
      <c r="B147" s="10">
        <v>0.51874999999999993</v>
      </c>
      <c r="C147" s="11" t="str">
        <f>"FES1162578337"</f>
        <v>FES1162578337</v>
      </c>
      <c r="D147" s="11" t="s">
        <v>19</v>
      </c>
      <c r="E147" s="11" t="s">
        <v>201</v>
      </c>
      <c r="F147" s="11" t="str">
        <f>"2170593105 "</f>
        <v xml:space="preserve">2170593105 </v>
      </c>
      <c r="G147" s="11" t="str">
        <f t="shared" si="4"/>
        <v>ON1</v>
      </c>
      <c r="H147" s="11" t="s">
        <v>21</v>
      </c>
      <c r="I147" s="11" t="s">
        <v>202</v>
      </c>
      <c r="J147" s="11" t="str">
        <f>""</f>
        <v/>
      </c>
      <c r="K147" s="11" t="str">
        <f>"PFES1162578337_0001"</f>
        <v>PFES1162578337_0001</v>
      </c>
      <c r="L147" s="11">
        <v>1</v>
      </c>
      <c r="M147" s="11">
        <v>1</v>
      </c>
    </row>
    <row r="148" spans="1:13">
      <c r="A148" s="9">
        <v>43007</v>
      </c>
      <c r="B148" s="10">
        <v>0.51874999999999993</v>
      </c>
      <c r="C148" s="11" t="str">
        <f>"FES1162578594"</f>
        <v>FES1162578594</v>
      </c>
      <c r="D148" s="11" t="s">
        <v>19</v>
      </c>
      <c r="E148" s="11" t="s">
        <v>203</v>
      </c>
      <c r="F148" s="11" t="str">
        <f>"2170593193 "</f>
        <v xml:space="preserve">2170593193 </v>
      </c>
      <c r="G148" s="11" t="str">
        <f t="shared" si="4"/>
        <v>ON1</v>
      </c>
      <c r="H148" s="11" t="s">
        <v>21</v>
      </c>
      <c r="I148" s="11" t="s">
        <v>204</v>
      </c>
      <c r="J148" s="11" t="str">
        <f>""</f>
        <v/>
      </c>
      <c r="K148" s="11" t="str">
        <f>"PFES1162578594_0001"</f>
        <v>PFES1162578594_0001</v>
      </c>
      <c r="L148" s="11">
        <v>1</v>
      </c>
      <c r="M148" s="11">
        <v>7</v>
      </c>
    </row>
    <row r="149" spans="1:13">
      <c r="A149" s="9">
        <v>43007</v>
      </c>
      <c r="B149" s="10">
        <v>0.5180555555555556</v>
      </c>
      <c r="C149" s="11" t="str">
        <f>"FES1162578534"</f>
        <v>FES1162578534</v>
      </c>
      <c r="D149" s="11" t="s">
        <v>19</v>
      </c>
      <c r="E149" s="11" t="s">
        <v>205</v>
      </c>
      <c r="F149" s="11" t="str">
        <f>"2170591317 "</f>
        <v xml:space="preserve">2170591317 </v>
      </c>
      <c r="G149" s="11" t="str">
        <f t="shared" si="4"/>
        <v>ON1</v>
      </c>
      <c r="H149" s="11" t="s">
        <v>21</v>
      </c>
      <c r="I149" s="11" t="s">
        <v>43</v>
      </c>
      <c r="J149" s="11" t="str">
        <f>""</f>
        <v/>
      </c>
      <c r="K149" s="11" t="str">
        <f>"PFES1162578534_0001"</f>
        <v>PFES1162578534_0001</v>
      </c>
      <c r="L149" s="11">
        <v>1</v>
      </c>
      <c r="M149" s="11">
        <v>1</v>
      </c>
    </row>
    <row r="150" spans="1:13">
      <c r="A150" s="9">
        <v>43007</v>
      </c>
      <c r="B150" s="10">
        <v>0.5180555555555556</v>
      </c>
      <c r="C150" s="11" t="str">
        <f>"FES1162578474"</f>
        <v>FES1162578474</v>
      </c>
      <c r="D150" s="11" t="s">
        <v>19</v>
      </c>
      <c r="E150" s="11" t="s">
        <v>37</v>
      </c>
      <c r="F150" s="11" t="str">
        <f>"2170590694 "</f>
        <v xml:space="preserve">2170590694 </v>
      </c>
      <c r="G150" s="11" t="str">
        <f t="shared" si="4"/>
        <v>ON1</v>
      </c>
      <c r="H150" s="11" t="s">
        <v>21</v>
      </c>
      <c r="I150" s="11" t="s">
        <v>34</v>
      </c>
      <c r="J150" s="11" t="str">
        <f>""</f>
        <v/>
      </c>
      <c r="K150" s="11" t="str">
        <f>"PFES1162578474_0001"</f>
        <v>PFES1162578474_0001</v>
      </c>
      <c r="L150" s="11">
        <v>1</v>
      </c>
      <c r="M150" s="11">
        <v>1</v>
      </c>
    </row>
    <row r="151" spans="1:13">
      <c r="A151" s="9">
        <v>43007</v>
      </c>
      <c r="B151" s="10">
        <v>0.51736111111111105</v>
      </c>
      <c r="C151" s="11" t="str">
        <f>"FES1162578355"</f>
        <v>FES1162578355</v>
      </c>
      <c r="D151" s="11" t="s">
        <v>19</v>
      </c>
      <c r="E151" s="11" t="s">
        <v>37</v>
      </c>
      <c r="F151" s="11" t="str">
        <f>"2170591307 "</f>
        <v xml:space="preserve">2170591307 </v>
      </c>
      <c r="G151" s="11" t="str">
        <f t="shared" si="4"/>
        <v>ON1</v>
      </c>
      <c r="H151" s="11" t="s">
        <v>21</v>
      </c>
      <c r="I151" s="11" t="s">
        <v>34</v>
      </c>
      <c r="J151" s="11" t="str">
        <f>""</f>
        <v/>
      </c>
      <c r="K151" s="11" t="str">
        <f>"PFES1162578355_0001"</f>
        <v>PFES1162578355_0001</v>
      </c>
      <c r="L151" s="11">
        <v>1</v>
      </c>
      <c r="M151" s="11">
        <v>1</v>
      </c>
    </row>
    <row r="152" spans="1:13">
      <c r="A152" s="9">
        <v>43007</v>
      </c>
      <c r="B152" s="10">
        <v>0.51736111111111105</v>
      </c>
      <c r="C152" s="11" t="str">
        <f>"FES1162578389"</f>
        <v>FES1162578389</v>
      </c>
      <c r="D152" s="11" t="s">
        <v>19</v>
      </c>
      <c r="E152" s="11" t="s">
        <v>206</v>
      </c>
      <c r="F152" s="11" t="str">
        <f>"2170590620 "</f>
        <v xml:space="preserve">2170590620 </v>
      </c>
      <c r="G152" s="11" t="str">
        <f t="shared" si="4"/>
        <v>ON1</v>
      </c>
      <c r="H152" s="11" t="s">
        <v>21</v>
      </c>
      <c r="I152" s="11" t="s">
        <v>207</v>
      </c>
      <c r="J152" s="11" t="str">
        <f>""</f>
        <v/>
      </c>
      <c r="K152" s="11" t="str">
        <f>"PFES1162578389_0001"</f>
        <v>PFES1162578389_0001</v>
      </c>
      <c r="L152" s="11">
        <v>1</v>
      </c>
      <c r="M152" s="11">
        <v>1</v>
      </c>
    </row>
    <row r="153" spans="1:13">
      <c r="A153" s="9">
        <v>43007</v>
      </c>
      <c r="B153" s="10">
        <v>0.51736111111111105</v>
      </c>
      <c r="C153" s="11" t="str">
        <f>"FES1162578368"</f>
        <v>FES1162578368</v>
      </c>
      <c r="D153" s="11" t="s">
        <v>19</v>
      </c>
      <c r="E153" s="11" t="s">
        <v>48</v>
      </c>
      <c r="F153" s="11" t="str">
        <f>"2170591822 "</f>
        <v xml:space="preserve">2170591822 </v>
      </c>
      <c r="G153" s="11" t="str">
        <f t="shared" si="4"/>
        <v>ON1</v>
      </c>
      <c r="H153" s="11" t="s">
        <v>21</v>
      </c>
      <c r="I153" s="11" t="s">
        <v>49</v>
      </c>
      <c r="J153" s="11" t="str">
        <f>""</f>
        <v/>
      </c>
      <c r="K153" s="11" t="str">
        <f>"PFES1162578368_0001"</f>
        <v>PFES1162578368_0001</v>
      </c>
      <c r="L153" s="11">
        <v>1</v>
      </c>
      <c r="M153" s="11">
        <v>1</v>
      </c>
    </row>
    <row r="154" spans="1:13">
      <c r="A154" s="9">
        <v>43007</v>
      </c>
      <c r="B154" s="10">
        <v>0.51666666666666672</v>
      </c>
      <c r="C154" s="11" t="str">
        <f>"FES1162578487"</f>
        <v>FES1162578487</v>
      </c>
      <c r="D154" s="11" t="s">
        <v>19</v>
      </c>
      <c r="E154" s="11" t="s">
        <v>208</v>
      </c>
      <c r="F154" s="11" t="str">
        <f>"2170590950 "</f>
        <v xml:space="preserve">2170590950 </v>
      </c>
      <c r="G154" s="11" t="str">
        <f t="shared" si="4"/>
        <v>ON1</v>
      </c>
      <c r="H154" s="11" t="s">
        <v>21</v>
      </c>
      <c r="I154" s="11" t="s">
        <v>209</v>
      </c>
      <c r="J154" s="11" t="str">
        <f>""</f>
        <v/>
      </c>
      <c r="K154" s="11" t="str">
        <f>"PFES1162578487_0001"</f>
        <v>PFES1162578487_0001</v>
      </c>
      <c r="L154" s="11">
        <v>1</v>
      </c>
      <c r="M154" s="11">
        <v>1</v>
      </c>
    </row>
    <row r="155" spans="1:13">
      <c r="A155" s="9">
        <v>43007</v>
      </c>
      <c r="B155" s="10">
        <v>0.51597222222222217</v>
      </c>
      <c r="C155" s="11" t="str">
        <f>"FES1162578458"</f>
        <v>FES1162578458</v>
      </c>
      <c r="D155" s="11" t="s">
        <v>19</v>
      </c>
      <c r="E155" s="11" t="s">
        <v>79</v>
      </c>
      <c r="F155" s="11" t="str">
        <f>"2170598976 "</f>
        <v xml:space="preserve">2170598976 </v>
      </c>
      <c r="G155" s="11" t="str">
        <f t="shared" si="4"/>
        <v>ON1</v>
      </c>
      <c r="H155" s="11" t="s">
        <v>21</v>
      </c>
      <c r="I155" s="11" t="s">
        <v>80</v>
      </c>
      <c r="J155" s="11" t="str">
        <f>""</f>
        <v/>
      </c>
      <c r="K155" s="11" t="str">
        <f>"PFES1162578458_0001"</f>
        <v>PFES1162578458_0001</v>
      </c>
      <c r="L155" s="11">
        <v>1</v>
      </c>
      <c r="M155" s="11">
        <v>1</v>
      </c>
    </row>
    <row r="156" spans="1:13">
      <c r="A156" s="9">
        <v>43007</v>
      </c>
      <c r="B156" s="10">
        <v>0.51597222222222217</v>
      </c>
      <c r="C156" s="11" t="str">
        <f>"FES1162578566"</f>
        <v>FES1162578566</v>
      </c>
      <c r="D156" s="11" t="s">
        <v>19</v>
      </c>
      <c r="E156" s="11" t="s">
        <v>210</v>
      </c>
      <c r="F156" s="11" t="str">
        <f>"2170593155 "</f>
        <v xml:space="preserve">2170593155 </v>
      </c>
      <c r="G156" s="11" t="str">
        <f t="shared" si="4"/>
        <v>ON1</v>
      </c>
      <c r="H156" s="11" t="s">
        <v>21</v>
      </c>
      <c r="I156" s="11" t="s">
        <v>211</v>
      </c>
      <c r="J156" s="11" t="str">
        <f>""</f>
        <v/>
      </c>
      <c r="K156" s="11" t="str">
        <f>"PFES1162578566_0001"</f>
        <v>PFES1162578566_0001</v>
      </c>
      <c r="L156" s="11">
        <v>1</v>
      </c>
      <c r="M156" s="11">
        <v>1</v>
      </c>
    </row>
    <row r="157" spans="1:13">
      <c r="A157" s="9">
        <v>43007</v>
      </c>
      <c r="B157" s="10">
        <v>0.51597222222222217</v>
      </c>
      <c r="C157" s="11" t="str">
        <f>"FES1162578544"</f>
        <v>FES1162578544</v>
      </c>
      <c r="D157" s="11" t="s">
        <v>19</v>
      </c>
      <c r="E157" s="11" t="s">
        <v>200</v>
      </c>
      <c r="F157" s="11" t="str">
        <f>"2170591480 "</f>
        <v xml:space="preserve">2170591480 </v>
      </c>
      <c r="G157" s="11" t="str">
        <f t="shared" si="4"/>
        <v>ON1</v>
      </c>
      <c r="H157" s="11" t="s">
        <v>21</v>
      </c>
      <c r="I157" s="11" t="s">
        <v>65</v>
      </c>
      <c r="J157" s="11" t="str">
        <f>""</f>
        <v/>
      </c>
      <c r="K157" s="11" t="str">
        <f>"PFES1162578544_0001"</f>
        <v>PFES1162578544_0001</v>
      </c>
      <c r="L157" s="11">
        <v>1</v>
      </c>
      <c r="M157" s="11">
        <v>1</v>
      </c>
    </row>
    <row r="158" spans="1:13">
      <c r="A158" s="9">
        <v>43007</v>
      </c>
      <c r="B158" s="10">
        <v>0.51527777777777783</v>
      </c>
      <c r="C158" s="11" t="str">
        <f>"FES1162578463"</f>
        <v>FES1162578463</v>
      </c>
      <c r="D158" s="11" t="s">
        <v>19</v>
      </c>
      <c r="E158" s="11" t="s">
        <v>212</v>
      </c>
      <c r="F158" s="11" t="str">
        <f>"2170590412 "</f>
        <v xml:space="preserve">2170590412 </v>
      </c>
      <c r="G158" s="11" t="str">
        <f t="shared" si="4"/>
        <v>ON1</v>
      </c>
      <c r="H158" s="11" t="s">
        <v>21</v>
      </c>
      <c r="I158" s="11" t="s">
        <v>213</v>
      </c>
      <c r="J158" s="11" t="str">
        <f>""</f>
        <v/>
      </c>
      <c r="K158" s="11" t="str">
        <f>"PFES1162578463_0001"</f>
        <v>PFES1162578463_0001</v>
      </c>
      <c r="L158" s="11">
        <v>1</v>
      </c>
      <c r="M158" s="11">
        <v>1</v>
      </c>
    </row>
    <row r="159" spans="1:13">
      <c r="A159" s="9">
        <v>43007</v>
      </c>
      <c r="B159" s="10">
        <v>0.51458333333333328</v>
      </c>
      <c r="C159" s="11" t="str">
        <f>"FES1162578488"</f>
        <v>FES1162578488</v>
      </c>
      <c r="D159" s="11" t="s">
        <v>19</v>
      </c>
      <c r="E159" s="11" t="s">
        <v>134</v>
      </c>
      <c r="F159" s="11" t="str">
        <f>"2170590958 "</f>
        <v xml:space="preserve">2170590958 </v>
      </c>
      <c r="G159" s="11" t="str">
        <f t="shared" si="4"/>
        <v>ON1</v>
      </c>
      <c r="H159" s="11" t="s">
        <v>21</v>
      </c>
      <c r="I159" s="11" t="s">
        <v>135</v>
      </c>
      <c r="J159" s="11" t="str">
        <f>""</f>
        <v/>
      </c>
      <c r="K159" s="11" t="str">
        <f>"PFES1162578488_0001"</f>
        <v>PFES1162578488_0001</v>
      </c>
      <c r="L159" s="11">
        <v>1</v>
      </c>
      <c r="M159" s="11">
        <v>1</v>
      </c>
    </row>
    <row r="160" spans="1:13">
      <c r="A160" s="9">
        <v>43007</v>
      </c>
      <c r="B160" s="10">
        <v>0.51458333333333328</v>
      </c>
      <c r="C160" s="11" t="str">
        <f>"FES1162578490"</f>
        <v>FES1162578490</v>
      </c>
      <c r="D160" s="11" t="s">
        <v>19</v>
      </c>
      <c r="E160" s="11" t="s">
        <v>46</v>
      </c>
      <c r="F160" s="11" t="str">
        <f>"2170590976 "</f>
        <v xml:space="preserve">2170590976 </v>
      </c>
      <c r="G160" s="11" t="str">
        <f t="shared" si="4"/>
        <v>ON1</v>
      </c>
      <c r="H160" s="11" t="s">
        <v>21</v>
      </c>
      <c r="I160" s="11" t="s">
        <v>114</v>
      </c>
      <c r="J160" s="11" t="str">
        <f>""</f>
        <v/>
      </c>
      <c r="K160" s="11" t="str">
        <f>"PFES1162578490_0001"</f>
        <v>PFES1162578490_0001</v>
      </c>
      <c r="L160" s="11">
        <v>1</v>
      </c>
      <c r="M160" s="11">
        <v>1</v>
      </c>
    </row>
    <row r="161" spans="1:13">
      <c r="A161" s="9">
        <v>43007</v>
      </c>
      <c r="B161" s="10">
        <v>0.51388888888888895</v>
      </c>
      <c r="C161" s="11" t="str">
        <f>"FES1162578358"</f>
        <v>FES1162578358</v>
      </c>
      <c r="D161" s="11" t="s">
        <v>19</v>
      </c>
      <c r="E161" s="11" t="s">
        <v>100</v>
      </c>
      <c r="F161" s="11" t="str">
        <f>"2170591352 "</f>
        <v xml:space="preserve">2170591352 </v>
      </c>
      <c r="G161" s="11" t="str">
        <f t="shared" si="4"/>
        <v>ON1</v>
      </c>
      <c r="H161" s="11" t="s">
        <v>21</v>
      </c>
      <c r="I161" s="11" t="s">
        <v>101</v>
      </c>
      <c r="J161" s="11" t="str">
        <f>""</f>
        <v/>
      </c>
      <c r="K161" s="11" t="str">
        <f>"PFES1162578358_0001"</f>
        <v>PFES1162578358_0001</v>
      </c>
      <c r="L161" s="11">
        <v>1</v>
      </c>
      <c r="M161" s="11">
        <v>1</v>
      </c>
    </row>
    <row r="162" spans="1:13">
      <c r="A162" s="9">
        <v>43007</v>
      </c>
      <c r="B162" s="10">
        <v>0.62638888888888888</v>
      </c>
      <c r="C162" s="11" t="str">
        <f>"FES1162578612"</f>
        <v>FES1162578612</v>
      </c>
      <c r="D162" s="11" t="s">
        <v>19</v>
      </c>
      <c r="E162" s="11" t="s">
        <v>55</v>
      </c>
      <c r="F162" s="11" t="str">
        <f>"2170593220 "</f>
        <v xml:space="preserve">2170593220 </v>
      </c>
      <c r="G162" s="11" t="str">
        <f t="shared" si="4"/>
        <v>ON1</v>
      </c>
      <c r="H162" s="11" t="s">
        <v>21</v>
      </c>
      <c r="I162" s="11" t="s">
        <v>56</v>
      </c>
      <c r="J162" s="11" t="str">
        <f>""</f>
        <v/>
      </c>
      <c r="K162" s="11" t="str">
        <f>"PFES1162578612_0001"</f>
        <v>PFES1162578612_0001</v>
      </c>
      <c r="L162" s="11">
        <v>1</v>
      </c>
      <c r="M162" s="11">
        <v>2</v>
      </c>
    </row>
    <row r="163" spans="1:13">
      <c r="A163" s="9">
        <v>43007</v>
      </c>
      <c r="B163" s="10">
        <v>0.62569444444444444</v>
      </c>
      <c r="C163" s="11" t="str">
        <f>"FES1162578639"</f>
        <v>FES1162578639</v>
      </c>
      <c r="D163" s="11" t="s">
        <v>19</v>
      </c>
      <c r="E163" s="11" t="s">
        <v>214</v>
      </c>
      <c r="F163" s="11" t="str">
        <f>"2170589823 "</f>
        <v xml:space="preserve">2170589823 </v>
      </c>
      <c r="G163" s="11" t="str">
        <f t="shared" si="4"/>
        <v>ON1</v>
      </c>
      <c r="H163" s="11" t="s">
        <v>21</v>
      </c>
      <c r="I163" s="11" t="s">
        <v>215</v>
      </c>
      <c r="J163" s="11" t="str">
        <f>""</f>
        <v/>
      </c>
      <c r="K163" s="11" t="str">
        <f>"PFES1162578639_0001"</f>
        <v>PFES1162578639_0001</v>
      </c>
      <c r="L163" s="11">
        <v>1</v>
      </c>
      <c r="M163" s="11">
        <v>1</v>
      </c>
    </row>
    <row r="164" spans="1:13">
      <c r="A164" s="9">
        <v>43007</v>
      </c>
      <c r="B164" s="10">
        <v>0.625</v>
      </c>
      <c r="C164" s="11" t="str">
        <f>"FES1162578635"</f>
        <v>FES1162578635</v>
      </c>
      <c r="D164" s="11" t="s">
        <v>19</v>
      </c>
      <c r="E164" s="11" t="s">
        <v>216</v>
      </c>
      <c r="F164" s="11" t="str">
        <f>"2170593242 "</f>
        <v xml:space="preserve">2170593242 </v>
      </c>
      <c r="G164" s="11" t="str">
        <f t="shared" si="4"/>
        <v>ON1</v>
      </c>
      <c r="H164" s="11" t="s">
        <v>21</v>
      </c>
      <c r="I164" s="11" t="s">
        <v>56</v>
      </c>
      <c r="J164" s="11" t="str">
        <f>""</f>
        <v/>
      </c>
      <c r="K164" s="11" t="str">
        <f>"PFES1162578635_0001"</f>
        <v>PFES1162578635_0001</v>
      </c>
      <c r="L164" s="11">
        <v>1</v>
      </c>
      <c r="M164" s="11">
        <v>1</v>
      </c>
    </row>
    <row r="165" spans="1:13">
      <c r="A165" s="9">
        <v>43007</v>
      </c>
      <c r="B165" s="10">
        <v>0.62430555555555556</v>
      </c>
      <c r="C165" s="11" t="str">
        <f>"FES1162578670"</f>
        <v>FES1162578670</v>
      </c>
      <c r="D165" s="11" t="s">
        <v>19</v>
      </c>
      <c r="E165" s="11" t="s">
        <v>46</v>
      </c>
      <c r="F165" s="11" t="str">
        <f>"2170593272 "</f>
        <v xml:space="preserve">2170593272 </v>
      </c>
      <c r="G165" s="11" t="str">
        <f t="shared" ref="G165:G199" si="5">"ON1"</f>
        <v>ON1</v>
      </c>
      <c r="H165" s="11" t="s">
        <v>21</v>
      </c>
      <c r="I165" s="11" t="s">
        <v>101</v>
      </c>
      <c r="J165" s="11" t="str">
        <f>""</f>
        <v/>
      </c>
      <c r="K165" s="11" t="str">
        <f>"PFES1162578670_0001"</f>
        <v>PFES1162578670_0001</v>
      </c>
      <c r="L165" s="11">
        <v>1</v>
      </c>
      <c r="M165" s="11">
        <v>1</v>
      </c>
    </row>
    <row r="166" spans="1:13">
      <c r="A166" s="9">
        <v>43007</v>
      </c>
      <c r="B166" s="10">
        <v>0.61875000000000002</v>
      </c>
      <c r="C166" s="11" t="str">
        <f>"FES1162578654"</f>
        <v>FES1162578654</v>
      </c>
      <c r="D166" s="11" t="s">
        <v>19</v>
      </c>
      <c r="E166" s="11" t="s">
        <v>217</v>
      </c>
      <c r="F166" s="11" t="str">
        <f>"2170587766 "</f>
        <v xml:space="preserve">2170587766 </v>
      </c>
      <c r="G166" s="11" t="str">
        <f t="shared" si="5"/>
        <v>ON1</v>
      </c>
      <c r="H166" s="11" t="s">
        <v>21</v>
      </c>
      <c r="I166" s="11" t="s">
        <v>218</v>
      </c>
      <c r="J166" s="11" t="str">
        <f>""</f>
        <v/>
      </c>
      <c r="K166" s="11" t="str">
        <f>"PFES1162578654_0001"</f>
        <v>PFES1162578654_0001</v>
      </c>
      <c r="L166" s="11">
        <v>1</v>
      </c>
      <c r="M166" s="11">
        <v>4</v>
      </c>
    </row>
    <row r="167" spans="1:13">
      <c r="A167" s="9">
        <v>43007</v>
      </c>
      <c r="B167" s="10">
        <v>0.61805555555555558</v>
      </c>
      <c r="C167" s="11" t="str">
        <f>"FES1162578508"</f>
        <v>FES1162578508</v>
      </c>
      <c r="D167" s="11" t="s">
        <v>19</v>
      </c>
      <c r="E167" s="11" t="s">
        <v>219</v>
      </c>
      <c r="F167" s="11" t="str">
        <f>"2170591135 "</f>
        <v xml:space="preserve">2170591135 </v>
      </c>
      <c r="G167" s="11" t="str">
        <f t="shared" si="5"/>
        <v>ON1</v>
      </c>
      <c r="H167" s="11" t="s">
        <v>21</v>
      </c>
      <c r="I167" s="11" t="s">
        <v>24</v>
      </c>
      <c r="J167" s="11" t="str">
        <f>""</f>
        <v/>
      </c>
      <c r="K167" s="11" t="str">
        <f>"PFES1162578508_0001"</f>
        <v>PFES1162578508_0001</v>
      </c>
      <c r="L167" s="11">
        <v>1</v>
      </c>
      <c r="M167" s="11">
        <v>6</v>
      </c>
    </row>
    <row r="168" spans="1:13">
      <c r="A168" s="9">
        <v>43007</v>
      </c>
      <c r="B168" s="10">
        <v>0.6166666666666667</v>
      </c>
      <c r="C168" s="11" t="str">
        <f>"FES1162578602"</f>
        <v>FES1162578602</v>
      </c>
      <c r="D168" s="11" t="s">
        <v>19</v>
      </c>
      <c r="E168" s="11" t="s">
        <v>176</v>
      </c>
      <c r="F168" s="11" t="str">
        <f>"217059208 "</f>
        <v xml:space="preserve">217059208 </v>
      </c>
      <c r="G168" s="11" t="str">
        <f>"ON2"</f>
        <v>ON2</v>
      </c>
      <c r="H168" s="11" t="s">
        <v>21</v>
      </c>
      <c r="I168" s="11" t="s">
        <v>177</v>
      </c>
      <c r="J168" s="11" t="str">
        <f>""</f>
        <v/>
      </c>
      <c r="K168" s="11" t="str">
        <f>"PFES1162578602_0001"</f>
        <v>PFES1162578602_0001</v>
      </c>
      <c r="L168" s="11">
        <v>1</v>
      </c>
      <c r="M168" s="11">
        <v>13</v>
      </c>
    </row>
    <row r="169" spans="1:13">
      <c r="A169" s="9">
        <v>43007</v>
      </c>
      <c r="B169" s="10">
        <v>0.61597222222222225</v>
      </c>
      <c r="C169" s="11" t="str">
        <f>"FES1162578643"</f>
        <v>FES1162578643</v>
      </c>
      <c r="D169" s="11" t="s">
        <v>19</v>
      </c>
      <c r="E169" s="11" t="s">
        <v>69</v>
      </c>
      <c r="F169" s="11" t="str">
        <f>"2170591518 "</f>
        <v xml:space="preserve">2170591518 </v>
      </c>
      <c r="G169" s="11" t="str">
        <f t="shared" ref="G169:G202" si="6">"ON1"</f>
        <v>ON1</v>
      </c>
      <c r="H169" s="11" t="s">
        <v>21</v>
      </c>
      <c r="I169" s="11" t="s">
        <v>70</v>
      </c>
      <c r="J169" s="11" t="str">
        <f>""</f>
        <v/>
      </c>
      <c r="K169" s="11" t="str">
        <f>"PFES1162578643_0001"</f>
        <v>PFES1162578643_0001</v>
      </c>
      <c r="L169" s="11">
        <v>1</v>
      </c>
      <c r="M169" s="11">
        <v>11</v>
      </c>
    </row>
    <row r="170" spans="1:13">
      <c r="A170" s="9">
        <v>43007</v>
      </c>
      <c r="B170" s="10">
        <v>0.61597222222222225</v>
      </c>
      <c r="C170" s="11" t="str">
        <f>"FES1162578531"</f>
        <v>FES1162578531</v>
      </c>
      <c r="D170" s="11" t="s">
        <v>19</v>
      </c>
      <c r="E170" s="11" t="s">
        <v>220</v>
      </c>
      <c r="F170" s="11" t="str">
        <f>"2170591354 "</f>
        <v xml:space="preserve">2170591354 </v>
      </c>
      <c r="G170" s="11" t="str">
        <f t="shared" si="6"/>
        <v>ON1</v>
      </c>
      <c r="H170" s="11" t="s">
        <v>21</v>
      </c>
      <c r="I170" s="11" t="s">
        <v>68</v>
      </c>
      <c r="J170" s="11" t="str">
        <f>""</f>
        <v/>
      </c>
      <c r="K170" s="11" t="str">
        <f>"PFES1162578531_0001"</f>
        <v>PFES1162578531_0001</v>
      </c>
      <c r="L170" s="11">
        <v>1</v>
      </c>
      <c r="M170" s="11">
        <v>4</v>
      </c>
    </row>
    <row r="171" spans="1:13">
      <c r="A171" s="9">
        <v>43007</v>
      </c>
      <c r="B171" s="10">
        <v>0.61527777777777781</v>
      </c>
      <c r="C171" s="11" t="str">
        <f>"FES1162578483"</f>
        <v>FES1162578483</v>
      </c>
      <c r="D171" s="11" t="s">
        <v>19</v>
      </c>
      <c r="E171" s="11" t="s">
        <v>188</v>
      </c>
      <c r="F171" s="11" t="str">
        <f>"2170590863 "</f>
        <v xml:space="preserve">2170590863 </v>
      </c>
      <c r="G171" s="11" t="str">
        <f t="shared" si="6"/>
        <v>ON1</v>
      </c>
      <c r="H171" s="11" t="s">
        <v>21</v>
      </c>
      <c r="I171" s="11" t="s">
        <v>189</v>
      </c>
      <c r="J171" s="11" t="str">
        <f>""</f>
        <v/>
      </c>
      <c r="K171" s="11" t="str">
        <f>"PFES1162578483_0001"</f>
        <v>PFES1162578483_0001</v>
      </c>
      <c r="L171" s="11">
        <v>1</v>
      </c>
      <c r="M171" s="11">
        <v>4</v>
      </c>
    </row>
    <row r="172" spans="1:13">
      <c r="A172" s="9">
        <v>43007</v>
      </c>
      <c r="B172" s="10">
        <v>0.61527777777777781</v>
      </c>
      <c r="C172" s="11" t="str">
        <f>"FES1162578507"</f>
        <v>FES1162578507</v>
      </c>
      <c r="D172" s="11" t="s">
        <v>19</v>
      </c>
      <c r="E172" s="11" t="s">
        <v>23</v>
      </c>
      <c r="F172" s="11" t="str">
        <f>"2170591108 "</f>
        <v xml:space="preserve">2170591108 </v>
      </c>
      <c r="G172" s="11" t="str">
        <f t="shared" si="6"/>
        <v>ON1</v>
      </c>
      <c r="H172" s="11" t="s">
        <v>21</v>
      </c>
      <c r="I172" s="11" t="s">
        <v>24</v>
      </c>
      <c r="J172" s="11" t="str">
        <f>""</f>
        <v/>
      </c>
      <c r="K172" s="11" t="str">
        <f>"PFES1162578507_0001"</f>
        <v>PFES1162578507_0001</v>
      </c>
      <c r="L172" s="11">
        <v>1</v>
      </c>
      <c r="M172" s="11">
        <v>4</v>
      </c>
    </row>
    <row r="173" spans="1:13">
      <c r="A173" s="9">
        <v>43007</v>
      </c>
      <c r="B173" s="10">
        <v>0.61458333333333337</v>
      </c>
      <c r="C173" s="11" t="str">
        <f>"FES1162578668"</f>
        <v>FES1162578668</v>
      </c>
      <c r="D173" s="11" t="s">
        <v>19</v>
      </c>
      <c r="E173" s="11" t="s">
        <v>186</v>
      </c>
      <c r="F173" s="11" t="str">
        <f>"21720593683 "</f>
        <v xml:space="preserve">21720593683 </v>
      </c>
      <c r="G173" s="11" t="str">
        <f t="shared" si="6"/>
        <v>ON1</v>
      </c>
      <c r="H173" s="11" t="s">
        <v>21</v>
      </c>
      <c r="I173" s="11" t="s">
        <v>88</v>
      </c>
      <c r="J173" s="11" t="str">
        <f>""</f>
        <v/>
      </c>
      <c r="K173" s="11" t="str">
        <f>"PFES1162578668_0001"</f>
        <v>PFES1162578668_0001</v>
      </c>
      <c r="L173" s="11">
        <v>1</v>
      </c>
      <c r="M173" s="11">
        <v>2</v>
      </c>
    </row>
    <row r="174" spans="1:13">
      <c r="A174" s="9">
        <v>43007</v>
      </c>
      <c r="B174" s="10">
        <v>0.61458333333333337</v>
      </c>
      <c r="C174" s="11" t="str">
        <f>"FES1162578647"</f>
        <v>FES1162578647</v>
      </c>
      <c r="D174" s="11" t="s">
        <v>19</v>
      </c>
      <c r="E174" s="11" t="s">
        <v>221</v>
      </c>
      <c r="F174" s="11" t="str">
        <f>"2170593017 "</f>
        <v xml:space="preserve">2170593017 </v>
      </c>
      <c r="G174" s="11" t="str">
        <f t="shared" si="6"/>
        <v>ON1</v>
      </c>
      <c r="H174" s="11" t="s">
        <v>21</v>
      </c>
      <c r="I174" s="11" t="s">
        <v>114</v>
      </c>
      <c r="J174" s="11" t="str">
        <f>""</f>
        <v/>
      </c>
      <c r="K174" s="11" t="str">
        <f>"PFES1162578647_0001"</f>
        <v>PFES1162578647_0001</v>
      </c>
      <c r="L174" s="11">
        <v>1</v>
      </c>
      <c r="M174" s="11">
        <v>2</v>
      </c>
    </row>
    <row r="175" spans="1:13">
      <c r="A175" s="9">
        <v>43007</v>
      </c>
      <c r="B175" s="10">
        <v>0.61388888888888882</v>
      </c>
      <c r="C175" s="11" t="str">
        <f>"FES1162578667"</f>
        <v>FES1162578667</v>
      </c>
      <c r="D175" s="11" t="s">
        <v>19</v>
      </c>
      <c r="E175" s="11" t="s">
        <v>200</v>
      </c>
      <c r="F175" s="11" t="str">
        <f>"217059686840 "</f>
        <v xml:space="preserve">217059686840 </v>
      </c>
      <c r="G175" s="11" t="str">
        <f t="shared" si="6"/>
        <v>ON1</v>
      </c>
      <c r="H175" s="11" t="s">
        <v>21</v>
      </c>
      <c r="I175" s="11" t="s">
        <v>65</v>
      </c>
      <c r="J175" s="11" t="str">
        <f>""</f>
        <v/>
      </c>
      <c r="K175" s="11" t="str">
        <f>"PFES1162578667_0001"</f>
        <v>PFES1162578667_0001</v>
      </c>
      <c r="L175" s="11">
        <v>1</v>
      </c>
      <c r="M175" s="11">
        <v>4</v>
      </c>
    </row>
    <row r="176" spans="1:13">
      <c r="A176" s="9">
        <v>43007</v>
      </c>
      <c r="B176" s="10">
        <v>0.61388888888888882</v>
      </c>
      <c r="C176" s="11" t="str">
        <f>"FES1162573158"</f>
        <v>FES1162573158</v>
      </c>
      <c r="D176" s="11" t="s">
        <v>19</v>
      </c>
      <c r="E176" s="11" t="s">
        <v>222</v>
      </c>
      <c r="F176" s="11" t="str">
        <f>"2170588553 "</f>
        <v xml:space="preserve">2170588553 </v>
      </c>
      <c r="G176" s="11" t="str">
        <f t="shared" si="6"/>
        <v>ON1</v>
      </c>
      <c r="H176" s="11" t="s">
        <v>21</v>
      </c>
      <c r="I176" s="11" t="s">
        <v>223</v>
      </c>
      <c r="J176" s="11" t="str">
        <f>""</f>
        <v/>
      </c>
      <c r="K176" s="11" t="str">
        <f>"PFES1162573158_0001"</f>
        <v>PFES1162573158_0001</v>
      </c>
      <c r="L176" s="11">
        <v>1</v>
      </c>
      <c r="M176" s="11">
        <v>2</v>
      </c>
    </row>
    <row r="177" spans="1:13">
      <c r="A177" s="9">
        <v>43007</v>
      </c>
      <c r="B177" s="10">
        <v>0.61111111111111105</v>
      </c>
      <c r="C177" s="11" t="str">
        <f>"FES1162578060"</f>
        <v>FES1162578060</v>
      </c>
      <c r="D177" s="11" t="s">
        <v>19</v>
      </c>
      <c r="E177" s="11" t="s">
        <v>224</v>
      </c>
      <c r="F177" s="11" t="str">
        <f>"2170592455 "</f>
        <v xml:space="preserve">2170592455 </v>
      </c>
      <c r="G177" s="11" t="str">
        <f t="shared" si="6"/>
        <v>ON1</v>
      </c>
      <c r="H177" s="11" t="s">
        <v>21</v>
      </c>
      <c r="I177" s="11" t="s">
        <v>225</v>
      </c>
      <c r="J177" s="11" t="str">
        <f>""</f>
        <v/>
      </c>
      <c r="K177" s="11" t="str">
        <f>"PFES1162578060_0001"</f>
        <v>PFES1162578060_0001</v>
      </c>
      <c r="L177" s="11">
        <v>1</v>
      </c>
      <c r="M177" s="11">
        <v>11</v>
      </c>
    </row>
    <row r="178" spans="1:13">
      <c r="A178" s="9">
        <v>43007</v>
      </c>
      <c r="B178" s="10">
        <v>0.61041666666666672</v>
      </c>
      <c r="C178" s="11" t="str">
        <f>"FES1162578346"</f>
        <v>FES1162578346</v>
      </c>
      <c r="D178" s="11" t="s">
        <v>19</v>
      </c>
      <c r="E178" s="11" t="s">
        <v>163</v>
      </c>
      <c r="F178" s="11" t="str">
        <f>"2170593120 "</f>
        <v xml:space="preserve">2170593120 </v>
      </c>
      <c r="G178" s="11" t="str">
        <f t="shared" si="6"/>
        <v>ON1</v>
      </c>
      <c r="H178" s="11" t="s">
        <v>21</v>
      </c>
      <c r="I178" s="11" t="s">
        <v>133</v>
      </c>
      <c r="J178" s="11" t="str">
        <f>""</f>
        <v/>
      </c>
      <c r="K178" s="11" t="str">
        <f>"PFES1162578346_0001"</f>
        <v>PFES1162578346_0001</v>
      </c>
      <c r="L178" s="11">
        <v>1</v>
      </c>
      <c r="M178" s="11">
        <v>1</v>
      </c>
    </row>
    <row r="179" spans="1:13">
      <c r="A179" s="9">
        <v>43007</v>
      </c>
      <c r="B179" s="10">
        <v>0.60972222222222217</v>
      </c>
      <c r="C179" s="11" t="str">
        <f>"FES1162578324"</f>
        <v>FES1162578324</v>
      </c>
      <c r="D179" s="11" t="s">
        <v>19</v>
      </c>
      <c r="E179" s="11" t="s">
        <v>226</v>
      </c>
      <c r="F179" s="11" t="str">
        <f>"2170593077 "</f>
        <v xml:space="preserve">2170593077 </v>
      </c>
      <c r="G179" s="11" t="str">
        <f t="shared" si="6"/>
        <v>ON1</v>
      </c>
      <c r="H179" s="11" t="s">
        <v>21</v>
      </c>
      <c r="I179" s="11" t="s">
        <v>141</v>
      </c>
      <c r="J179" s="11" t="str">
        <f>""</f>
        <v/>
      </c>
      <c r="K179" s="11" t="str">
        <f>"PFES1162578324_0001"</f>
        <v>PFES1162578324_0001</v>
      </c>
      <c r="L179" s="11">
        <v>1</v>
      </c>
      <c r="M179" s="11">
        <v>1</v>
      </c>
    </row>
    <row r="180" spans="1:13">
      <c r="A180" s="9">
        <v>43007</v>
      </c>
      <c r="B180" s="10">
        <v>0.60902777777777783</v>
      </c>
      <c r="C180" s="11" t="str">
        <f>"FES1162578631"</f>
        <v>FES1162578631</v>
      </c>
      <c r="D180" s="11" t="s">
        <v>19</v>
      </c>
      <c r="E180" s="11" t="s">
        <v>227</v>
      </c>
      <c r="F180" s="11" t="str">
        <f>"2170593219 "</f>
        <v xml:space="preserve">2170593219 </v>
      </c>
      <c r="G180" s="11" t="str">
        <f t="shared" si="6"/>
        <v>ON1</v>
      </c>
      <c r="H180" s="11" t="s">
        <v>21</v>
      </c>
      <c r="I180" s="11" t="s">
        <v>228</v>
      </c>
      <c r="J180" s="11" t="str">
        <f>""</f>
        <v/>
      </c>
      <c r="K180" s="11" t="str">
        <f>"PFES1162578631_0001"</f>
        <v>PFES1162578631_0001</v>
      </c>
      <c r="L180" s="11">
        <v>1</v>
      </c>
      <c r="M180" s="11">
        <v>2</v>
      </c>
    </row>
    <row r="181" spans="1:13">
      <c r="A181" s="9">
        <v>43007</v>
      </c>
      <c r="B181" s="10">
        <v>0.60763888888888895</v>
      </c>
      <c r="C181" s="11" t="str">
        <f>"FES1162578477"</f>
        <v>FES1162578477</v>
      </c>
      <c r="D181" s="11" t="s">
        <v>19</v>
      </c>
      <c r="E181" s="11" t="s">
        <v>53</v>
      </c>
      <c r="F181" s="11" t="str">
        <f>"2170590807 "</f>
        <v xml:space="preserve">2170590807 </v>
      </c>
      <c r="G181" s="11" t="str">
        <f t="shared" si="6"/>
        <v>ON1</v>
      </c>
      <c r="H181" s="11" t="s">
        <v>21</v>
      </c>
      <c r="I181" s="11" t="s">
        <v>54</v>
      </c>
      <c r="J181" s="11" t="str">
        <f>""</f>
        <v/>
      </c>
      <c r="K181" s="11" t="str">
        <f>"PFES1162578477_0001"</f>
        <v>PFES1162578477_0001</v>
      </c>
      <c r="L181" s="11">
        <v>1</v>
      </c>
      <c r="M181" s="11">
        <v>1</v>
      </c>
    </row>
    <row r="182" spans="1:13">
      <c r="A182" s="9">
        <v>43007</v>
      </c>
      <c r="B182" s="10">
        <v>0.6069444444444444</v>
      </c>
      <c r="C182" s="11" t="str">
        <f>"FES1162578681"</f>
        <v>FES1162578681</v>
      </c>
      <c r="D182" s="11" t="s">
        <v>19</v>
      </c>
      <c r="E182" s="11" t="s">
        <v>229</v>
      </c>
      <c r="F182" s="11" t="str">
        <f>"2170593285 "</f>
        <v xml:space="preserve">2170593285 </v>
      </c>
      <c r="G182" s="11" t="str">
        <f t="shared" si="6"/>
        <v>ON1</v>
      </c>
      <c r="H182" s="11" t="s">
        <v>21</v>
      </c>
      <c r="I182" s="11" t="s">
        <v>230</v>
      </c>
      <c r="J182" s="11" t="str">
        <f>""</f>
        <v/>
      </c>
      <c r="K182" s="11" t="str">
        <f>"PFES1162578681_0001"</f>
        <v>PFES1162578681_0001</v>
      </c>
      <c r="L182" s="11">
        <v>1</v>
      </c>
      <c r="M182" s="11">
        <v>1</v>
      </c>
    </row>
    <row r="183" spans="1:13">
      <c r="A183" s="9">
        <v>43007</v>
      </c>
      <c r="B183" s="10">
        <v>0.60625000000000007</v>
      </c>
      <c r="C183" s="11" t="str">
        <f>"FES1162578344"</f>
        <v>FES1162578344</v>
      </c>
      <c r="D183" s="11" t="s">
        <v>19</v>
      </c>
      <c r="E183" s="11" t="s">
        <v>163</v>
      </c>
      <c r="F183" s="11" t="str">
        <f>"2170593118 "</f>
        <v xml:space="preserve">2170593118 </v>
      </c>
      <c r="G183" s="11" t="str">
        <f t="shared" si="6"/>
        <v>ON1</v>
      </c>
      <c r="H183" s="11" t="s">
        <v>21</v>
      </c>
      <c r="I183" s="11" t="s">
        <v>133</v>
      </c>
      <c r="J183" s="11" t="str">
        <f>""</f>
        <v/>
      </c>
      <c r="K183" s="11" t="str">
        <f>"PFES1162578344_0001"</f>
        <v>PFES1162578344_0001</v>
      </c>
      <c r="L183" s="11">
        <v>1</v>
      </c>
      <c r="M183" s="11">
        <v>1</v>
      </c>
    </row>
    <row r="184" spans="1:13">
      <c r="A184" s="9">
        <v>43007</v>
      </c>
      <c r="B184" s="10">
        <v>0.60555555555555551</v>
      </c>
      <c r="C184" s="11" t="str">
        <f>"FES1162578419"</f>
        <v>FES1162578419</v>
      </c>
      <c r="D184" s="11" t="s">
        <v>19</v>
      </c>
      <c r="E184" s="11" t="s">
        <v>231</v>
      </c>
      <c r="F184" s="11" t="str">
        <f>"2170591041 "</f>
        <v xml:space="preserve">2170591041 </v>
      </c>
      <c r="G184" s="11" t="str">
        <f t="shared" si="6"/>
        <v>ON1</v>
      </c>
      <c r="H184" s="11" t="s">
        <v>21</v>
      </c>
      <c r="I184" s="11" t="s">
        <v>59</v>
      </c>
      <c r="J184" s="11" t="str">
        <f>""</f>
        <v/>
      </c>
      <c r="K184" s="11" t="str">
        <f>"PFES1162578419_0001"</f>
        <v>PFES1162578419_0001</v>
      </c>
      <c r="L184" s="11">
        <v>1</v>
      </c>
      <c r="M184" s="11">
        <v>1</v>
      </c>
    </row>
    <row r="185" spans="1:13">
      <c r="A185" s="9">
        <v>43007</v>
      </c>
      <c r="B185" s="10">
        <v>0.60486111111111118</v>
      </c>
      <c r="C185" s="11" t="str">
        <f>"FES1162578675"</f>
        <v>FES1162578675</v>
      </c>
      <c r="D185" s="11" t="s">
        <v>19</v>
      </c>
      <c r="E185" s="11" t="s">
        <v>229</v>
      </c>
      <c r="F185" s="11" t="str">
        <f>"2170584049 "</f>
        <v xml:space="preserve">2170584049 </v>
      </c>
      <c r="G185" s="11" t="str">
        <f t="shared" si="6"/>
        <v>ON1</v>
      </c>
      <c r="H185" s="11" t="s">
        <v>21</v>
      </c>
      <c r="I185" s="11" t="s">
        <v>230</v>
      </c>
      <c r="J185" s="11" t="str">
        <f>""</f>
        <v/>
      </c>
      <c r="K185" s="11" t="str">
        <f>"PFES1162578675_0001"</f>
        <v>PFES1162578675_0001</v>
      </c>
      <c r="L185" s="11">
        <v>1</v>
      </c>
      <c r="M185" s="11">
        <v>3</v>
      </c>
    </row>
    <row r="186" spans="1:13">
      <c r="A186" s="9">
        <v>43007</v>
      </c>
      <c r="B186" s="10">
        <v>0.60416666666666663</v>
      </c>
      <c r="C186" s="11" t="str">
        <f>"FES1162578680"</f>
        <v>FES1162578680</v>
      </c>
      <c r="D186" s="11" t="s">
        <v>19</v>
      </c>
      <c r="E186" s="11" t="s">
        <v>229</v>
      </c>
      <c r="F186" s="11" t="str">
        <f>"2170593280 "</f>
        <v xml:space="preserve">2170593280 </v>
      </c>
      <c r="G186" s="11" t="str">
        <f t="shared" si="6"/>
        <v>ON1</v>
      </c>
      <c r="H186" s="11" t="s">
        <v>21</v>
      </c>
      <c r="I186" s="11" t="s">
        <v>230</v>
      </c>
      <c r="J186" s="11" t="str">
        <f>""</f>
        <v/>
      </c>
      <c r="K186" s="11" t="str">
        <f>"PFES1162578680_0001"</f>
        <v>PFES1162578680_0001</v>
      </c>
      <c r="L186" s="11">
        <v>1</v>
      </c>
      <c r="M186" s="11">
        <v>1</v>
      </c>
    </row>
    <row r="187" spans="1:13">
      <c r="A187" s="9">
        <v>43007</v>
      </c>
      <c r="B187" s="10">
        <v>0.60347222222222219</v>
      </c>
      <c r="C187" s="11" t="str">
        <f>"FES1162578428"</f>
        <v>FES1162578428</v>
      </c>
      <c r="D187" s="11" t="s">
        <v>19</v>
      </c>
      <c r="E187" s="11" t="s">
        <v>232</v>
      </c>
      <c r="F187" s="11" t="str">
        <f>"2170591512 "</f>
        <v xml:space="preserve">2170591512 </v>
      </c>
      <c r="G187" s="11" t="str">
        <f t="shared" si="6"/>
        <v>ON1</v>
      </c>
      <c r="H187" s="11" t="s">
        <v>21</v>
      </c>
      <c r="I187" s="11" t="s">
        <v>233</v>
      </c>
      <c r="J187" s="11" t="str">
        <f>""</f>
        <v/>
      </c>
      <c r="K187" s="11" t="str">
        <f>"PFES1162578428_0001"</f>
        <v>PFES1162578428_0001</v>
      </c>
      <c r="L187" s="11">
        <v>1</v>
      </c>
      <c r="M187" s="11">
        <v>15</v>
      </c>
    </row>
    <row r="188" spans="1:13">
      <c r="A188" s="9">
        <v>43007</v>
      </c>
      <c r="B188" s="10">
        <v>0.60347222222222219</v>
      </c>
      <c r="C188" s="11" t="str">
        <f>"FES1162578318"</f>
        <v>FES1162578318</v>
      </c>
      <c r="D188" s="11" t="s">
        <v>19</v>
      </c>
      <c r="E188" s="11" t="s">
        <v>234</v>
      </c>
      <c r="F188" s="11" t="str">
        <f>"2170592873 "</f>
        <v xml:space="preserve">2170592873 </v>
      </c>
      <c r="G188" s="11" t="str">
        <f t="shared" si="6"/>
        <v>ON1</v>
      </c>
      <c r="H188" s="11" t="s">
        <v>21</v>
      </c>
      <c r="I188" s="11" t="s">
        <v>235</v>
      </c>
      <c r="J188" s="11" t="str">
        <f>""</f>
        <v/>
      </c>
      <c r="K188" s="11" t="str">
        <f>"PFES1162578318_0001"</f>
        <v>PFES1162578318_0001</v>
      </c>
      <c r="L188" s="11">
        <v>1</v>
      </c>
      <c r="M188" s="11">
        <v>3</v>
      </c>
    </row>
    <row r="189" spans="1:13">
      <c r="A189" s="9">
        <v>43007</v>
      </c>
      <c r="B189" s="10">
        <v>0.60277777777777775</v>
      </c>
      <c r="C189" s="11" t="str">
        <f>"FES1162578456"</f>
        <v>FES1162578456</v>
      </c>
      <c r="D189" s="11" t="s">
        <v>19</v>
      </c>
      <c r="E189" s="11" t="s">
        <v>140</v>
      </c>
      <c r="F189" s="11" t="str">
        <f>"2170589798 "</f>
        <v xml:space="preserve">2170589798 </v>
      </c>
      <c r="G189" s="11" t="str">
        <f t="shared" si="6"/>
        <v>ON1</v>
      </c>
      <c r="H189" s="11" t="s">
        <v>21</v>
      </c>
      <c r="I189" s="11" t="s">
        <v>141</v>
      </c>
      <c r="J189" s="11" t="str">
        <f>""</f>
        <v/>
      </c>
      <c r="K189" s="11" t="str">
        <f>"PFES1162578456_0001"</f>
        <v>PFES1162578456_0001</v>
      </c>
      <c r="L189" s="11">
        <v>1</v>
      </c>
      <c r="M189" s="11">
        <v>9</v>
      </c>
    </row>
    <row r="190" spans="1:13">
      <c r="A190" s="9">
        <v>43007</v>
      </c>
      <c r="B190" s="10">
        <v>0.59930555555555554</v>
      </c>
      <c r="C190" s="11" t="str">
        <f>"FES1162578542"</f>
        <v>FES1162578542</v>
      </c>
      <c r="D190" s="11" t="s">
        <v>19</v>
      </c>
      <c r="E190" s="11" t="s">
        <v>236</v>
      </c>
      <c r="F190" s="11" t="str">
        <f>"2170591431 "</f>
        <v xml:space="preserve">2170591431 </v>
      </c>
      <c r="G190" s="11" t="str">
        <f t="shared" si="6"/>
        <v>ON1</v>
      </c>
      <c r="H190" s="11" t="s">
        <v>21</v>
      </c>
      <c r="I190" s="11" t="s">
        <v>237</v>
      </c>
      <c r="J190" s="11" t="str">
        <f>""</f>
        <v/>
      </c>
      <c r="K190" s="11" t="str">
        <f>"PFES1162578542_0001"</f>
        <v>PFES1162578542_0001</v>
      </c>
      <c r="L190" s="11">
        <v>1</v>
      </c>
      <c r="M190" s="11">
        <v>13</v>
      </c>
    </row>
    <row r="191" spans="1:13">
      <c r="A191" s="9">
        <v>43007</v>
      </c>
      <c r="B191" s="10">
        <v>0.59861111111111109</v>
      </c>
      <c r="C191" s="11" t="str">
        <f>"FES1162578648"</f>
        <v>FES1162578648</v>
      </c>
      <c r="D191" s="11" t="s">
        <v>19</v>
      </c>
      <c r="E191" s="11" t="s">
        <v>73</v>
      </c>
      <c r="F191" s="11" t="str">
        <f>"2170583368 "</f>
        <v xml:space="preserve">2170583368 </v>
      </c>
      <c r="G191" s="11" t="str">
        <f t="shared" si="6"/>
        <v>ON1</v>
      </c>
      <c r="H191" s="11" t="s">
        <v>21</v>
      </c>
      <c r="I191" s="11" t="s">
        <v>74</v>
      </c>
      <c r="J191" s="11" t="str">
        <f>""</f>
        <v/>
      </c>
      <c r="K191" s="11" t="str">
        <f>"PFES1162578648_0001"</f>
        <v>PFES1162578648_0001</v>
      </c>
      <c r="L191" s="11">
        <v>1</v>
      </c>
      <c r="M191" s="11">
        <v>5</v>
      </c>
    </row>
    <row r="192" spans="1:13">
      <c r="A192" s="9">
        <v>43007</v>
      </c>
      <c r="B192" s="10">
        <v>0.59791666666666665</v>
      </c>
      <c r="C192" s="11" t="str">
        <f>"FES1162578579"</f>
        <v>FES1162578579</v>
      </c>
      <c r="D192" s="11" t="s">
        <v>19</v>
      </c>
      <c r="E192" s="11" t="s">
        <v>89</v>
      </c>
      <c r="F192" s="11" t="str">
        <f>"2170593173 "</f>
        <v xml:space="preserve">2170593173 </v>
      </c>
      <c r="G192" s="11" t="str">
        <f t="shared" si="6"/>
        <v>ON1</v>
      </c>
      <c r="H192" s="11" t="s">
        <v>21</v>
      </c>
      <c r="I192" s="11" t="s">
        <v>90</v>
      </c>
      <c r="J192" s="11" t="str">
        <f>""</f>
        <v/>
      </c>
      <c r="K192" s="11" t="str">
        <f>"PFES1162578579_0001"</f>
        <v>PFES1162578579_0001</v>
      </c>
      <c r="L192" s="11">
        <v>1</v>
      </c>
      <c r="M192" s="11">
        <v>7</v>
      </c>
    </row>
    <row r="193" spans="1:13">
      <c r="A193" s="9">
        <v>43007</v>
      </c>
      <c r="B193" s="10">
        <v>0.59722222222222221</v>
      </c>
      <c r="C193" s="11" t="str">
        <f>"FES1162578655"</f>
        <v>FES1162578655</v>
      </c>
      <c r="D193" s="11" t="s">
        <v>19</v>
      </c>
      <c r="E193" s="11" t="s">
        <v>238</v>
      </c>
      <c r="F193" s="11" t="str">
        <f>"2170587770 "</f>
        <v xml:space="preserve">2170587770 </v>
      </c>
      <c r="G193" s="11" t="str">
        <f t="shared" si="6"/>
        <v>ON1</v>
      </c>
      <c r="H193" s="11" t="s">
        <v>21</v>
      </c>
      <c r="I193" s="11" t="s">
        <v>193</v>
      </c>
      <c r="J193" s="11" t="str">
        <f>""</f>
        <v/>
      </c>
      <c r="K193" s="11" t="str">
        <f>"PFES1162578655_0001"</f>
        <v>PFES1162578655_0001</v>
      </c>
      <c r="L193" s="11">
        <v>1</v>
      </c>
      <c r="M193" s="11">
        <v>2</v>
      </c>
    </row>
    <row r="194" spans="1:13">
      <c r="A194" s="9">
        <v>43007</v>
      </c>
      <c r="B194" s="10">
        <v>0.59652777777777777</v>
      </c>
      <c r="C194" s="11" t="str">
        <f>"FES1162578400"</f>
        <v>FES1162578400</v>
      </c>
      <c r="D194" s="11" t="s">
        <v>19</v>
      </c>
      <c r="E194" s="11" t="s">
        <v>217</v>
      </c>
      <c r="F194" s="11" t="str">
        <f>"2170590763 "</f>
        <v xml:space="preserve">2170590763 </v>
      </c>
      <c r="G194" s="11" t="str">
        <f t="shared" si="6"/>
        <v>ON1</v>
      </c>
      <c r="H194" s="11" t="s">
        <v>21</v>
      </c>
      <c r="I194" s="11" t="s">
        <v>116</v>
      </c>
      <c r="J194" s="11" t="str">
        <f>""</f>
        <v/>
      </c>
      <c r="K194" s="11" t="str">
        <f>"PFES1162578400_0001"</f>
        <v>PFES1162578400_0001</v>
      </c>
      <c r="L194" s="11">
        <v>1</v>
      </c>
      <c r="M194" s="11">
        <v>1</v>
      </c>
    </row>
    <row r="195" spans="1:13">
      <c r="A195" s="9">
        <v>43007</v>
      </c>
      <c r="B195" s="10">
        <v>0.59652777777777777</v>
      </c>
      <c r="C195" s="11" t="str">
        <f>"FES1162578533"</f>
        <v>FES1162578533</v>
      </c>
      <c r="D195" s="11" t="s">
        <v>19</v>
      </c>
      <c r="E195" s="11" t="s">
        <v>239</v>
      </c>
      <c r="F195" s="11" t="str">
        <f>"21705913254 "</f>
        <v xml:space="preserve">21705913254 </v>
      </c>
      <c r="G195" s="11" t="str">
        <f t="shared" si="6"/>
        <v>ON1</v>
      </c>
      <c r="H195" s="11" t="s">
        <v>21</v>
      </c>
      <c r="I195" s="11" t="s">
        <v>240</v>
      </c>
      <c r="J195" s="11" t="str">
        <f>""</f>
        <v/>
      </c>
      <c r="K195" s="11" t="str">
        <f>"PFES1162578533_0001"</f>
        <v>PFES1162578533_0001</v>
      </c>
      <c r="L195" s="11">
        <v>1</v>
      </c>
      <c r="M195" s="11">
        <v>1</v>
      </c>
    </row>
    <row r="196" spans="1:13">
      <c r="A196" s="9">
        <v>43007</v>
      </c>
      <c r="B196" s="10">
        <v>0.59652777777777777</v>
      </c>
      <c r="C196" s="11" t="str">
        <f>"FES1162578331"</f>
        <v>FES1162578331</v>
      </c>
      <c r="D196" s="11" t="s">
        <v>19</v>
      </c>
      <c r="E196" s="11" t="s">
        <v>241</v>
      </c>
      <c r="F196" s="11" t="str">
        <f>"2170590393 "</f>
        <v xml:space="preserve">2170590393 </v>
      </c>
      <c r="G196" s="11" t="str">
        <f t="shared" si="6"/>
        <v>ON1</v>
      </c>
      <c r="H196" s="11" t="s">
        <v>21</v>
      </c>
      <c r="I196" s="11" t="s">
        <v>34</v>
      </c>
      <c r="J196" s="11" t="str">
        <f>""</f>
        <v/>
      </c>
      <c r="K196" s="11" t="str">
        <f>"PFES1162578331_0001"</f>
        <v>PFES1162578331_0001</v>
      </c>
      <c r="L196" s="11">
        <v>1</v>
      </c>
      <c r="M196" s="11">
        <v>1</v>
      </c>
    </row>
    <row r="197" spans="1:13">
      <c r="A197" s="9">
        <v>43007</v>
      </c>
      <c r="B197" s="10">
        <v>0.59583333333333333</v>
      </c>
      <c r="C197" s="11" t="str">
        <f>"FES1162578514"</f>
        <v>FES1162578514</v>
      </c>
      <c r="D197" s="11" t="s">
        <v>19</v>
      </c>
      <c r="E197" s="11" t="s">
        <v>242</v>
      </c>
      <c r="F197" s="11" t="str">
        <f>"2170591203 "</f>
        <v xml:space="preserve">2170591203 </v>
      </c>
      <c r="G197" s="11" t="str">
        <f t="shared" si="6"/>
        <v>ON1</v>
      </c>
      <c r="H197" s="11" t="s">
        <v>21</v>
      </c>
      <c r="I197" s="11" t="s">
        <v>22</v>
      </c>
      <c r="J197" s="11" t="str">
        <f>""</f>
        <v/>
      </c>
      <c r="K197" s="11" t="str">
        <f>"PFES1162578514_0001"</f>
        <v>PFES1162578514_0001</v>
      </c>
      <c r="L197" s="11">
        <v>1</v>
      </c>
      <c r="M197" s="11">
        <v>1</v>
      </c>
    </row>
    <row r="198" spans="1:13">
      <c r="A198" s="9">
        <v>43007</v>
      </c>
      <c r="B198" s="10">
        <v>0.59583333333333333</v>
      </c>
      <c r="C198" s="11" t="str">
        <f>"FES1162578433"</f>
        <v>FES1162578433</v>
      </c>
      <c r="D198" s="11" t="s">
        <v>19</v>
      </c>
      <c r="E198" s="11" t="s">
        <v>243</v>
      </c>
      <c r="F198" s="11" t="str">
        <f>"217059763 "</f>
        <v xml:space="preserve">217059763 </v>
      </c>
      <c r="G198" s="11" t="str">
        <f t="shared" si="6"/>
        <v>ON1</v>
      </c>
      <c r="H198" s="11" t="s">
        <v>21</v>
      </c>
      <c r="I198" s="11" t="s">
        <v>51</v>
      </c>
      <c r="J198" s="11" t="str">
        <f>""</f>
        <v/>
      </c>
      <c r="K198" s="11" t="str">
        <f>"PFES1162578433_0001"</f>
        <v>PFES1162578433_0001</v>
      </c>
      <c r="L198" s="11">
        <v>1</v>
      </c>
      <c r="M198" s="11">
        <v>1</v>
      </c>
    </row>
    <row r="199" spans="1:13">
      <c r="A199" s="9">
        <v>43007</v>
      </c>
      <c r="B199" s="10">
        <v>0.59583333333333333</v>
      </c>
      <c r="C199" s="11" t="str">
        <f>"FES1162578589"</f>
        <v>FES1162578589</v>
      </c>
      <c r="D199" s="11" t="s">
        <v>19</v>
      </c>
      <c r="E199" s="11" t="s">
        <v>244</v>
      </c>
      <c r="F199" s="11" t="str">
        <f>"2170593187 "</f>
        <v xml:space="preserve">2170593187 </v>
      </c>
      <c r="G199" s="11" t="str">
        <f t="shared" si="6"/>
        <v>ON1</v>
      </c>
      <c r="H199" s="11" t="s">
        <v>21</v>
      </c>
      <c r="I199" s="11" t="s">
        <v>245</v>
      </c>
      <c r="J199" s="11" t="str">
        <f>""</f>
        <v/>
      </c>
      <c r="K199" s="11" t="str">
        <f>"PFES1162578589_0001"</f>
        <v>PFES1162578589_0001</v>
      </c>
      <c r="L199" s="11">
        <v>1</v>
      </c>
      <c r="M199" s="11">
        <v>1</v>
      </c>
    </row>
    <row r="200" spans="1:13">
      <c r="A200" s="9">
        <v>43007</v>
      </c>
      <c r="B200" s="10">
        <v>0.59513888888888888</v>
      </c>
      <c r="C200" s="11" t="str">
        <f>"FES1162578322"</f>
        <v>FES1162578322</v>
      </c>
      <c r="D200" s="11" t="s">
        <v>19</v>
      </c>
      <c r="E200" s="11" t="s">
        <v>149</v>
      </c>
      <c r="F200" s="11" t="str">
        <f>"2170593074 "</f>
        <v xml:space="preserve">2170593074 </v>
      </c>
      <c r="G200" s="11" t="str">
        <f t="shared" si="6"/>
        <v>ON1</v>
      </c>
      <c r="H200" s="11" t="s">
        <v>21</v>
      </c>
      <c r="I200" s="11" t="s">
        <v>49</v>
      </c>
      <c r="J200" s="11" t="str">
        <f>""</f>
        <v/>
      </c>
      <c r="K200" s="11" t="str">
        <f>"PFES1162578322_0001"</f>
        <v>PFES1162578322_0001</v>
      </c>
      <c r="L200" s="11">
        <v>1</v>
      </c>
      <c r="M200" s="11">
        <v>1</v>
      </c>
    </row>
    <row r="201" spans="1:13">
      <c r="A201" s="9">
        <v>43007</v>
      </c>
      <c r="B201" s="10">
        <v>0.59513888888888888</v>
      </c>
      <c r="C201" s="11" t="str">
        <f>"FES1162578658"</f>
        <v>FES1162578658</v>
      </c>
      <c r="D201" s="11" t="s">
        <v>19</v>
      </c>
      <c r="E201" s="11" t="s">
        <v>73</v>
      </c>
      <c r="F201" s="11" t="str">
        <f>"217058658 "</f>
        <v xml:space="preserve">217058658 </v>
      </c>
      <c r="G201" s="11" t="str">
        <f t="shared" si="6"/>
        <v>ON1</v>
      </c>
      <c r="H201" s="11" t="s">
        <v>21</v>
      </c>
      <c r="I201" s="11" t="s">
        <v>74</v>
      </c>
      <c r="J201" s="11" t="str">
        <f>""</f>
        <v/>
      </c>
      <c r="K201" s="11" t="str">
        <f>"PFES1162578658_0001"</f>
        <v>PFES1162578658_0001</v>
      </c>
      <c r="L201" s="11">
        <v>2</v>
      </c>
      <c r="M201" s="11">
        <v>16</v>
      </c>
    </row>
    <row r="202" spans="1:13">
      <c r="A202" s="9">
        <v>43007</v>
      </c>
      <c r="B202" s="10">
        <v>0.59513888888888888</v>
      </c>
      <c r="C202" s="11" t="str">
        <f>"FES1162578658"</f>
        <v>FES1162578658</v>
      </c>
      <c r="D202" s="11" t="s">
        <v>19</v>
      </c>
      <c r="E202" s="11" t="s">
        <v>73</v>
      </c>
      <c r="F202" s="11" t="str">
        <f>"217058658 "</f>
        <v xml:space="preserve">217058658 </v>
      </c>
      <c r="G202" s="11" t="str">
        <f t="shared" si="6"/>
        <v>ON1</v>
      </c>
      <c r="H202" s="11" t="s">
        <v>21</v>
      </c>
      <c r="I202" s="11" t="s">
        <v>74</v>
      </c>
      <c r="J202" s="11"/>
      <c r="K202" s="11" t="str">
        <f>"PFES1162578658_0002"</f>
        <v>PFES1162578658_0002</v>
      </c>
      <c r="L202" s="11">
        <v>2</v>
      </c>
      <c r="M202" s="11">
        <v>16</v>
      </c>
    </row>
    <row r="203" spans="1:13">
      <c r="A203" s="9">
        <v>43007</v>
      </c>
      <c r="B203" s="10">
        <v>0.59513888888888888</v>
      </c>
      <c r="C203" s="11" t="str">
        <f>"FES1162578586"</f>
        <v>FES1162578586</v>
      </c>
      <c r="D203" s="11" t="s">
        <v>19</v>
      </c>
      <c r="E203" s="11" t="s">
        <v>170</v>
      </c>
      <c r="F203" s="11" t="str">
        <f>"2170593182 "</f>
        <v xml:space="preserve">2170593182 </v>
      </c>
      <c r="G203" s="11" t="str">
        <f>"ON1"</f>
        <v>ON1</v>
      </c>
      <c r="H203" s="11" t="s">
        <v>21</v>
      </c>
      <c r="I203" s="11" t="s">
        <v>171</v>
      </c>
      <c r="J203" s="11" t="str">
        <f>""</f>
        <v/>
      </c>
      <c r="K203" s="11" t="str">
        <f>"PFES1162578586_0001"</f>
        <v>PFES1162578586_0001</v>
      </c>
      <c r="L203" s="11">
        <v>1</v>
      </c>
      <c r="M203" s="11">
        <v>1</v>
      </c>
    </row>
    <row r="204" spans="1:13">
      <c r="A204" s="9">
        <v>43007</v>
      </c>
      <c r="B204" s="10">
        <v>0.59444444444444444</v>
      </c>
      <c r="C204" s="11" t="str">
        <f>"FES1162578493"</f>
        <v>FES1162578493</v>
      </c>
      <c r="D204" s="11" t="s">
        <v>19</v>
      </c>
      <c r="E204" s="11" t="s">
        <v>44</v>
      </c>
      <c r="F204" s="11" t="str">
        <f>"2170591407 "</f>
        <v xml:space="preserve">2170591407 </v>
      </c>
      <c r="G204" s="11" t="str">
        <f>"ON1"</f>
        <v>ON1</v>
      </c>
      <c r="H204" s="11" t="s">
        <v>21</v>
      </c>
      <c r="I204" s="11" t="s">
        <v>45</v>
      </c>
      <c r="J204" s="11" t="str">
        <f>""</f>
        <v/>
      </c>
      <c r="K204" s="11" t="str">
        <f>"PFES1162578493_0001"</f>
        <v>PFES1162578493_0001</v>
      </c>
      <c r="L204" s="11">
        <v>1</v>
      </c>
      <c r="M204" s="11">
        <v>1</v>
      </c>
    </row>
    <row r="205" spans="1:13">
      <c r="A205" s="9">
        <v>43007</v>
      </c>
      <c r="B205" s="10">
        <v>0.59375</v>
      </c>
      <c r="C205" s="11" t="str">
        <f>"FES1162578564"</f>
        <v>FES1162578564</v>
      </c>
      <c r="D205" s="11" t="s">
        <v>19</v>
      </c>
      <c r="E205" s="11" t="s">
        <v>69</v>
      </c>
      <c r="F205" s="11" t="str">
        <f>"2170593151 "</f>
        <v xml:space="preserve">2170593151 </v>
      </c>
      <c r="G205" s="11" t="str">
        <f>"ON1"</f>
        <v>ON1</v>
      </c>
      <c r="H205" s="11" t="s">
        <v>21</v>
      </c>
      <c r="I205" s="11" t="s">
        <v>70</v>
      </c>
      <c r="J205" s="11" t="str">
        <f>""</f>
        <v/>
      </c>
      <c r="K205" s="11" t="str">
        <f>"PFES1162578564_0001"</f>
        <v>PFES1162578564_0001</v>
      </c>
      <c r="L205" s="11">
        <v>1</v>
      </c>
      <c r="M205" s="11">
        <v>1</v>
      </c>
    </row>
    <row r="206" spans="1:13">
      <c r="A206" s="9">
        <v>43007</v>
      </c>
      <c r="B206" s="10">
        <v>0.59375</v>
      </c>
      <c r="C206" s="11" t="str">
        <f>"FES1162578657"</f>
        <v>FES1162578657</v>
      </c>
      <c r="D206" s="11" t="s">
        <v>19</v>
      </c>
      <c r="E206" s="11" t="s">
        <v>112</v>
      </c>
      <c r="F206" s="11" t="str">
        <f>"2170588051 "</f>
        <v xml:space="preserve">2170588051 </v>
      </c>
      <c r="G206" s="11" t="str">
        <f>"DBC"</f>
        <v>DBC</v>
      </c>
      <c r="H206" s="11" t="s">
        <v>21</v>
      </c>
      <c r="I206" s="11" t="s">
        <v>113</v>
      </c>
      <c r="J206" s="11" t="str">
        <f>""</f>
        <v/>
      </c>
      <c r="K206" s="11" t="str">
        <f>"PFES1162578657_0001"</f>
        <v>PFES1162578657_0001</v>
      </c>
      <c r="L206" s="11">
        <v>1</v>
      </c>
      <c r="M206" s="11">
        <v>20</v>
      </c>
    </row>
    <row r="207" spans="1:13">
      <c r="A207" s="9">
        <v>43007</v>
      </c>
      <c r="B207" s="10">
        <v>0.59375</v>
      </c>
      <c r="C207" s="11" t="str">
        <f>"FES1162578352"</f>
        <v>FES1162578352</v>
      </c>
      <c r="D207" s="11" t="s">
        <v>19</v>
      </c>
      <c r="E207" s="11" t="s">
        <v>246</v>
      </c>
      <c r="F207" s="11" t="str">
        <f>"2170590789 "</f>
        <v xml:space="preserve">2170590789 </v>
      </c>
      <c r="G207" s="11" t="str">
        <f t="shared" ref="G207:G221" si="7">"ON1"</f>
        <v>ON1</v>
      </c>
      <c r="H207" s="11" t="s">
        <v>21</v>
      </c>
      <c r="I207" s="11" t="s">
        <v>189</v>
      </c>
      <c r="J207" s="11" t="str">
        <f>""</f>
        <v/>
      </c>
      <c r="K207" s="11" t="str">
        <f>"PFES1162578352_0001"</f>
        <v>PFES1162578352_0001</v>
      </c>
      <c r="L207" s="11">
        <v>1</v>
      </c>
      <c r="M207" s="11">
        <v>1</v>
      </c>
    </row>
    <row r="208" spans="1:13">
      <c r="A208" s="9">
        <v>43007</v>
      </c>
      <c r="B208" s="10">
        <v>0.59375</v>
      </c>
      <c r="C208" s="11" t="str">
        <f>"FES1162578484"</f>
        <v>FES1162578484</v>
      </c>
      <c r="D208" s="11" t="s">
        <v>19</v>
      </c>
      <c r="E208" s="11" t="s">
        <v>247</v>
      </c>
      <c r="F208" s="11" t="str">
        <f>"21705909011 "</f>
        <v xml:space="preserve">21705909011 </v>
      </c>
      <c r="G208" s="11" t="str">
        <f t="shared" si="7"/>
        <v>ON1</v>
      </c>
      <c r="H208" s="11" t="s">
        <v>21</v>
      </c>
      <c r="I208" s="11" t="s">
        <v>248</v>
      </c>
      <c r="J208" s="11" t="str">
        <f>""</f>
        <v/>
      </c>
      <c r="K208" s="11" t="str">
        <f>"PFES1162578484_0001"</f>
        <v>PFES1162578484_0001</v>
      </c>
      <c r="L208" s="11">
        <v>1</v>
      </c>
      <c r="M208" s="11">
        <v>1</v>
      </c>
    </row>
    <row r="209" spans="1:13">
      <c r="A209" s="9">
        <v>43007</v>
      </c>
      <c r="B209" s="10">
        <v>0.59305555555555556</v>
      </c>
      <c r="C209" s="11" t="str">
        <f>"FES1162578382"</f>
        <v>FES1162578382</v>
      </c>
      <c r="D209" s="11" t="s">
        <v>19</v>
      </c>
      <c r="E209" s="11" t="s">
        <v>249</v>
      </c>
      <c r="F209" s="11" t="str">
        <f>"2170590067 "</f>
        <v xml:space="preserve">2170590067 </v>
      </c>
      <c r="G209" s="11" t="str">
        <f t="shared" si="7"/>
        <v>ON1</v>
      </c>
      <c r="H209" s="11" t="s">
        <v>21</v>
      </c>
      <c r="I209" s="11" t="s">
        <v>90</v>
      </c>
      <c r="J209" s="11" t="str">
        <f>""</f>
        <v/>
      </c>
      <c r="K209" s="11" t="str">
        <f>"PFES1162578382_0001"</f>
        <v>PFES1162578382_0001</v>
      </c>
      <c r="L209" s="11">
        <v>1</v>
      </c>
      <c r="M209" s="11">
        <v>1</v>
      </c>
    </row>
    <row r="210" spans="1:13">
      <c r="A210" s="9">
        <v>43007</v>
      </c>
      <c r="B210" s="10">
        <v>0.59305555555555556</v>
      </c>
      <c r="C210" s="11" t="str">
        <f>"FES1162578536"</f>
        <v>FES1162578536</v>
      </c>
      <c r="D210" s="11" t="s">
        <v>19</v>
      </c>
      <c r="E210" s="11" t="s">
        <v>250</v>
      </c>
      <c r="F210" s="11" t="str">
        <f>"2170591380 "</f>
        <v xml:space="preserve">2170591380 </v>
      </c>
      <c r="G210" s="11" t="str">
        <f t="shared" si="7"/>
        <v>ON1</v>
      </c>
      <c r="H210" s="11" t="s">
        <v>21</v>
      </c>
      <c r="I210" s="11" t="s">
        <v>251</v>
      </c>
      <c r="J210" s="11" t="str">
        <f>""</f>
        <v/>
      </c>
      <c r="K210" s="11" t="str">
        <f>"PFES1162578536_0001"</f>
        <v>PFES1162578536_0001</v>
      </c>
      <c r="L210" s="11">
        <v>1</v>
      </c>
      <c r="M210" s="11">
        <v>1</v>
      </c>
    </row>
    <row r="211" spans="1:13">
      <c r="A211" s="9">
        <v>43007</v>
      </c>
      <c r="B211" s="10">
        <v>0.59305555555555556</v>
      </c>
      <c r="C211" s="11" t="str">
        <f>"FES1162578405"</f>
        <v>FES1162578405</v>
      </c>
      <c r="D211" s="11" t="s">
        <v>19</v>
      </c>
      <c r="E211" s="11" t="s">
        <v>252</v>
      </c>
      <c r="F211" s="11" t="str">
        <f>"2170590826 "</f>
        <v xml:space="preserve">2170590826 </v>
      </c>
      <c r="G211" s="11" t="str">
        <f t="shared" si="7"/>
        <v>ON1</v>
      </c>
      <c r="H211" s="11" t="s">
        <v>21</v>
      </c>
      <c r="I211" s="11" t="s">
        <v>171</v>
      </c>
      <c r="J211" s="11" t="str">
        <f>""</f>
        <v/>
      </c>
      <c r="K211" s="11" t="str">
        <f>"PFES1162578405_0001"</f>
        <v>PFES1162578405_0001</v>
      </c>
      <c r="L211" s="11">
        <v>1</v>
      </c>
      <c r="M211" s="11">
        <v>1</v>
      </c>
    </row>
    <row r="212" spans="1:13">
      <c r="A212" s="9">
        <v>43007</v>
      </c>
      <c r="B212" s="10">
        <v>0.59236111111111112</v>
      </c>
      <c r="C212" s="11" t="str">
        <f>"FES1162578432"</f>
        <v>FES1162578432</v>
      </c>
      <c r="D212" s="11" t="s">
        <v>19</v>
      </c>
      <c r="E212" s="11" t="s">
        <v>50</v>
      </c>
      <c r="F212" s="11" t="str">
        <f>"2170592168 "</f>
        <v xml:space="preserve">2170592168 </v>
      </c>
      <c r="G212" s="11" t="str">
        <f t="shared" si="7"/>
        <v>ON1</v>
      </c>
      <c r="H212" s="11" t="s">
        <v>21</v>
      </c>
      <c r="I212" s="11" t="s">
        <v>51</v>
      </c>
      <c r="J212" s="11" t="str">
        <f>""</f>
        <v/>
      </c>
      <c r="K212" s="11" t="str">
        <f>"PFES1162578432_0001"</f>
        <v>PFES1162578432_0001</v>
      </c>
      <c r="L212" s="11">
        <v>1</v>
      </c>
      <c r="M212" s="11">
        <v>2</v>
      </c>
    </row>
    <row r="213" spans="1:13">
      <c r="A213" s="9">
        <v>43007</v>
      </c>
      <c r="B213" s="10">
        <v>0.59236111111111112</v>
      </c>
      <c r="C213" s="11" t="str">
        <f>"FES1162578497"</f>
        <v>FES1162578497</v>
      </c>
      <c r="D213" s="11" t="s">
        <v>19</v>
      </c>
      <c r="E213" s="11" t="s">
        <v>25</v>
      </c>
      <c r="F213" s="11" t="str">
        <f>"2170591058 "</f>
        <v xml:space="preserve">2170591058 </v>
      </c>
      <c r="G213" s="11" t="str">
        <f t="shared" si="7"/>
        <v>ON1</v>
      </c>
      <c r="H213" s="11" t="s">
        <v>21</v>
      </c>
      <c r="I213" s="11" t="s">
        <v>204</v>
      </c>
      <c r="J213" s="11" t="str">
        <f>""</f>
        <v/>
      </c>
      <c r="K213" s="11" t="str">
        <f>"PFES1162578497_0001"</f>
        <v>PFES1162578497_0001</v>
      </c>
      <c r="L213" s="11">
        <v>1</v>
      </c>
      <c r="M213" s="11">
        <v>1</v>
      </c>
    </row>
    <row r="214" spans="1:13">
      <c r="A214" s="9">
        <v>43007</v>
      </c>
      <c r="B214" s="10">
        <v>0.59236111111111112</v>
      </c>
      <c r="C214" s="11" t="str">
        <f>"FES1162578351"</f>
        <v>FES1162578351</v>
      </c>
      <c r="D214" s="11" t="s">
        <v>19</v>
      </c>
      <c r="E214" s="11" t="s">
        <v>253</v>
      </c>
      <c r="F214" s="11" t="str">
        <f>"217059869 "</f>
        <v xml:space="preserve">217059869 </v>
      </c>
      <c r="G214" s="11" t="str">
        <f t="shared" si="7"/>
        <v>ON1</v>
      </c>
      <c r="H214" s="11" t="s">
        <v>21</v>
      </c>
      <c r="I214" s="11" t="s">
        <v>254</v>
      </c>
      <c r="J214" s="11" t="str">
        <f>""</f>
        <v/>
      </c>
      <c r="K214" s="11" t="str">
        <f>"PFES1162578351_0001"</f>
        <v>PFES1162578351_0001</v>
      </c>
      <c r="L214" s="11">
        <v>1</v>
      </c>
      <c r="M214" s="11">
        <v>1</v>
      </c>
    </row>
    <row r="215" spans="1:13">
      <c r="A215" s="9">
        <v>43007</v>
      </c>
      <c r="B215" s="10">
        <v>0.59236111111111112</v>
      </c>
      <c r="C215" s="11" t="str">
        <f>"FES1162578590"</f>
        <v>FES1162578590</v>
      </c>
      <c r="D215" s="11" t="s">
        <v>19</v>
      </c>
      <c r="E215" s="11" t="s">
        <v>255</v>
      </c>
      <c r="F215" s="11" t="str">
        <f>"2170593188 "</f>
        <v xml:space="preserve">2170593188 </v>
      </c>
      <c r="G215" s="11" t="str">
        <f t="shared" si="7"/>
        <v>ON1</v>
      </c>
      <c r="H215" s="11" t="s">
        <v>21</v>
      </c>
      <c r="I215" s="11" t="s">
        <v>34</v>
      </c>
      <c r="J215" s="11" t="str">
        <f>""</f>
        <v/>
      </c>
      <c r="K215" s="11" t="str">
        <f>"PFES1162578590_0001"</f>
        <v>PFES1162578590_0001</v>
      </c>
      <c r="L215" s="11">
        <v>1</v>
      </c>
      <c r="M215" s="11">
        <v>3</v>
      </c>
    </row>
    <row r="216" spans="1:13">
      <c r="A216" s="9">
        <v>43007</v>
      </c>
      <c r="B216" s="10">
        <v>0.59166666666666667</v>
      </c>
      <c r="C216" s="11" t="str">
        <f>"FES1162578552"</f>
        <v>FES1162578552</v>
      </c>
      <c r="D216" s="11" t="s">
        <v>19</v>
      </c>
      <c r="E216" s="11" t="s">
        <v>69</v>
      </c>
      <c r="F216" s="11" t="str">
        <f>"2170591957 "</f>
        <v xml:space="preserve">2170591957 </v>
      </c>
      <c r="G216" s="11" t="str">
        <f t="shared" si="7"/>
        <v>ON1</v>
      </c>
      <c r="H216" s="11" t="s">
        <v>21</v>
      </c>
      <c r="I216" s="11" t="s">
        <v>70</v>
      </c>
      <c r="J216" s="11" t="str">
        <f>""</f>
        <v/>
      </c>
      <c r="K216" s="11" t="str">
        <f>"PFES1162578552_0001"</f>
        <v>PFES1162578552_0001</v>
      </c>
      <c r="L216" s="11">
        <v>1</v>
      </c>
      <c r="M216" s="11">
        <v>1</v>
      </c>
    </row>
    <row r="217" spans="1:13">
      <c r="A217" s="9">
        <v>43007</v>
      </c>
      <c r="B217" s="10">
        <v>0.59166666666666667</v>
      </c>
      <c r="C217" s="11" t="str">
        <f>"FES1162578439"</f>
        <v>FES1162578439</v>
      </c>
      <c r="D217" s="11" t="s">
        <v>19</v>
      </c>
      <c r="E217" s="11" t="s">
        <v>256</v>
      </c>
      <c r="F217" s="11" t="str">
        <f>"2170590830 "</f>
        <v xml:space="preserve">2170590830 </v>
      </c>
      <c r="G217" s="11" t="str">
        <f t="shared" si="7"/>
        <v>ON1</v>
      </c>
      <c r="H217" s="11" t="s">
        <v>21</v>
      </c>
      <c r="I217" s="11" t="s">
        <v>257</v>
      </c>
      <c r="J217" s="11" t="str">
        <f>""</f>
        <v/>
      </c>
      <c r="K217" s="11" t="str">
        <f>"PFES1162578439_0001"</f>
        <v>PFES1162578439_0001</v>
      </c>
      <c r="L217" s="11">
        <v>1</v>
      </c>
      <c r="M217" s="11">
        <v>1</v>
      </c>
    </row>
    <row r="218" spans="1:13">
      <c r="A218" s="9">
        <v>43007</v>
      </c>
      <c r="B218" s="10">
        <v>0.59097222222222223</v>
      </c>
      <c r="C218" s="11" t="str">
        <f>"FES1162578354"</f>
        <v>FES1162578354</v>
      </c>
      <c r="D218" s="11" t="s">
        <v>19</v>
      </c>
      <c r="E218" s="11" t="s">
        <v>258</v>
      </c>
      <c r="F218" s="11" t="str">
        <f>"2170591038 "</f>
        <v xml:space="preserve">2170591038 </v>
      </c>
      <c r="G218" s="11" t="str">
        <f t="shared" si="7"/>
        <v>ON1</v>
      </c>
      <c r="H218" s="11" t="s">
        <v>21</v>
      </c>
      <c r="I218" s="11" t="s">
        <v>248</v>
      </c>
      <c r="J218" s="11" t="str">
        <f>""</f>
        <v/>
      </c>
      <c r="K218" s="11" t="str">
        <f>"PFES1162578354_0001"</f>
        <v>PFES1162578354_0001</v>
      </c>
      <c r="L218" s="11">
        <v>1</v>
      </c>
      <c r="M218" s="11">
        <v>1</v>
      </c>
    </row>
    <row r="219" spans="1:13">
      <c r="A219" s="9">
        <v>43007</v>
      </c>
      <c r="B219" s="10">
        <v>0.59027777777777779</v>
      </c>
      <c r="C219" s="11" t="str">
        <f>"FES1162578435"</f>
        <v>FES1162578435</v>
      </c>
      <c r="D219" s="11" t="s">
        <v>19</v>
      </c>
      <c r="E219" s="11" t="s">
        <v>259</v>
      </c>
      <c r="F219" s="11" t="str">
        <f>"2170593061 "</f>
        <v xml:space="preserve">2170593061 </v>
      </c>
      <c r="G219" s="11" t="str">
        <f t="shared" si="7"/>
        <v>ON1</v>
      </c>
      <c r="H219" s="11" t="s">
        <v>21</v>
      </c>
      <c r="I219" s="11" t="s">
        <v>248</v>
      </c>
      <c r="J219" s="11" t="str">
        <f>""</f>
        <v/>
      </c>
      <c r="K219" s="11" t="str">
        <f>"PFES1162578435_0001"</f>
        <v>PFES1162578435_0001</v>
      </c>
      <c r="L219" s="11">
        <v>1</v>
      </c>
      <c r="M219" s="11">
        <v>1</v>
      </c>
    </row>
    <row r="220" spans="1:13">
      <c r="A220" s="9">
        <v>43007</v>
      </c>
      <c r="B220" s="10">
        <v>0.59027777777777779</v>
      </c>
      <c r="C220" s="11" t="str">
        <f>"FES1162578431"</f>
        <v>FES1162578431</v>
      </c>
      <c r="D220" s="11" t="s">
        <v>19</v>
      </c>
      <c r="E220" s="11" t="s">
        <v>48</v>
      </c>
      <c r="F220" s="11" t="str">
        <f>"2170591822 "</f>
        <v xml:space="preserve">2170591822 </v>
      </c>
      <c r="G220" s="11" t="str">
        <f t="shared" si="7"/>
        <v>ON1</v>
      </c>
      <c r="H220" s="11" t="s">
        <v>21</v>
      </c>
      <c r="I220" s="11" t="s">
        <v>49</v>
      </c>
      <c r="J220" s="11" t="str">
        <f>""</f>
        <v/>
      </c>
      <c r="K220" s="11" t="str">
        <f>"PFES1162578431_0001"</f>
        <v>PFES1162578431_0001</v>
      </c>
      <c r="L220" s="11">
        <v>2</v>
      </c>
      <c r="M220" s="11">
        <v>18</v>
      </c>
    </row>
    <row r="221" spans="1:13">
      <c r="A221" s="9">
        <v>43007</v>
      </c>
      <c r="B221" s="10">
        <v>0.59027777777777779</v>
      </c>
      <c r="C221" s="11" t="str">
        <f>"FES1162578431"</f>
        <v>FES1162578431</v>
      </c>
      <c r="D221" s="11" t="s">
        <v>19</v>
      </c>
      <c r="E221" s="11" t="s">
        <v>48</v>
      </c>
      <c r="F221" s="11" t="str">
        <f>"2170591822 "</f>
        <v xml:space="preserve">2170591822 </v>
      </c>
      <c r="G221" s="11" t="str">
        <f t="shared" si="7"/>
        <v>ON1</v>
      </c>
      <c r="H221" s="11" t="s">
        <v>21</v>
      </c>
      <c r="I221" s="11" t="s">
        <v>49</v>
      </c>
      <c r="J221" s="11"/>
      <c r="K221" s="11" t="str">
        <f>"PFES1162578431_0002"</f>
        <v>PFES1162578431_0002</v>
      </c>
      <c r="L221" s="11">
        <v>2</v>
      </c>
      <c r="M221" s="11">
        <v>18</v>
      </c>
    </row>
    <row r="222" spans="1:13">
      <c r="A222" s="9">
        <v>43007</v>
      </c>
      <c r="B222" s="10">
        <v>0.58958333333333335</v>
      </c>
      <c r="C222" s="11" t="str">
        <f>"FES1162578342"</f>
        <v>FES1162578342</v>
      </c>
      <c r="D222" s="11" t="s">
        <v>19</v>
      </c>
      <c r="E222" s="11" t="s">
        <v>260</v>
      </c>
      <c r="F222" s="11" t="str">
        <f>"217059114 "</f>
        <v xml:space="preserve">217059114 </v>
      </c>
      <c r="G222" s="11" t="str">
        <f>"ON1"</f>
        <v>ON1</v>
      </c>
      <c r="H222" s="11" t="s">
        <v>21</v>
      </c>
      <c r="I222" s="11" t="s">
        <v>261</v>
      </c>
      <c r="J222" s="11" t="str">
        <f>""</f>
        <v/>
      </c>
      <c r="K222" s="11" t="str">
        <f>"PFES1162578342_0001"</f>
        <v>PFES1162578342_0001</v>
      </c>
      <c r="L222" s="11">
        <v>1</v>
      </c>
      <c r="M222" s="11">
        <v>3</v>
      </c>
    </row>
    <row r="223" spans="1:13">
      <c r="A223" s="9">
        <v>43007</v>
      </c>
      <c r="B223" s="10">
        <v>0.58958333333333335</v>
      </c>
      <c r="C223" s="11" t="str">
        <f>"FES1162578535"</f>
        <v>FES1162578535</v>
      </c>
      <c r="D223" s="11" t="s">
        <v>19</v>
      </c>
      <c r="E223" s="11" t="s">
        <v>149</v>
      </c>
      <c r="F223" s="11" t="str">
        <f>"2170591373 "</f>
        <v xml:space="preserve">2170591373 </v>
      </c>
      <c r="G223" s="11" t="str">
        <f>"ON1"</f>
        <v>ON1</v>
      </c>
      <c r="H223" s="11" t="s">
        <v>21</v>
      </c>
      <c r="I223" s="11" t="s">
        <v>49</v>
      </c>
      <c r="J223" s="11" t="str">
        <f>""</f>
        <v/>
      </c>
      <c r="K223" s="11" t="str">
        <f>"PFES1162578535_0001"</f>
        <v>PFES1162578535_0001</v>
      </c>
      <c r="L223" s="11">
        <v>1</v>
      </c>
      <c r="M223" s="11">
        <v>2</v>
      </c>
    </row>
    <row r="224" spans="1:13">
      <c r="A224" s="9">
        <v>43007</v>
      </c>
      <c r="B224" s="10">
        <v>0.58888888888888891</v>
      </c>
      <c r="C224" s="11" t="str">
        <f>"FES1162578427"</f>
        <v>FES1162578427</v>
      </c>
      <c r="D224" s="11" t="s">
        <v>19</v>
      </c>
      <c r="E224" s="11" t="s">
        <v>64</v>
      </c>
      <c r="F224" s="11" t="str">
        <f>"2170591479 "</f>
        <v xml:space="preserve">2170591479 </v>
      </c>
      <c r="G224" s="11" t="str">
        <f>"DBC"</f>
        <v>DBC</v>
      </c>
      <c r="H224" s="11" t="s">
        <v>21</v>
      </c>
      <c r="I224" s="11" t="s">
        <v>65</v>
      </c>
      <c r="J224" s="11" t="str">
        <f>""</f>
        <v/>
      </c>
      <c r="K224" s="11" t="str">
        <f>"PFES1162578427_0001"</f>
        <v>PFES1162578427_0001</v>
      </c>
      <c r="L224" s="11">
        <v>3</v>
      </c>
      <c r="M224" s="11">
        <v>33</v>
      </c>
    </row>
    <row r="225" spans="1:13">
      <c r="A225" s="9">
        <v>43007</v>
      </c>
      <c r="B225" s="10">
        <v>0.58888888888888891</v>
      </c>
      <c r="C225" s="11" t="str">
        <f>"FES1162578427"</f>
        <v>FES1162578427</v>
      </c>
      <c r="D225" s="11" t="s">
        <v>19</v>
      </c>
      <c r="E225" s="11" t="s">
        <v>64</v>
      </c>
      <c r="F225" s="11" t="str">
        <f t="shared" ref="F225:F226" si="8">"2170591479 "</f>
        <v xml:space="preserve">2170591479 </v>
      </c>
      <c r="G225" s="11" t="str">
        <f t="shared" ref="G225:G226" si="9">"DBC"</f>
        <v>DBC</v>
      </c>
      <c r="H225" s="11" t="s">
        <v>21</v>
      </c>
      <c r="I225" s="11" t="s">
        <v>65</v>
      </c>
      <c r="J225" s="11"/>
      <c r="K225" s="11" t="str">
        <f>"PFES1162578427_0002"</f>
        <v>PFES1162578427_0002</v>
      </c>
      <c r="L225" s="11">
        <v>3</v>
      </c>
      <c r="M225" s="11">
        <v>33</v>
      </c>
    </row>
    <row r="226" spans="1:13">
      <c r="A226" s="9">
        <v>43007</v>
      </c>
      <c r="B226" s="10">
        <v>0.58888888888888891</v>
      </c>
      <c r="C226" s="11" t="str">
        <f>"FES1162578427"</f>
        <v>FES1162578427</v>
      </c>
      <c r="D226" s="11" t="s">
        <v>19</v>
      </c>
      <c r="E226" s="11" t="s">
        <v>64</v>
      </c>
      <c r="F226" s="11" t="str">
        <f t="shared" si="8"/>
        <v xml:space="preserve">2170591479 </v>
      </c>
      <c r="G226" s="11" t="str">
        <f t="shared" si="9"/>
        <v>DBC</v>
      </c>
      <c r="H226" s="11" t="s">
        <v>21</v>
      </c>
      <c r="I226" s="11" t="s">
        <v>65</v>
      </c>
      <c r="J226" s="11"/>
      <c r="K226" s="11" t="str">
        <f>"PFES1162578427_0003"</f>
        <v>PFES1162578427_0003</v>
      </c>
      <c r="L226" s="11">
        <v>3</v>
      </c>
      <c r="M226" s="11">
        <v>33</v>
      </c>
    </row>
    <row r="227" spans="1:13">
      <c r="A227" s="9">
        <v>43007</v>
      </c>
      <c r="B227" s="10">
        <v>0.58819444444444446</v>
      </c>
      <c r="C227" s="11" t="str">
        <f>"FES1162578629"</f>
        <v>FES1162578629</v>
      </c>
      <c r="D227" s="11" t="s">
        <v>19</v>
      </c>
      <c r="E227" s="11" t="s">
        <v>262</v>
      </c>
      <c r="F227" s="11" t="str">
        <f>"2170597252 "</f>
        <v xml:space="preserve">2170597252 </v>
      </c>
      <c r="G227" s="11" t="str">
        <f>"DBC"</f>
        <v>DBC</v>
      </c>
      <c r="H227" s="11" t="s">
        <v>21</v>
      </c>
      <c r="I227" s="11" t="s">
        <v>263</v>
      </c>
      <c r="J227" s="11" t="str">
        <f>""</f>
        <v/>
      </c>
      <c r="K227" s="11" t="str">
        <f>"PFES1162578629_0001"</f>
        <v>PFES1162578629_0001</v>
      </c>
      <c r="L227" s="11">
        <v>1</v>
      </c>
      <c r="M227" s="11">
        <v>32</v>
      </c>
    </row>
    <row r="228" spans="1:13">
      <c r="A228" s="9">
        <v>43007</v>
      </c>
      <c r="B228" s="10">
        <v>0.58750000000000002</v>
      </c>
      <c r="C228" s="11" t="str">
        <f>"FES1162578443"</f>
        <v>FES1162578443</v>
      </c>
      <c r="D228" s="11" t="s">
        <v>19</v>
      </c>
      <c r="E228" s="11" t="s">
        <v>264</v>
      </c>
      <c r="F228" s="11" t="str">
        <f>"2170593045 "</f>
        <v xml:space="preserve">2170593045 </v>
      </c>
      <c r="G228" s="11" t="str">
        <f t="shared" ref="G228:G265" si="10">"ON1"</f>
        <v>ON1</v>
      </c>
      <c r="H228" s="11" t="s">
        <v>21</v>
      </c>
      <c r="I228" s="11" t="s">
        <v>265</v>
      </c>
      <c r="J228" s="11" t="str">
        <f>""</f>
        <v/>
      </c>
      <c r="K228" s="11" t="str">
        <f>"PFES1162578443_0001"</f>
        <v>PFES1162578443_0001</v>
      </c>
      <c r="L228" s="11">
        <v>1</v>
      </c>
      <c r="M228" s="11">
        <v>8</v>
      </c>
    </row>
    <row r="229" spans="1:13">
      <c r="A229" s="9">
        <v>43007</v>
      </c>
      <c r="B229" s="10">
        <v>0.58680555555555558</v>
      </c>
      <c r="C229" s="11" t="str">
        <f>"FES1162578611"</f>
        <v>FES1162578611</v>
      </c>
      <c r="D229" s="11" t="s">
        <v>19</v>
      </c>
      <c r="E229" s="11" t="s">
        <v>266</v>
      </c>
      <c r="F229" s="11" t="str">
        <f>"2170593217 "</f>
        <v xml:space="preserve">2170593217 </v>
      </c>
      <c r="G229" s="11" t="str">
        <f t="shared" si="10"/>
        <v>ON1</v>
      </c>
      <c r="H229" s="11" t="s">
        <v>21</v>
      </c>
      <c r="I229" s="11" t="s">
        <v>267</v>
      </c>
      <c r="J229" s="11" t="str">
        <f>""</f>
        <v/>
      </c>
      <c r="K229" s="11" t="str">
        <f>"PFES1162578611_0001"</f>
        <v>PFES1162578611_0001</v>
      </c>
      <c r="L229" s="11">
        <v>1</v>
      </c>
      <c r="M229" s="11">
        <v>2</v>
      </c>
    </row>
    <row r="230" spans="1:13">
      <c r="A230" s="9">
        <v>43007</v>
      </c>
      <c r="B230" s="10">
        <v>0.58611111111111114</v>
      </c>
      <c r="C230" s="11" t="str">
        <f>"FES1162578550"</f>
        <v>FES1162578550</v>
      </c>
      <c r="D230" s="11" t="s">
        <v>19</v>
      </c>
      <c r="E230" s="11" t="s">
        <v>268</v>
      </c>
      <c r="F230" s="11" t="str">
        <f>"2170591854 "</f>
        <v xml:space="preserve">2170591854 </v>
      </c>
      <c r="G230" s="11" t="str">
        <f t="shared" si="10"/>
        <v>ON1</v>
      </c>
      <c r="H230" s="11" t="s">
        <v>21</v>
      </c>
      <c r="I230" s="11" t="s">
        <v>76</v>
      </c>
      <c r="J230" s="11" t="str">
        <f>""</f>
        <v/>
      </c>
      <c r="K230" s="11" t="str">
        <f>"PFES1162578550_0001"</f>
        <v>PFES1162578550_0001</v>
      </c>
      <c r="L230" s="11">
        <v>1</v>
      </c>
      <c r="M230" s="11">
        <v>2</v>
      </c>
    </row>
    <row r="231" spans="1:13">
      <c r="A231" s="9">
        <v>43007</v>
      </c>
      <c r="B231" s="10">
        <v>0.5854166666666667</v>
      </c>
      <c r="C231" s="11" t="str">
        <f>"FES1162578408"</f>
        <v>FES1162578408</v>
      </c>
      <c r="D231" s="11" t="s">
        <v>19</v>
      </c>
      <c r="E231" s="11" t="s">
        <v>79</v>
      </c>
      <c r="F231" s="11" t="str">
        <f>"2170590849 "</f>
        <v xml:space="preserve">2170590849 </v>
      </c>
      <c r="G231" s="11" t="str">
        <f t="shared" si="10"/>
        <v>ON1</v>
      </c>
      <c r="H231" s="11" t="s">
        <v>21</v>
      </c>
      <c r="I231" s="11" t="s">
        <v>80</v>
      </c>
      <c r="J231" s="11" t="str">
        <f>""</f>
        <v/>
      </c>
      <c r="K231" s="11" t="str">
        <f>"PFES1162578408_0001"</f>
        <v>PFES1162578408_0001</v>
      </c>
      <c r="L231" s="11">
        <v>1</v>
      </c>
      <c r="M231" s="11">
        <v>2</v>
      </c>
    </row>
    <row r="232" spans="1:13">
      <c r="A232" s="9">
        <v>43007</v>
      </c>
      <c r="B232" s="10">
        <v>0.5854166666666667</v>
      </c>
      <c r="C232" s="11" t="str">
        <f>"FES1162578466"</f>
        <v>FES1162578466</v>
      </c>
      <c r="D232" s="11" t="s">
        <v>19</v>
      </c>
      <c r="E232" s="11" t="s">
        <v>200</v>
      </c>
      <c r="F232" s="11" t="str">
        <f>"2170590495 "</f>
        <v xml:space="preserve">2170590495 </v>
      </c>
      <c r="G232" s="11" t="str">
        <f t="shared" si="10"/>
        <v>ON1</v>
      </c>
      <c r="H232" s="11" t="s">
        <v>21</v>
      </c>
      <c r="I232" s="11" t="s">
        <v>65</v>
      </c>
      <c r="J232" s="11" t="str">
        <f>""</f>
        <v/>
      </c>
      <c r="K232" s="11" t="str">
        <f>"PFES1162578466_0001"</f>
        <v>PFES1162578466_0001</v>
      </c>
      <c r="L232" s="11">
        <v>1</v>
      </c>
      <c r="M232" s="11">
        <v>13</v>
      </c>
    </row>
    <row r="233" spans="1:13">
      <c r="A233" s="9">
        <v>43007</v>
      </c>
      <c r="B233" s="10">
        <v>0.51388888888888895</v>
      </c>
      <c r="C233" s="11" t="str">
        <f>"FES1162578560"</f>
        <v>FES1162578560</v>
      </c>
      <c r="D233" s="11" t="s">
        <v>19</v>
      </c>
      <c r="E233" s="11" t="s">
        <v>269</v>
      </c>
      <c r="F233" s="11" t="str">
        <f>"2170592860 "</f>
        <v xml:space="preserve">2170592860 </v>
      </c>
      <c r="G233" s="11" t="str">
        <f t="shared" si="10"/>
        <v>ON1</v>
      </c>
      <c r="H233" s="11" t="s">
        <v>21</v>
      </c>
      <c r="I233" s="11" t="s">
        <v>270</v>
      </c>
      <c r="J233" s="11" t="str">
        <f>""</f>
        <v/>
      </c>
      <c r="K233" s="11" t="str">
        <f>"PFES1162578560_0001"</f>
        <v>PFES1162578560_0001</v>
      </c>
      <c r="L233" s="11">
        <v>1</v>
      </c>
      <c r="M233" s="11">
        <v>1</v>
      </c>
    </row>
    <row r="234" spans="1:13">
      <c r="A234" s="9">
        <v>43007</v>
      </c>
      <c r="B234" s="10">
        <v>0.51388888888888895</v>
      </c>
      <c r="C234" s="11" t="str">
        <f>"FES1162578561"</f>
        <v>FES1162578561</v>
      </c>
      <c r="D234" s="11" t="s">
        <v>19</v>
      </c>
      <c r="E234" s="11" t="s">
        <v>197</v>
      </c>
      <c r="F234" s="11" t="str">
        <f>"2170592889 "</f>
        <v xml:space="preserve">2170592889 </v>
      </c>
      <c r="G234" s="11" t="str">
        <f t="shared" si="10"/>
        <v>ON1</v>
      </c>
      <c r="H234" s="11" t="s">
        <v>21</v>
      </c>
      <c r="I234" s="11" t="s">
        <v>198</v>
      </c>
      <c r="J234" s="11" t="str">
        <f>""</f>
        <v/>
      </c>
      <c r="K234" s="11" t="str">
        <f>"PFES1162578561_0001"</f>
        <v>PFES1162578561_0001</v>
      </c>
      <c r="L234" s="11">
        <v>1</v>
      </c>
      <c r="M234" s="11">
        <v>1</v>
      </c>
    </row>
    <row r="235" spans="1:13">
      <c r="A235" s="9">
        <v>43007</v>
      </c>
      <c r="B235" s="10">
        <v>0.5131944444444444</v>
      </c>
      <c r="C235" s="11" t="str">
        <f>"FES1162578469"</f>
        <v>FES1162578469</v>
      </c>
      <c r="D235" s="11" t="s">
        <v>19</v>
      </c>
      <c r="E235" s="11" t="s">
        <v>163</v>
      </c>
      <c r="F235" s="11" t="str">
        <f>"2170590588 "</f>
        <v xml:space="preserve">2170590588 </v>
      </c>
      <c r="G235" s="11" t="str">
        <f t="shared" si="10"/>
        <v>ON1</v>
      </c>
      <c r="H235" s="11" t="s">
        <v>21</v>
      </c>
      <c r="I235" s="11" t="s">
        <v>133</v>
      </c>
      <c r="J235" s="11" t="str">
        <f>""</f>
        <v/>
      </c>
      <c r="K235" s="11" t="str">
        <f>"PFES1162578469_0001"</f>
        <v>PFES1162578469_0001</v>
      </c>
      <c r="L235" s="11">
        <v>1</v>
      </c>
      <c r="M235" s="11">
        <v>1</v>
      </c>
    </row>
    <row r="236" spans="1:13">
      <c r="A236" s="9">
        <v>43007</v>
      </c>
      <c r="B236" s="10">
        <v>0.51111111111111118</v>
      </c>
      <c r="C236" s="11" t="str">
        <f>"FES1162578399"</f>
        <v>FES1162578399</v>
      </c>
      <c r="D236" s="11" t="s">
        <v>19</v>
      </c>
      <c r="E236" s="11" t="s">
        <v>271</v>
      </c>
      <c r="F236" s="11" t="str">
        <f>"2170590742 "</f>
        <v xml:space="preserve">2170590742 </v>
      </c>
      <c r="G236" s="11" t="str">
        <f t="shared" si="10"/>
        <v>ON1</v>
      </c>
      <c r="H236" s="11" t="s">
        <v>21</v>
      </c>
      <c r="I236" s="11" t="s">
        <v>111</v>
      </c>
      <c r="J236" s="11" t="str">
        <f>""</f>
        <v/>
      </c>
      <c r="K236" s="11" t="str">
        <f>"PFES1162578399_0001"</f>
        <v>PFES1162578399_0001</v>
      </c>
      <c r="L236" s="11">
        <v>1</v>
      </c>
      <c r="M236" s="11">
        <v>1</v>
      </c>
    </row>
    <row r="237" spans="1:13">
      <c r="A237" s="9">
        <v>43007</v>
      </c>
      <c r="B237" s="10">
        <v>0.51111111111111118</v>
      </c>
      <c r="C237" s="11" t="str">
        <f>"FES1162578452"</f>
        <v>FES1162578452</v>
      </c>
      <c r="D237" s="11" t="s">
        <v>19</v>
      </c>
      <c r="E237" s="11" t="s">
        <v>229</v>
      </c>
      <c r="F237" s="11" t="str">
        <f>"2170590079 "</f>
        <v xml:space="preserve">2170590079 </v>
      </c>
      <c r="G237" s="11" t="str">
        <f t="shared" si="10"/>
        <v>ON1</v>
      </c>
      <c r="H237" s="11" t="s">
        <v>21</v>
      </c>
      <c r="I237" s="11" t="s">
        <v>230</v>
      </c>
      <c r="J237" s="11" t="str">
        <f>""</f>
        <v/>
      </c>
      <c r="K237" s="11" t="str">
        <f>"PFES1162578452_0001"</f>
        <v>PFES1162578452_0001</v>
      </c>
      <c r="L237" s="11">
        <v>1</v>
      </c>
      <c r="M237" s="11">
        <v>5</v>
      </c>
    </row>
    <row r="238" spans="1:13">
      <c r="A238" s="9">
        <v>43007</v>
      </c>
      <c r="B238" s="10">
        <v>0.51041666666666663</v>
      </c>
      <c r="C238" s="11" t="str">
        <f>"FES1162578392"</f>
        <v>FES1162578392</v>
      </c>
      <c r="D238" s="11" t="s">
        <v>19</v>
      </c>
      <c r="E238" s="11" t="s">
        <v>272</v>
      </c>
      <c r="F238" s="11" t="str">
        <f>"217059655 "</f>
        <v xml:space="preserve">217059655 </v>
      </c>
      <c r="G238" s="11" t="str">
        <f t="shared" si="10"/>
        <v>ON1</v>
      </c>
      <c r="H238" s="11" t="s">
        <v>21</v>
      </c>
      <c r="I238" s="11" t="s">
        <v>90</v>
      </c>
      <c r="J238" s="11" t="str">
        <f>""</f>
        <v/>
      </c>
      <c r="K238" s="11" t="str">
        <f>"PFES1162578392_0001"</f>
        <v>PFES1162578392_0001</v>
      </c>
      <c r="L238" s="11">
        <v>1</v>
      </c>
      <c r="M238" s="11">
        <v>2</v>
      </c>
    </row>
    <row r="239" spans="1:13">
      <c r="A239" s="9">
        <v>43007</v>
      </c>
      <c r="B239" s="10">
        <v>0.51041666666666663</v>
      </c>
      <c r="C239" s="11" t="str">
        <f>"FES1162578359"</f>
        <v>FES1162578359</v>
      </c>
      <c r="D239" s="11" t="s">
        <v>19</v>
      </c>
      <c r="E239" s="11" t="s">
        <v>273</v>
      </c>
      <c r="F239" s="11" t="str">
        <f>"21705914173 "</f>
        <v xml:space="preserve">21705914173 </v>
      </c>
      <c r="G239" s="11" t="str">
        <f t="shared" si="10"/>
        <v>ON1</v>
      </c>
      <c r="H239" s="11" t="s">
        <v>21</v>
      </c>
      <c r="I239" s="11" t="s">
        <v>74</v>
      </c>
      <c r="J239" s="11" t="str">
        <f>""</f>
        <v/>
      </c>
      <c r="K239" s="11" t="str">
        <f>"PFES1162578359_0001"</f>
        <v>PFES1162578359_0001</v>
      </c>
      <c r="L239" s="11">
        <v>1</v>
      </c>
      <c r="M239" s="11">
        <v>1</v>
      </c>
    </row>
    <row r="240" spans="1:13">
      <c r="A240" s="9">
        <v>43007</v>
      </c>
      <c r="B240" s="10">
        <v>0.50972222222222219</v>
      </c>
      <c r="C240" s="11" t="str">
        <f>"FES1162578489"</f>
        <v>FES1162578489</v>
      </c>
      <c r="D240" s="11" t="s">
        <v>19</v>
      </c>
      <c r="E240" s="11" t="s">
        <v>274</v>
      </c>
      <c r="F240" s="11" t="str">
        <f>"2170590959 "</f>
        <v xml:space="preserve">2170590959 </v>
      </c>
      <c r="G240" s="11" t="str">
        <f t="shared" si="10"/>
        <v>ON1</v>
      </c>
      <c r="H240" s="11" t="s">
        <v>21</v>
      </c>
      <c r="I240" s="11" t="s">
        <v>74</v>
      </c>
      <c r="J240" s="11" t="str">
        <f>""</f>
        <v/>
      </c>
      <c r="K240" s="11" t="str">
        <f>"PFES1162578489_0001"</f>
        <v>PFES1162578489_0001</v>
      </c>
      <c r="L240" s="11">
        <v>1</v>
      </c>
      <c r="M240" s="11">
        <v>1</v>
      </c>
    </row>
    <row r="241" spans="1:13">
      <c r="A241" s="9">
        <v>43007</v>
      </c>
      <c r="B241" s="10">
        <v>0.50972222222222219</v>
      </c>
      <c r="C241" s="11" t="str">
        <f>"FES1162578545"</f>
        <v>FES1162578545</v>
      </c>
      <c r="D241" s="11" t="s">
        <v>19</v>
      </c>
      <c r="E241" s="11" t="s">
        <v>110</v>
      </c>
      <c r="F241" s="11" t="str">
        <f>"2170591517 "</f>
        <v xml:space="preserve">2170591517 </v>
      </c>
      <c r="G241" s="11" t="str">
        <f t="shared" si="10"/>
        <v>ON1</v>
      </c>
      <c r="H241" s="11" t="s">
        <v>21</v>
      </c>
      <c r="I241" s="11" t="s">
        <v>111</v>
      </c>
      <c r="J241" s="11" t="str">
        <f>""</f>
        <v/>
      </c>
      <c r="K241" s="11" t="str">
        <f>"PFES1162578545_0001"</f>
        <v>PFES1162578545_0001</v>
      </c>
      <c r="L241" s="11">
        <v>1</v>
      </c>
      <c r="M241" s="11">
        <v>1</v>
      </c>
    </row>
    <row r="242" spans="1:13">
      <c r="A242" s="9">
        <v>43007</v>
      </c>
      <c r="B242" s="10">
        <v>0.50902777777777775</v>
      </c>
      <c r="C242" s="11" t="str">
        <f>"FES1162578376"</f>
        <v>FES1162578376</v>
      </c>
      <c r="D242" s="11" t="s">
        <v>19</v>
      </c>
      <c r="E242" s="11" t="s">
        <v>275</v>
      </c>
      <c r="F242" s="11" t="str">
        <f>"2170573297 "</f>
        <v xml:space="preserve">2170573297 </v>
      </c>
      <c r="G242" s="11" t="str">
        <f t="shared" si="10"/>
        <v>ON1</v>
      </c>
      <c r="H242" s="11" t="s">
        <v>21</v>
      </c>
      <c r="I242" s="11" t="s">
        <v>276</v>
      </c>
      <c r="J242" s="11" t="str">
        <f>""</f>
        <v/>
      </c>
      <c r="K242" s="11" t="str">
        <f>"PFES1162578376_0001"</f>
        <v>PFES1162578376_0001</v>
      </c>
      <c r="L242" s="11">
        <v>1</v>
      </c>
      <c r="M242" s="11">
        <v>1</v>
      </c>
    </row>
    <row r="243" spans="1:13">
      <c r="A243" s="9">
        <v>43007</v>
      </c>
      <c r="B243" s="10">
        <v>0.5083333333333333</v>
      </c>
      <c r="C243" s="11" t="str">
        <f>"FES1162578425"</f>
        <v>FES1162578425</v>
      </c>
      <c r="D243" s="11" t="s">
        <v>19</v>
      </c>
      <c r="E243" s="11" t="s">
        <v>277</v>
      </c>
      <c r="F243" s="11" t="str">
        <f>"2170591217 "</f>
        <v xml:space="preserve">2170591217 </v>
      </c>
      <c r="G243" s="11" t="str">
        <f t="shared" si="10"/>
        <v>ON1</v>
      </c>
      <c r="H243" s="11" t="s">
        <v>21</v>
      </c>
      <c r="I243" s="11" t="s">
        <v>278</v>
      </c>
      <c r="J243" s="11" t="str">
        <f>""</f>
        <v/>
      </c>
      <c r="K243" s="11" t="str">
        <f>"PFES1162578425_0001"</f>
        <v>PFES1162578425_0001</v>
      </c>
      <c r="L243" s="11">
        <v>1</v>
      </c>
      <c r="M243" s="11">
        <v>1</v>
      </c>
    </row>
    <row r="244" spans="1:13">
      <c r="A244" s="9">
        <v>43007</v>
      </c>
      <c r="B244" s="10">
        <v>0.50763888888888886</v>
      </c>
      <c r="C244" s="11" t="str">
        <f>"FES1162578447"</f>
        <v>FES1162578447</v>
      </c>
      <c r="D244" s="11" t="s">
        <v>19</v>
      </c>
      <c r="E244" s="11" t="s">
        <v>279</v>
      </c>
      <c r="F244" s="11" t="str">
        <f>"2170593149 "</f>
        <v xml:space="preserve">2170593149 </v>
      </c>
      <c r="G244" s="11" t="str">
        <f t="shared" si="10"/>
        <v>ON1</v>
      </c>
      <c r="H244" s="11" t="s">
        <v>21</v>
      </c>
      <c r="I244" s="11" t="s">
        <v>280</v>
      </c>
      <c r="J244" s="11" t="str">
        <f>""</f>
        <v/>
      </c>
      <c r="K244" s="11" t="str">
        <f>"PFES1162578447_0001"</f>
        <v>PFES1162578447_0001</v>
      </c>
      <c r="L244" s="11">
        <v>1</v>
      </c>
      <c r="M244" s="11">
        <v>4</v>
      </c>
    </row>
    <row r="245" spans="1:13">
      <c r="A245" s="9">
        <v>43007</v>
      </c>
      <c r="B245" s="10">
        <v>0.50624999999999998</v>
      </c>
      <c r="C245" s="11" t="str">
        <f>"FES1162578413"</f>
        <v>FES1162578413</v>
      </c>
      <c r="D245" s="11" t="s">
        <v>19</v>
      </c>
      <c r="E245" s="11" t="s">
        <v>106</v>
      </c>
      <c r="F245" s="11" t="str">
        <f>"2170590943 "</f>
        <v xml:space="preserve">2170590943 </v>
      </c>
      <c r="G245" s="11" t="str">
        <f t="shared" si="10"/>
        <v>ON1</v>
      </c>
      <c r="H245" s="11" t="s">
        <v>21</v>
      </c>
      <c r="I245" s="11" t="s">
        <v>107</v>
      </c>
      <c r="J245" s="11" t="str">
        <f>""</f>
        <v/>
      </c>
      <c r="K245" s="11" t="str">
        <f>"PFES1162578413_0001"</f>
        <v>PFES1162578413_0001</v>
      </c>
      <c r="L245" s="11">
        <v>1</v>
      </c>
      <c r="M245" s="11">
        <v>1</v>
      </c>
    </row>
    <row r="246" spans="1:13">
      <c r="A246" s="9">
        <v>43007</v>
      </c>
      <c r="B246" s="10">
        <v>0.50624999999999998</v>
      </c>
      <c r="C246" s="11" t="str">
        <f>"FES1162578362"</f>
        <v>FES1162578362</v>
      </c>
      <c r="D246" s="11" t="s">
        <v>19</v>
      </c>
      <c r="E246" s="11" t="s">
        <v>281</v>
      </c>
      <c r="F246" s="11" t="str">
        <f>"2170591442 "</f>
        <v xml:space="preserve">2170591442 </v>
      </c>
      <c r="G246" s="11" t="str">
        <f t="shared" si="10"/>
        <v>ON1</v>
      </c>
      <c r="H246" s="11" t="s">
        <v>21</v>
      </c>
      <c r="I246" s="11" t="s">
        <v>128</v>
      </c>
      <c r="J246" s="11" t="str">
        <f>""</f>
        <v/>
      </c>
      <c r="K246" s="11" t="str">
        <f>"PFES1162578362_0001"</f>
        <v>PFES1162578362_0001</v>
      </c>
      <c r="L246" s="11">
        <v>1</v>
      </c>
      <c r="M246" s="11">
        <v>1</v>
      </c>
    </row>
    <row r="247" spans="1:13">
      <c r="A247" s="9">
        <v>43007</v>
      </c>
      <c r="B247" s="10">
        <v>0.50624999999999998</v>
      </c>
      <c r="C247" s="11" t="str">
        <f>"FES1162578460"</f>
        <v>FES1162578460</v>
      </c>
      <c r="D247" s="11" t="s">
        <v>19</v>
      </c>
      <c r="E247" s="11" t="s">
        <v>282</v>
      </c>
      <c r="F247" s="11" t="str">
        <f>"2170590269 "</f>
        <v xml:space="preserve">2170590269 </v>
      </c>
      <c r="G247" s="11" t="str">
        <f t="shared" si="10"/>
        <v>ON1</v>
      </c>
      <c r="H247" s="11" t="s">
        <v>21</v>
      </c>
      <c r="I247" s="11" t="s">
        <v>90</v>
      </c>
      <c r="J247" s="11" t="str">
        <f>""</f>
        <v/>
      </c>
      <c r="K247" s="11" t="str">
        <f>"PFES1162578460_0001"</f>
        <v>PFES1162578460_0001</v>
      </c>
      <c r="L247" s="11">
        <v>1</v>
      </c>
      <c r="M247" s="11">
        <v>1</v>
      </c>
    </row>
    <row r="248" spans="1:13">
      <c r="A248" s="9">
        <v>43007</v>
      </c>
      <c r="B248" s="10">
        <v>0.50624999999999998</v>
      </c>
      <c r="C248" s="11" t="str">
        <f>"FES1162578366"</f>
        <v>FES1162578366</v>
      </c>
      <c r="D248" s="11" t="s">
        <v>19</v>
      </c>
      <c r="E248" s="11" t="s">
        <v>283</v>
      </c>
      <c r="F248" s="11" t="str">
        <f>"2170591566 "</f>
        <v xml:space="preserve">2170591566 </v>
      </c>
      <c r="G248" s="11" t="str">
        <f t="shared" si="10"/>
        <v>ON1</v>
      </c>
      <c r="H248" s="11" t="s">
        <v>21</v>
      </c>
      <c r="I248" s="11" t="s">
        <v>121</v>
      </c>
      <c r="J248" s="11" t="str">
        <f>""</f>
        <v/>
      </c>
      <c r="K248" s="11" t="str">
        <f>"PFES1162578366_0001"</f>
        <v>PFES1162578366_0001</v>
      </c>
      <c r="L248" s="11">
        <v>1</v>
      </c>
      <c r="M248" s="11">
        <v>1</v>
      </c>
    </row>
    <row r="249" spans="1:13">
      <c r="A249" s="9">
        <v>43007</v>
      </c>
      <c r="B249" s="10">
        <v>0.50555555555555554</v>
      </c>
      <c r="C249" s="11" t="str">
        <f>"FES1162578472"</f>
        <v>FES1162578472</v>
      </c>
      <c r="D249" s="11" t="s">
        <v>19</v>
      </c>
      <c r="E249" s="11" t="s">
        <v>272</v>
      </c>
      <c r="F249" s="11" t="str">
        <f>"2170590655 "</f>
        <v xml:space="preserve">2170590655 </v>
      </c>
      <c r="G249" s="11" t="str">
        <f t="shared" si="10"/>
        <v>ON1</v>
      </c>
      <c r="H249" s="11" t="s">
        <v>21</v>
      </c>
      <c r="I249" s="11" t="s">
        <v>90</v>
      </c>
      <c r="J249" s="11" t="str">
        <f>""</f>
        <v/>
      </c>
      <c r="K249" s="11" t="str">
        <f>"PFES1162578472_0001"</f>
        <v>PFES1162578472_0001</v>
      </c>
      <c r="L249" s="11">
        <v>1</v>
      </c>
      <c r="M249" s="11">
        <v>1</v>
      </c>
    </row>
    <row r="250" spans="1:13">
      <c r="A250" s="9">
        <v>43007</v>
      </c>
      <c r="B250" s="10">
        <v>0.50555555555555554</v>
      </c>
      <c r="C250" s="11" t="str">
        <f>"FES1162578353"</f>
        <v>FES1162578353</v>
      </c>
      <c r="D250" s="11" t="s">
        <v>19</v>
      </c>
      <c r="E250" s="11" t="s">
        <v>110</v>
      </c>
      <c r="F250" s="11" t="str">
        <f>"2170590974 "</f>
        <v xml:space="preserve">2170590974 </v>
      </c>
      <c r="G250" s="11" t="str">
        <f t="shared" si="10"/>
        <v>ON1</v>
      </c>
      <c r="H250" s="11" t="s">
        <v>21</v>
      </c>
      <c r="I250" s="11" t="s">
        <v>111</v>
      </c>
      <c r="J250" s="11" t="str">
        <f>""</f>
        <v/>
      </c>
      <c r="K250" s="11" t="str">
        <f>"PFES1162578353_0001"</f>
        <v>PFES1162578353_0001</v>
      </c>
      <c r="L250" s="11">
        <v>1</v>
      </c>
      <c r="M250" s="11">
        <v>1</v>
      </c>
    </row>
    <row r="251" spans="1:13">
      <c r="A251" s="9">
        <v>43007</v>
      </c>
      <c r="B251" s="10">
        <v>0.50555555555555554</v>
      </c>
      <c r="C251" s="11" t="str">
        <f>"FES1162578454"</f>
        <v>FES1162578454</v>
      </c>
      <c r="D251" s="11" t="s">
        <v>19</v>
      </c>
      <c r="E251" s="11" t="s">
        <v>284</v>
      </c>
      <c r="F251" s="11" t="str">
        <f>"217059104 "</f>
        <v xml:space="preserve">217059104 </v>
      </c>
      <c r="G251" s="11" t="str">
        <f t="shared" si="10"/>
        <v>ON1</v>
      </c>
      <c r="H251" s="11" t="s">
        <v>21</v>
      </c>
      <c r="I251" s="11" t="s">
        <v>285</v>
      </c>
      <c r="J251" s="11" t="str">
        <f>""</f>
        <v/>
      </c>
      <c r="K251" s="11" t="str">
        <f>"PFES1162578454_0001"</f>
        <v>PFES1162578454_0001</v>
      </c>
      <c r="L251" s="11">
        <v>1</v>
      </c>
      <c r="M251" s="11">
        <v>1</v>
      </c>
    </row>
    <row r="252" spans="1:13">
      <c r="A252" s="9">
        <v>43007</v>
      </c>
      <c r="B252" s="10">
        <v>0.50486111111111109</v>
      </c>
      <c r="C252" s="11" t="str">
        <f>"FES1162578416"</f>
        <v>FES1162578416</v>
      </c>
      <c r="D252" s="11" t="s">
        <v>19</v>
      </c>
      <c r="E252" s="11" t="s">
        <v>110</v>
      </c>
      <c r="F252" s="11" t="str">
        <f>"2170590974 "</f>
        <v xml:space="preserve">2170590974 </v>
      </c>
      <c r="G252" s="11" t="str">
        <f t="shared" si="10"/>
        <v>ON1</v>
      </c>
      <c r="H252" s="11" t="s">
        <v>21</v>
      </c>
      <c r="I252" s="11" t="s">
        <v>111</v>
      </c>
      <c r="J252" s="11" t="str">
        <f>""</f>
        <v/>
      </c>
      <c r="K252" s="11" t="str">
        <f>"PFES1162578416_0001"</f>
        <v>PFES1162578416_0001</v>
      </c>
      <c r="L252" s="11">
        <v>1</v>
      </c>
      <c r="M252" s="11">
        <v>1</v>
      </c>
    </row>
    <row r="253" spans="1:13">
      <c r="A253" s="9">
        <v>43007</v>
      </c>
      <c r="B253" s="10">
        <v>0.50486111111111109</v>
      </c>
      <c r="C253" s="11" t="str">
        <f>"FES1162578563"</f>
        <v>FES1162578563</v>
      </c>
      <c r="D253" s="11" t="s">
        <v>19</v>
      </c>
      <c r="E253" s="11" t="s">
        <v>286</v>
      </c>
      <c r="F253" s="11" t="str">
        <f>"2170593130 "</f>
        <v xml:space="preserve">2170593130 </v>
      </c>
      <c r="G253" s="11" t="str">
        <f t="shared" si="10"/>
        <v>ON1</v>
      </c>
      <c r="H253" s="11" t="s">
        <v>21</v>
      </c>
      <c r="I253" s="11" t="s">
        <v>193</v>
      </c>
      <c r="J253" s="11" t="str">
        <f>""</f>
        <v/>
      </c>
      <c r="K253" s="11" t="str">
        <f>"PFES1162578563_0001"</f>
        <v>PFES1162578563_0001</v>
      </c>
      <c r="L253" s="11">
        <v>1</v>
      </c>
      <c r="M253" s="11">
        <v>1</v>
      </c>
    </row>
    <row r="254" spans="1:13">
      <c r="A254" s="9">
        <v>43007</v>
      </c>
      <c r="B254" s="10">
        <v>0.50416666666666665</v>
      </c>
      <c r="C254" s="11" t="str">
        <f>"FES1162578524"</f>
        <v>FES1162578524</v>
      </c>
      <c r="D254" s="11" t="s">
        <v>19</v>
      </c>
      <c r="E254" s="11" t="s">
        <v>73</v>
      </c>
      <c r="F254" s="11" t="str">
        <f>"2170592025 "</f>
        <v xml:space="preserve">2170592025 </v>
      </c>
      <c r="G254" s="11" t="str">
        <f t="shared" si="10"/>
        <v>ON1</v>
      </c>
      <c r="H254" s="11" t="s">
        <v>21</v>
      </c>
      <c r="I254" s="11" t="s">
        <v>74</v>
      </c>
      <c r="J254" s="11" t="str">
        <f>""</f>
        <v/>
      </c>
      <c r="K254" s="11" t="str">
        <f>"PFES1162578524_0001"</f>
        <v>PFES1162578524_0001</v>
      </c>
      <c r="L254" s="11">
        <v>1</v>
      </c>
      <c r="M254" s="11">
        <v>1</v>
      </c>
    </row>
    <row r="255" spans="1:13">
      <c r="A255" s="9">
        <v>43007</v>
      </c>
      <c r="B255" s="10">
        <v>0.50416666666666665</v>
      </c>
      <c r="C255" s="11" t="str">
        <f>"FES1162578548"</f>
        <v>FES1162578548</v>
      </c>
      <c r="D255" s="11" t="s">
        <v>19</v>
      </c>
      <c r="E255" s="11" t="s">
        <v>275</v>
      </c>
      <c r="F255" s="11" t="str">
        <f>"2170591570 "</f>
        <v xml:space="preserve">2170591570 </v>
      </c>
      <c r="G255" s="11" t="str">
        <f t="shared" si="10"/>
        <v>ON1</v>
      </c>
      <c r="H255" s="11" t="s">
        <v>21</v>
      </c>
      <c r="I255" s="11" t="s">
        <v>276</v>
      </c>
      <c r="J255" s="11" t="str">
        <f>""</f>
        <v/>
      </c>
      <c r="K255" s="11" t="str">
        <f>"PFES1162578548_0001"</f>
        <v>PFES1162578548_0001</v>
      </c>
      <c r="L255" s="11">
        <v>1</v>
      </c>
      <c r="M255" s="11">
        <v>1</v>
      </c>
    </row>
    <row r="256" spans="1:13">
      <c r="A256" s="9">
        <v>43007</v>
      </c>
      <c r="B256" s="10">
        <v>0.50416666666666665</v>
      </c>
      <c r="C256" s="11" t="str">
        <f>"FES1162578395"</f>
        <v>FES1162578395</v>
      </c>
      <c r="D256" s="11" t="s">
        <v>19</v>
      </c>
      <c r="E256" s="11" t="s">
        <v>125</v>
      </c>
      <c r="F256" s="11" t="str">
        <f>"2170590711 "</f>
        <v xml:space="preserve">2170590711 </v>
      </c>
      <c r="G256" s="11" t="str">
        <f t="shared" si="10"/>
        <v>ON1</v>
      </c>
      <c r="H256" s="11" t="s">
        <v>21</v>
      </c>
      <c r="I256" s="11" t="s">
        <v>126</v>
      </c>
      <c r="J256" s="11" t="str">
        <f>""</f>
        <v/>
      </c>
      <c r="K256" s="11" t="str">
        <f>"PFES1162578395_0001"</f>
        <v>PFES1162578395_0001</v>
      </c>
      <c r="L256" s="11">
        <v>1</v>
      </c>
      <c r="M256" s="11">
        <v>1</v>
      </c>
    </row>
    <row r="257" spans="1:13">
      <c r="A257" s="9">
        <v>43007</v>
      </c>
      <c r="B257" s="10">
        <v>0.4777777777777778</v>
      </c>
      <c r="C257" s="11" t="str">
        <f>"FES1162578328"</f>
        <v>FES1162578328</v>
      </c>
      <c r="D257" s="11" t="s">
        <v>19</v>
      </c>
      <c r="E257" s="11" t="s">
        <v>287</v>
      </c>
      <c r="F257" s="11" t="str">
        <f>"2170593089 "</f>
        <v xml:space="preserve">2170593089 </v>
      </c>
      <c r="G257" s="11" t="str">
        <f t="shared" si="10"/>
        <v>ON1</v>
      </c>
      <c r="H257" s="11" t="s">
        <v>21</v>
      </c>
      <c r="I257" s="11" t="s">
        <v>285</v>
      </c>
      <c r="J257" s="11" t="str">
        <f>""</f>
        <v/>
      </c>
      <c r="K257" s="11" t="str">
        <f>"PFES1162578328_0001"</f>
        <v>PFES1162578328_0001</v>
      </c>
      <c r="L257" s="11">
        <v>1</v>
      </c>
      <c r="M257" s="11">
        <v>1</v>
      </c>
    </row>
    <row r="258" spans="1:13">
      <c r="A258" s="9">
        <v>43007</v>
      </c>
      <c r="B258" s="10">
        <v>0.4777777777777778</v>
      </c>
      <c r="C258" s="11" t="str">
        <f>"FES1162578335"</f>
        <v>FES1162578335</v>
      </c>
      <c r="D258" s="11" t="s">
        <v>19</v>
      </c>
      <c r="E258" s="11" t="s">
        <v>134</v>
      </c>
      <c r="F258" s="11" t="str">
        <f>"2170593012 "</f>
        <v xml:space="preserve">2170593012 </v>
      </c>
      <c r="G258" s="11" t="str">
        <f t="shared" si="10"/>
        <v>ON1</v>
      </c>
      <c r="H258" s="11" t="s">
        <v>21</v>
      </c>
      <c r="I258" s="11" t="s">
        <v>135</v>
      </c>
      <c r="J258" s="11" t="str">
        <f>""</f>
        <v/>
      </c>
      <c r="K258" s="11" t="str">
        <f>"PFES1162578335_0001"</f>
        <v>PFES1162578335_0001</v>
      </c>
      <c r="L258" s="11">
        <v>1</v>
      </c>
      <c r="M258" s="11">
        <v>1</v>
      </c>
    </row>
    <row r="259" spans="1:13">
      <c r="A259" s="9">
        <v>43007</v>
      </c>
      <c r="B259" s="10">
        <v>0.4777777777777778</v>
      </c>
      <c r="C259" s="11" t="str">
        <f>"FES1162578311"</f>
        <v>FES1162578311</v>
      </c>
      <c r="D259" s="11" t="s">
        <v>19</v>
      </c>
      <c r="E259" s="11" t="s">
        <v>110</v>
      </c>
      <c r="F259" s="11" t="str">
        <f>"2170591578 "</f>
        <v xml:space="preserve">2170591578 </v>
      </c>
      <c r="G259" s="11" t="str">
        <f t="shared" si="10"/>
        <v>ON1</v>
      </c>
      <c r="H259" s="11" t="s">
        <v>21</v>
      </c>
      <c r="I259" s="11" t="s">
        <v>111</v>
      </c>
      <c r="J259" s="11" t="str">
        <f>""</f>
        <v/>
      </c>
      <c r="K259" s="11" t="str">
        <f>"PFES1162578311_0001"</f>
        <v>PFES1162578311_0001</v>
      </c>
      <c r="L259" s="11">
        <v>1</v>
      </c>
      <c r="M259" s="11">
        <v>1</v>
      </c>
    </row>
    <row r="260" spans="1:13">
      <c r="A260" s="9">
        <v>43007</v>
      </c>
      <c r="B260" s="10">
        <v>0.4770833333333333</v>
      </c>
      <c r="C260" s="11" t="str">
        <f>"FES1162578315"</f>
        <v>FES1162578315</v>
      </c>
      <c r="D260" s="11" t="s">
        <v>19</v>
      </c>
      <c r="E260" s="11" t="s">
        <v>274</v>
      </c>
      <c r="F260" s="11" t="str">
        <f>"2170592476 "</f>
        <v xml:space="preserve">2170592476 </v>
      </c>
      <c r="G260" s="11" t="str">
        <f t="shared" si="10"/>
        <v>ON1</v>
      </c>
      <c r="H260" s="11" t="s">
        <v>21</v>
      </c>
      <c r="I260" s="11" t="s">
        <v>74</v>
      </c>
      <c r="J260" s="11" t="str">
        <f>""</f>
        <v/>
      </c>
      <c r="K260" s="11" t="str">
        <f>"PFES1162578315_0001"</f>
        <v>PFES1162578315_0001</v>
      </c>
      <c r="L260" s="11">
        <v>1</v>
      </c>
      <c r="M260" s="11">
        <v>1</v>
      </c>
    </row>
    <row r="261" spans="1:13">
      <c r="A261" s="9">
        <v>43007</v>
      </c>
      <c r="B261" s="10">
        <v>0.4770833333333333</v>
      </c>
      <c r="C261" s="11" t="str">
        <f>"FES1162578327"</f>
        <v>FES1162578327</v>
      </c>
      <c r="D261" s="11" t="s">
        <v>19</v>
      </c>
      <c r="E261" s="11" t="s">
        <v>288</v>
      </c>
      <c r="F261" s="11" t="str">
        <f>"2170590384 "</f>
        <v xml:space="preserve">2170590384 </v>
      </c>
      <c r="G261" s="11" t="str">
        <f t="shared" si="10"/>
        <v>ON1</v>
      </c>
      <c r="H261" s="11" t="s">
        <v>21</v>
      </c>
      <c r="I261" s="11" t="s">
        <v>289</v>
      </c>
      <c r="J261" s="11" t="str">
        <f>""</f>
        <v/>
      </c>
      <c r="K261" s="11" t="str">
        <f>"PFES1162578327_0001"</f>
        <v>PFES1162578327_0001</v>
      </c>
      <c r="L261" s="11">
        <v>1</v>
      </c>
      <c r="M261" s="11">
        <v>1</v>
      </c>
    </row>
    <row r="262" spans="1:13">
      <c r="A262" s="9">
        <v>43007</v>
      </c>
      <c r="B262" s="10">
        <v>0.47638888888888892</v>
      </c>
      <c r="C262" s="11" t="str">
        <f>"FES1162578312"</f>
        <v>FES1162578312</v>
      </c>
      <c r="D262" s="11" t="s">
        <v>19</v>
      </c>
      <c r="E262" s="11" t="s">
        <v>290</v>
      </c>
      <c r="F262" s="11" t="str">
        <f>"2170591687 "</f>
        <v xml:space="preserve">2170591687 </v>
      </c>
      <c r="G262" s="11" t="str">
        <f t="shared" si="10"/>
        <v>ON1</v>
      </c>
      <c r="H262" s="11" t="s">
        <v>21</v>
      </c>
      <c r="I262" s="11" t="s">
        <v>193</v>
      </c>
      <c r="J262" s="11" t="str">
        <f>""</f>
        <v/>
      </c>
      <c r="K262" s="11" t="str">
        <f>"PFES1162578312_0001"</f>
        <v>PFES1162578312_0001</v>
      </c>
      <c r="L262" s="11">
        <v>1</v>
      </c>
      <c r="M262" s="11">
        <v>25</v>
      </c>
    </row>
    <row r="263" spans="1:13">
      <c r="A263" s="9">
        <v>43007</v>
      </c>
      <c r="B263" s="10">
        <v>0.47569444444444442</v>
      </c>
      <c r="C263" s="11" t="str">
        <f>"FES1162578323"</f>
        <v>FES1162578323</v>
      </c>
      <c r="D263" s="11" t="s">
        <v>19</v>
      </c>
      <c r="E263" s="11" t="s">
        <v>46</v>
      </c>
      <c r="F263" s="11" t="str">
        <f>"2170593075 "</f>
        <v xml:space="preserve">2170593075 </v>
      </c>
      <c r="G263" s="11" t="str">
        <f t="shared" si="10"/>
        <v>ON1</v>
      </c>
      <c r="H263" s="11" t="s">
        <v>21</v>
      </c>
      <c r="I263" s="11" t="s">
        <v>47</v>
      </c>
      <c r="J263" s="11" t="str">
        <f>""</f>
        <v/>
      </c>
      <c r="K263" s="11" t="str">
        <f>"PFES1162578323_0001"</f>
        <v>PFES1162578323_0001</v>
      </c>
      <c r="L263" s="11">
        <v>1</v>
      </c>
      <c r="M263" s="11">
        <v>1</v>
      </c>
    </row>
    <row r="264" spans="1:13">
      <c r="A264" s="9">
        <v>43007</v>
      </c>
      <c r="B264" s="10">
        <v>0.47569444444444442</v>
      </c>
      <c r="C264" s="11" t="str">
        <f>"FES1162578325"</f>
        <v>FES1162578325</v>
      </c>
      <c r="D264" s="11" t="s">
        <v>19</v>
      </c>
      <c r="E264" s="11" t="s">
        <v>288</v>
      </c>
      <c r="F264" s="11" t="str">
        <f>"2170593078 "</f>
        <v xml:space="preserve">2170593078 </v>
      </c>
      <c r="G264" s="11" t="str">
        <f t="shared" si="10"/>
        <v>ON1</v>
      </c>
      <c r="H264" s="11" t="s">
        <v>21</v>
      </c>
      <c r="I264" s="11" t="s">
        <v>289</v>
      </c>
      <c r="J264" s="11" t="str">
        <f>""</f>
        <v/>
      </c>
      <c r="K264" s="11" t="str">
        <f>"PFES1162578325_0001"</f>
        <v>PFES1162578325_0001</v>
      </c>
      <c r="L264" s="11">
        <v>1</v>
      </c>
      <c r="M264" s="11">
        <v>9</v>
      </c>
    </row>
    <row r="265" spans="1:13">
      <c r="A265" s="9">
        <v>43007</v>
      </c>
      <c r="B265" s="10">
        <v>0.47291666666666665</v>
      </c>
      <c r="C265" s="11" t="str">
        <f>"FES1162578449"</f>
        <v>FES1162578449</v>
      </c>
      <c r="D265" s="11" t="s">
        <v>19</v>
      </c>
      <c r="E265" s="11" t="s">
        <v>291</v>
      </c>
      <c r="F265" s="11" t="str">
        <f>"2170591920 "</f>
        <v xml:space="preserve">2170591920 </v>
      </c>
      <c r="G265" s="11" t="str">
        <f t="shared" si="10"/>
        <v>ON1</v>
      </c>
      <c r="H265" s="11" t="s">
        <v>21</v>
      </c>
      <c r="I265" s="11" t="s">
        <v>292</v>
      </c>
      <c r="J265" s="11" t="str">
        <f>""</f>
        <v/>
      </c>
      <c r="K265" s="11" t="str">
        <f>"PFES1162578449_0001"</f>
        <v>PFES1162578449_0001</v>
      </c>
      <c r="L265" s="11">
        <v>1</v>
      </c>
      <c r="M265" s="11">
        <v>2</v>
      </c>
    </row>
    <row r="266" spans="1:13">
      <c r="A266" s="9">
        <v>43007</v>
      </c>
      <c r="B266" s="10">
        <v>0.47222222222222227</v>
      </c>
      <c r="C266" s="11" t="str">
        <f>"FES1162578584"</f>
        <v>FES1162578584</v>
      </c>
      <c r="D266" s="11" t="s">
        <v>19</v>
      </c>
      <c r="E266" s="11" t="s">
        <v>293</v>
      </c>
      <c r="F266" s="11" t="str">
        <f>"2170593177 "</f>
        <v xml:space="preserve">2170593177 </v>
      </c>
      <c r="G266" s="11" t="str">
        <f>"DBC"</f>
        <v>DBC</v>
      </c>
      <c r="H266" s="11" t="s">
        <v>21</v>
      </c>
      <c r="I266" s="11" t="s">
        <v>251</v>
      </c>
      <c r="J266" s="11" t="str">
        <f>""</f>
        <v/>
      </c>
      <c r="K266" s="11" t="str">
        <f>"PFES1162578584_0001"</f>
        <v>PFES1162578584_0001</v>
      </c>
      <c r="L266" s="11">
        <v>1</v>
      </c>
      <c r="M266" s="11">
        <v>26</v>
      </c>
    </row>
    <row r="267" spans="1:13">
      <c r="A267" s="9">
        <v>43007</v>
      </c>
      <c r="B267" s="10">
        <v>0.43541666666666662</v>
      </c>
      <c r="C267" s="11" t="str">
        <f>"FES1162578317"</f>
        <v>FES1162578317</v>
      </c>
      <c r="D267" s="11" t="s">
        <v>19</v>
      </c>
      <c r="E267" s="11" t="s">
        <v>294</v>
      </c>
      <c r="F267" s="11" t="str">
        <f>"2170592864 "</f>
        <v xml:space="preserve">2170592864 </v>
      </c>
      <c r="G267" s="11" t="str">
        <f t="shared" ref="G267:G272" si="11">"ON1"</f>
        <v>ON1</v>
      </c>
      <c r="H267" s="11" t="s">
        <v>21</v>
      </c>
      <c r="I267" s="11" t="s">
        <v>213</v>
      </c>
      <c r="J267" s="11" t="str">
        <f>""</f>
        <v/>
      </c>
      <c r="K267" s="11" t="str">
        <f>"PFES1162578317_0001"</f>
        <v>PFES1162578317_0001</v>
      </c>
      <c r="L267" s="11">
        <v>1</v>
      </c>
      <c r="M267" s="11">
        <v>1</v>
      </c>
    </row>
    <row r="268" spans="1:13">
      <c r="A268" s="9">
        <v>43007</v>
      </c>
      <c r="B268" s="10">
        <v>0.43333333333333335</v>
      </c>
      <c r="C268" s="11" t="str">
        <f>"FES1162578316"</f>
        <v>FES1162578316</v>
      </c>
      <c r="D268" s="11" t="s">
        <v>19</v>
      </c>
      <c r="E268" s="11" t="s">
        <v>295</v>
      </c>
      <c r="F268" s="11" t="str">
        <f>"2170592858 "</f>
        <v xml:space="preserve">2170592858 </v>
      </c>
      <c r="G268" s="11" t="str">
        <f t="shared" si="11"/>
        <v>ON1</v>
      </c>
      <c r="H268" s="11" t="s">
        <v>21</v>
      </c>
      <c r="I268" s="11" t="s">
        <v>296</v>
      </c>
      <c r="J268" s="11" t="str">
        <f>""</f>
        <v/>
      </c>
      <c r="K268" s="11" t="str">
        <f>"PFES1162578316_0001"</f>
        <v>PFES1162578316_0001</v>
      </c>
      <c r="L268" s="11">
        <v>1</v>
      </c>
      <c r="M268" s="11">
        <v>1</v>
      </c>
    </row>
    <row r="269" spans="1:13">
      <c r="A269" s="9">
        <v>43007</v>
      </c>
      <c r="B269" s="10">
        <v>0.43263888888888885</v>
      </c>
      <c r="C269" s="11" t="str">
        <f>"FES1162578326"</f>
        <v>FES1162578326</v>
      </c>
      <c r="D269" s="11" t="s">
        <v>19</v>
      </c>
      <c r="E269" s="11" t="s">
        <v>297</v>
      </c>
      <c r="F269" s="11" t="str">
        <f>"2170593079 "</f>
        <v xml:space="preserve">2170593079 </v>
      </c>
      <c r="G269" s="11" t="str">
        <f t="shared" si="11"/>
        <v>ON1</v>
      </c>
      <c r="H269" s="11" t="s">
        <v>21</v>
      </c>
      <c r="I269" s="11" t="s">
        <v>298</v>
      </c>
      <c r="J269" s="11" t="str">
        <f>""</f>
        <v/>
      </c>
      <c r="K269" s="11" t="str">
        <f>"PFES1162578326_0001"</f>
        <v>PFES1162578326_0001</v>
      </c>
      <c r="L269" s="11">
        <v>1</v>
      </c>
      <c r="M269" s="11">
        <v>1</v>
      </c>
    </row>
    <row r="270" spans="1:13">
      <c r="A270" s="9">
        <v>43007</v>
      </c>
      <c r="B270" s="10">
        <v>0.42569444444444443</v>
      </c>
      <c r="C270" s="11" t="str">
        <f>"FES1162578334"</f>
        <v>FES1162578334</v>
      </c>
      <c r="D270" s="11" t="s">
        <v>19</v>
      </c>
      <c r="E270" s="11" t="s">
        <v>299</v>
      </c>
      <c r="F270" s="11" t="str">
        <f>"2170593101 "</f>
        <v xml:space="preserve">2170593101 </v>
      </c>
      <c r="G270" s="11" t="str">
        <f t="shared" si="11"/>
        <v>ON1</v>
      </c>
      <c r="H270" s="11" t="s">
        <v>21</v>
      </c>
      <c r="I270" s="11" t="s">
        <v>300</v>
      </c>
      <c r="J270" s="11" t="str">
        <f>""</f>
        <v/>
      </c>
      <c r="K270" s="11" t="str">
        <f>"PFES1162578334_0001"</f>
        <v>PFES1162578334_0001</v>
      </c>
      <c r="L270" s="11">
        <v>1</v>
      </c>
      <c r="M270" s="11">
        <v>1</v>
      </c>
    </row>
    <row r="271" spans="1:13">
      <c r="A271" s="9">
        <v>43007</v>
      </c>
      <c r="B271" s="10">
        <v>0.42430555555555555</v>
      </c>
      <c r="C271" s="11" t="str">
        <f>"FES1162578348"</f>
        <v>FES1162578348</v>
      </c>
      <c r="D271" s="11" t="s">
        <v>19</v>
      </c>
      <c r="E271" s="11" t="s">
        <v>301</v>
      </c>
      <c r="F271" s="11" t="str">
        <f>"2170593122 "</f>
        <v xml:space="preserve">2170593122 </v>
      </c>
      <c r="G271" s="11" t="str">
        <f t="shared" si="11"/>
        <v>ON1</v>
      </c>
      <c r="H271" s="11" t="s">
        <v>21</v>
      </c>
      <c r="I271" s="11" t="s">
        <v>302</v>
      </c>
      <c r="J271" s="11" t="str">
        <f>""</f>
        <v/>
      </c>
      <c r="K271" s="11" t="str">
        <f>"PFES1162578348_0001"</f>
        <v>PFES1162578348_0001</v>
      </c>
      <c r="L271" s="11">
        <v>1</v>
      </c>
      <c r="M271" s="11">
        <v>1</v>
      </c>
    </row>
    <row r="272" spans="1:13">
      <c r="A272" s="9">
        <v>43007</v>
      </c>
      <c r="B272" s="10">
        <v>0.4236111111111111</v>
      </c>
      <c r="C272" s="11" t="str">
        <f>"FES1162578307"</f>
        <v>FES1162578307</v>
      </c>
      <c r="D272" s="11" t="s">
        <v>19</v>
      </c>
      <c r="E272" s="11" t="s">
        <v>303</v>
      </c>
      <c r="F272" s="11" t="str">
        <f>"2170588497 "</f>
        <v xml:space="preserve">2170588497 </v>
      </c>
      <c r="G272" s="11" t="str">
        <f t="shared" si="11"/>
        <v>ON1</v>
      </c>
      <c r="H272" s="11" t="s">
        <v>21</v>
      </c>
      <c r="I272" s="11" t="s">
        <v>304</v>
      </c>
      <c r="J272" s="11" t="str">
        <f>""</f>
        <v/>
      </c>
      <c r="K272" s="11" t="str">
        <f>"PFES1162578307_0001"</f>
        <v>PFES1162578307_0001</v>
      </c>
      <c r="L272" s="11">
        <v>1</v>
      </c>
      <c r="M272" s="11">
        <v>1</v>
      </c>
    </row>
    <row r="273" spans="1:13">
      <c r="A273" s="9">
        <v>43007</v>
      </c>
      <c r="B273" s="10">
        <v>0.42152777777777778</v>
      </c>
      <c r="C273" s="11" t="str">
        <f>"FES1162578308"</f>
        <v>FES1162578308</v>
      </c>
      <c r="D273" s="11" t="s">
        <v>19</v>
      </c>
      <c r="E273" s="11" t="s">
        <v>305</v>
      </c>
      <c r="F273" s="11" t="str">
        <f>"2170588716 "</f>
        <v xml:space="preserve">2170588716 </v>
      </c>
      <c r="G273" s="11" t="str">
        <f>"DBC"</f>
        <v>DBC</v>
      </c>
      <c r="H273" s="11" t="s">
        <v>21</v>
      </c>
      <c r="I273" s="11" t="s">
        <v>306</v>
      </c>
      <c r="J273" s="11" t="str">
        <f>""</f>
        <v/>
      </c>
      <c r="K273" s="11" t="str">
        <f>"PFES1162578308_0001"</f>
        <v>PFES1162578308_0001</v>
      </c>
      <c r="L273" s="11">
        <v>1</v>
      </c>
      <c r="M273" s="11">
        <v>24</v>
      </c>
    </row>
    <row r="274" spans="1:13">
      <c r="A274" s="9">
        <v>43007</v>
      </c>
      <c r="B274" s="10">
        <v>0.42083333333333334</v>
      </c>
      <c r="C274" s="11" t="str">
        <f>"FES1162578339"</f>
        <v>FES1162578339</v>
      </c>
      <c r="D274" s="11" t="s">
        <v>19</v>
      </c>
      <c r="E274" s="11" t="s">
        <v>307</v>
      </c>
      <c r="F274" s="11" t="str">
        <f>"2170593109 "</f>
        <v xml:space="preserve">2170593109 </v>
      </c>
      <c r="G274" s="11" t="str">
        <f>"ON1"</f>
        <v>ON1</v>
      </c>
      <c r="H274" s="11" t="s">
        <v>21</v>
      </c>
      <c r="I274" s="11" t="s">
        <v>177</v>
      </c>
      <c r="J274" s="11" t="str">
        <f>""</f>
        <v/>
      </c>
      <c r="K274" s="11" t="str">
        <f>"PFES1162578339_0001"</f>
        <v>PFES1162578339_0001</v>
      </c>
      <c r="L274" s="11">
        <v>1</v>
      </c>
      <c r="M274" s="11">
        <v>4</v>
      </c>
    </row>
    <row r="275" spans="1:13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 t="s">
        <v>308</v>
      </c>
      <c r="L275" s="11">
        <f>SUM(L6:L274)</f>
        <v>281</v>
      </c>
      <c r="M275" s="11">
        <f>SUM(M6:M274)</f>
        <v>830</v>
      </c>
    </row>
  </sheetData>
  <mergeCells count="1">
    <mergeCell ref="C1:E1"/>
  </mergeCells>
  <pageMargins left="0.75" right="0.75" top="1" bottom="1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2017-09-29T17:07:00Z</dcterms:created>
  <dcterms:modified xsi:type="dcterms:W3CDTF">2017-09-29T17:09:11Z</dcterms:modified>
</cp:coreProperties>
</file>