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cintosch\Documents\Oct MA Inv 2016\SKYNET\Final FMR\Final\"/>
    </mc:Choice>
  </mc:AlternateContent>
  <bookViews>
    <workbookView xWindow="0" yWindow="0" windowWidth="20490" windowHeight="7670"/>
  </bookViews>
  <sheets>
    <sheet name="C17924" sheetId="1" r:id="rId1"/>
  </sheets>
  <calcPr calcId="162913"/>
</workbook>
</file>

<file path=xl/calcChain.xml><?xml version="1.0" encoding="utf-8"?>
<calcChain xmlns="http://schemas.openxmlformats.org/spreadsheetml/2006/main">
  <c r="P3013" i="1" l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<sst xmlns="http://schemas.openxmlformats.org/spreadsheetml/2006/main" count="56556" uniqueCount="2705">
  <si>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</si>
  <si>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</si>
  <si>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</si>
  <si>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</si>
  <si>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</si>
  <si>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</si>
  <si>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</si>
  <si>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</si>
  <si>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</si>
  <si>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</si>
  <si>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</si>
  <si>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</si>
  <si>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</si>
  <si>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</si>
  <si>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</si>
  <si>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</si>
  <si>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</si>
  <si>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</si>
  <si>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</si>
  <si>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</si>
  <si>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</si>
  <si>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</si>
  <si>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</si>
  <si>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</si>
  <si>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</si>
  <si>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</si>
  <si>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</si>
  <si>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</si>
  <si>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</si>
  <si>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</si>
  <si>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</si>
  <si>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</si>
  <si>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</si>
  <si>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</si>
  <si>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</si>
  <si>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</si>
  <si>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</si>
  <si>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</si>
  <si>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</si>
  <si>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</si>
  <si>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</si>
  <si>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</si>
  <si>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</si>
  <si>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</si>
  <si>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</si>
  <si>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</si>
  <si>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</si>
  <si>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</si>
  <si>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</si>
  <si>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</si>
  <si>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</si>
  <si>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</si>
  <si>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</si>
  <si>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</si>
  <si>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</si>
  <si>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</si>
  <si>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</si>
  <si>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</si>
  <si>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</si>
  <si>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</si>
  <si>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</si>
  <si>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</si>
  <si>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</si>
  <si>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</si>
  <si>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</si>
  <si>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</si>
  <si>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</si>
  <si>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</si>
  <si>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</si>
  <si>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</si>
  <si>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</si>
  <si>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</si>
  <si>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 xml:space="preserve">MA -FESTO DIRECT DELIVERIES        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</si>
  <si>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</si>
  <si>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</si>
  <si>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</si>
  <si>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</si>
  <si>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</si>
  <si>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VEREE</t>
  </si>
  <si>
    <t>VEREENIGING</t>
  </si>
  <si>
    <t xml:space="preserve">PREMIER FMCG                       </t>
  </si>
  <si>
    <t>RD</t>
  </si>
  <si>
    <t>RECIEVING</t>
  </si>
  <si>
    <t>Lombard Mokgabudi</t>
  </si>
  <si>
    <t>sign</t>
  </si>
  <si>
    <t>yes</t>
  </si>
  <si>
    <t>PARCEL</t>
  </si>
  <si>
    <t>RDR</t>
  </si>
  <si>
    <t>no</t>
  </si>
  <si>
    <t xml:space="preserve">CHEMLINK SA (PTY) LTD              </t>
  </si>
  <si>
    <t>FRAGILE - OILS INSIDE THE BOX</t>
  </si>
  <si>
    <t>RECEIVING</t>
  </si>
  <si>
    <t>Flyer PARCEL Flyer PARCEL</t>
  </si>
  <si>
    <t>UMHLA</t>
  </si>
  <si>
    <t>UMHLANGA ROCKS</t>
  </si>
  <si>
    <t xml:space="preserve">SA SUGAR ASSOCIATION               </t>
  </si>
  <si>
    <t>ON1</t>
  </si>
  <si>
    <t>R RANGAN</t>
  </si>
  <si>
    <t>PORT3</t>
  </si>
  <si>
    <t>PORT ELIZABETH</t>
  </si>
  <si>
    <t xml:space="preserve">MAHLE BEHR SOUTH AFRICA (PTY)      </t>
  </si>
  <si>
    <t>JACO</t>
  </si>
  <si>
    <t>BAKKER</t>
  </si>
  <si>
    <t>Flyer Flyer</t>
  </si>
  <si>
    <t xml:space="preserve">EXCEL TOOLING                      </t>
  </si>
  <si>
    <t>GWEN</t>
  </si>
  <si>
    <t>gwen</t>
  </si>
  <si>
    <t>POD received from cell 0784385207 M</t>
  </si>
  <si>
    <t>Flyer</t>
  </si>
  <si>
    <t xml:space="preserve">JENDAMARK AUTOMATION PTY LTD       </t>
  </si>
  <si>
    <t>CARRISTON</t>
  </si>
  <si>
    <t>carriston</t>
  </si>
  <si>
    <t xml:space="preserve">SDM MANUFACTURING CC               </t>
  </si>
  <si>
    <t>anton</t>
  </si>
  <si>
    <t>SOME1</t>
  </si>
  <si>
    <t>SOMERSET EAST</t>
  </si>
  <si>
    <t xml:space="preserve">P.J.ENGINEERING                    </t>
  </si>
  <si>
    <t>RECIEVER</t>
  </si>
  <si>
    <t>a witbooi</t>
  </si>
  <si>
    <t>UITEN</t>
  </si>
  <si>
    <t>UITENHAGE</t>
  </si>
  <si>
    <t xml:space="preserve">ANALOG   DIGITAL POWER ELECTRO     </t>
  </si>
  <si>
    <t>AMANDA</t>
  </si>
  <si>
    <t>ANTON</t>
  </si>
  <si>
    <t>STRAN</t>
  </si>
  <si>
    <t>STRAND</t>
  </si>
  <si>
    <t xml:space="preserve">STRANDFOAM GROUP (PTY) LTD         </t>
  </si>
  <si>
    <t>CHRIS</t>
  </si>
  <si>
    <t xml:space="preserve">jaobus                        </t>
  </si>
  <si>
    <t xml:space="preserve">                                        </t>
  </si>
  <si>
    <t xml:space="preserve">FILTEC AUTOMATION PTY LTD          </t>
  </si>
  <si>
    <t>Pooven   Darren</t>
  </si>
  <si>
    <t>vinessan</t>
  </si>
  <si>
    <t xml:space="preserve">CONTINENTAL TYRE SA                </t>
  </si>
  <si>
    <t>OSCAR   ENGINEERING STORES</t>
  </si>
  <si>
    <t xml:space="preserve">eric                          </t>
  </si>
  <si>
    <t xml:space="preserve">POD received from cell 0740612985 M     </t>
  </si>
  <si>
    <t>PIET1</t>
  </si>
  <si>
    <t>PIETERMARITZBURG</t>
  </si>
  <si>
    <t xml:space="preserve">PRESSURE DIE CASTINGS PTY LTD      </t>
  </si>
  <si>
    <t>roy</t>
  </si>
  <si>
    <t xml:space="preserve">akshay                        </t>
  </si>
  <si>
    <t xml:space="preserve">POD received from cell 0829778480 M     </t>
  </si>
  <si>
    <t>EAST</t>
  </si>
  <si>
    <t>EAST LONDON</t>
  </si>
  <si>
    <t xml:space="preserve">SMA ENGINEERING S.A. (PTY) LTD     </t>
  </si>
  <si>
    <t>eddie</t>
  </si>
  <si>
    <t>POD received from cell 0732611486 M</t>
  </si>
  <si>
    <t>DURBA</t>
  </si>
  <si>
    <t>DURBAN</t>
  </si>
  <si>
    <t xml:space="preserve">GREEN ENGINEERING                  </t>
  </si>
  <si>
    <t>Hilton Green</t>
  </si>
  <si>
    <t xml:space="preserve">sheldon                       </t>
  </si>
  <si>
    <t>PAARL</t>
  </si>
  <si>
    <t xml:space="preserve">ACK SOLUTIONS PTY LTD              </t>
  </si>
  <si>
    <t>johan</t>
  </si>
  <si>
    <t>SOME2</t>
  </si>
  <si>
    <t>SOMERSET WEST</t>
  </si>
  <si>
    <t xml:space="preserve">SOUTHERN PULP MACHINERY            </t>
  </si>
  <si>
    <t xml:space="preserve">bronwan                       </t>
  </si>
  <si>
    <t>CAPET</t>
  </si>
  <si>
    <t>CAPE TOWN</t>
  </si>
  <si>
    <t xml:space="preserve">SCHULLPAK CC                       </t>
  </si>
  <si>
    <t>Grant</t>
  </si>
  <si>
    <t>LAUREN</t>
  </si>
  <si>
    <t>Outlying delivery location</t>
  </si>
  <si>
    <t>sat</t>
  </si>
  <si>
    <t xml:space="preserve">BELGOTEX FLOORCOVERINGS PTY LT     </t>
  </si>
  <si>
    <t>RECEIVER</t>
  </si>
  <si>
    <t>nazeem</t>
  </si>
  <si>
    <t>POD received from cell 0829778480 M</t>
  </si>
  <si>
    <t>DESPA</t>
  </si>
  <si>
    <t>DESPATCH</t>
  </si>
  <si>
    <t xml:space="preserve">BORBET SA (PTY) LTD                </t>
  </si>
  <si>
    <t>HELENA</t>
  </si>
  <si>
    <t>adrian</t>
  </si>
  <si>
    <t xml:space="preserve">HYFLO SOUTHERN AFRICA (PTY) LT     </t>
  </si>
  <si>
    <t>Kelsey Noble</t>
  </si>
  <si>
    <t>randy</t>
  </si>
  <si>
    <t xml:space="preserve">HYDROMATIC                         </t>
  </si>
  <si>
    <t>PETER</t>
  </si>
  <si>
    <t>justin</t>
  </si>
  <si>
    <t xml:space="preserve">PRODUCTIVE ENGINEERING CC          </t>
  </si>
  <si>
    <t>NICCY</t>
  </si>
  <si>
    <t xml:space="preserve">PROGETTO INTERNATIONAL             </t>
  </si>
  <si>
    <t>JEFF</t>
  </si>
  <si>
    <t xml:space="preserve">GOODYEAR SOUTH AFRICA PTY LTD      </t>
  </si>
  <si>
    <t>RYAN GALLAND</t>
  </si>
  <si>
    <t>ARCHIE</t>
  </si>
  <si>
    <t xml:space="preserve">FESTO                              </t>
  </si>
  <si>
    <t xml:space="preserve">FORD MOTOR CO. SA MANUFACTURIN     </t>
  </si>
  <si>
    <t>SDX</t>
  </si>
  <si>
    <t>SDX DELIVERY CONTACT ZANELE MNGAZA 041 406 7356</t>
  </si>
  <si>
    <t>ZANELE MNGAZA</t>
  </si>
  <si>
    <t>LOMBARD MOKGABUDI</t>
  </si>
  <si>
    <t xml:space="preserve">sindiswa                      </t>
  </si>
  <si>
    <t>FUE / DSD</t>
  </si>
  <si>
    <t xml:space="preserve">TOYOTA SA MOTORS PTY LTD           </t>
  </si>
  <si>
    <t>CHARLES NAIDOO</t>
  </si>
  <si>
    <t>jabulani</t>
  </si>
  <si>
    <t xml:space="preserve">H.G MOLENAAR (PTY) LTD             </t>
  </si>
  <si>
    <t>MARELISE</t>
  </si>
  <si>
    <t>porchia</t>
  </si>
  <si>
    <t xml:space="preserve">EGLI PRECISION ENGINEERING PTY     </t>
  </si>
  <si>
    <t xml:space="preserve">thushni                       </t>
  </si>
  <si>
    <t xml:space="preserve">POD received from cell 0829302253 M     </t>
  </si>
  <si>
    <t xml:space="preserve">nazeem                        </t>
  </si>
  <si>
    <t>ISIPI</t>
  </si>
  <si>
    <t>ISIPINGO</t>
  </si>
  <si>
    <t xml:space="preserve">TOYOTA SA MOTORS                   </t>
  </si>
  <si>
    <t>stamp</t>
  </si>
  <si>
    <t xml:space="preserve">TIGER CONSUMER BRANDS              </t>
  </si>
  <si>
    <t>Naomi</t>
  </si>
  <si>
    <t xml:space="preserve">FESTO PLZ                          </t>
  </si>
  <si>
    <t>JANE ERASMUS</t>
  </si>
  <si>
    <t>erasmud</t>
  </si>
  <si>
    <t xml:space="preserve">HACKMACK ENTERPRISES               </t>
  </si>
  <si>
    <t>james</t>
  </si>
  <si>
    <t>STEL2</t>
  </si>
  <si>
    <t>STELLENBOSCH</t>
  </si>
  <si>
    <t xml:space="preserve">TF DESIGN (PTY) LTD                </t>
  </si>
  <si>
    <t>JOHANNA</t>
  </si>
  <si>
    <t>Missed cutoff</t>
  </si>
  <si>
    <t>elw</t>
  </si>
  <si>
    <t xml:space="preserve">CLURE PROJECTS CC                  </t>
  </si>
  <si>
    <t>DERICK</t>
  </si>
  <si>
    <t xml:space="preserve">nathan                        </t>
  </si>
  <si>
    <t xml:space="preserve">CONRO PRECISION                    </t>
  </si>
  <si>
    <t>KEVIN</t>
  </si>
  <si>
    <t>POD received from cell 0792877724 M</t>
  </si>
  <si>
    <t xml:space="preserve">NEDBANK (NEDFLEET)                 </t>
  </si>
  <si>
    <t>TREVOR MOODLEY</t>
  </si>
  <si>
    <t>BLESSING JACA</t>
  </si>
  <si>
    <t xml:space="preserve">PREMIER FOODS LTD                  </t>
  </si>
  <si>
    <t>Simo Qwabe</t>
  </si>
  <si>
    <t>ANELE</t>
  </si>
  <si>
    <t xml:space="preserve">FESTO CPT                          </t>
  </si>
  <si>
    <t>PIETER RAUBENHEIMER</t>
  </si>
  <si>
    <t>illeg</t>
  </si>
  <si>
    <t xml:space="preserve">TI GROUP AUTOMOTIVE SYSTEMS (P     </t>
  </si>
  <si>
    <t>FAROUK ADAMS</t>
  </si>
  <si>
    <t xml:space="preserve">m nel                         </t>
  </si>
  <si>
    <t xml:space="preserve">G.U.D. HOLDINGS (PTY) LTD          </t>
  </si>
  <si>
    <t>condand</t>
  </si>
  <si>
    <t xml:space="preserve">BIO CAPSULE PHARMACEUTICALS        </t>
  </si>
  <si>
    <t>nicky</t>
  </si>
  <si>
    <t xml:space="preserve">MSG SYSTEMS                        </t>
  </si>
  <si>
    <t>MARK</t>
  </si>
  <si>
    <t>SYLVIA</t>
  </si>
  <si>
    <t>Incorrect route allocation</t>
  </si>
  <si>
    <t>nlg</t>
  </si>
  <si>
    <t xml:space="preserve">CTP PRINTERS CPT                   </t>
  </si>
  <si>
    <t>N AFRICA</t>
  </si>
  <si>
    <t>LADYS</t>
  </si>
  <si>
    <t>LADYSMITH (NTL)</t>
  </si>
  <si>
    <t xml:space="preserve">LADYSMITH TRADING CO.              </t>
  </si>
  <si>
    <t xml:space="preserve">RIA                           </t>
  </si>
  <si>
    <t>PARCEL PARCEL</t>
  </si>
  <si>
    <t>LYDIA PRESTON</t>
  </si>
  <si>
    <t>leon</t>
  </si>
  <si>
    <t>WORCE</t>
  </si>
  <si>
    <t>WORCESTER</t>
  </si>
  <si>
    <t xml:space="preserve">RAINBOW FARMS (PTY) LTD - WOR      </t>
  </si>
  <si>
    <t>M ZUMA</t>
  </si>
  <si>
    <t>POD received from cell 0723786860 M</t>
  </si>
  <si>
    <t xml:space="preserve">PIONEER FOODS (PTY) LTD            </t>
  </si>
  <si>
    <t>vijay</t>
  </si>
  <si>
    <t xml:space="preserve">CIM SYSTEMS                        </t>
  </si>
  <si>
    <t>BJORN</t>
  </si>
  <si>
    <t>PINET</t>
  </si>
  <si>
    <t>PINETOWN</t>
  </si>
  <si>
    <t xml:space="preserve">IMANA FOODS SA (PTY) LTD           </t>
  </si>
  <si>
    <t>norman</t>
  </si>
  <si>
    <t xml:space="preserve">MERCEDES BENZ SOUTH AFRICA LIM     </t>
  </si>
  <si>
    <t>BUHLEKAZI MKHIZE</t>
  </si>
  <si>
    <t>ronnie</t>
  </si>
  <si>
    <t>quinton</t>
  </si>
  <si>
    <t>Late linehaul</t>
  </si>
  <si>
    <t>bbt</t>
  </si>
  <si>
    <t xml:space="preserve">ACEPAK PACKAGING SYSTEMS           </t>
  </si>
  <si>
    <t>DAVID</t>
  </si>
  <si>
    <t>F THORNE</t>
  </si>
  <si>
    <t xml:space="preserve">BREEDEVALLEY HAYDRAULICS CC T      </t>
  </si>
  <si>
    <t>S LAMBRECHTS</t>
  </si>
  <si>
    <t xml:space="preserve">PAILPAC PTY LTD                    </t>
  </si>
  <si>
    <t>shaun</t>
  </si>
  <si>
    <t>SASOL</t>
  </si>
  <si>
    <t>SASOLBURG</t>
  </si>
  <si>
    <t xml:space="preserve">ALBANY BAKERIES                    </t>
  </si>
  <si>
    <t>DIRK COETZEE</t>
  </si>
  <si>
    <t>annah</t>
  </si>
  <si>
    <t xml:space="preserve">CLIFFORD WELDING SYSTEMS PTY L     </t>
  </si>
  <si>
    <t xml:space="preserve">sthembiso                     </t>
  </si>
  <si>
    <t xml:space="preserve">FESTO DUR OFFICE                   </t>
  </si>
  <si>
    <t>STRINI PERUMAL</t>
  </si>
  <si>
    <t>jason</t>
  </si>
  <si>
    <t xml:space="preserve">BAGTECH INTERNATIONAL PTY LTD      </t>
  </si>
  <si>
    <t>fred</t>
  </si>
  <si>
    <t>t khathi</t>
  </si>
  <si>
    <t xml:space="preserve">NATIONAL PACKAGING SYSTEMS         </t>
  </si>
  <si>
    <t>VERONICA</t>
  </si>
  <si>
    <t>darrel</t>
  </si>
  <si>
    <t xml:space="preserve">SIGNAL INSTRUMENTATION CC          </t>
  </si>
  <si>
    <t>FAAN</t>
  </si>
  <si>
    <t>faan</t>
  </si>
  <si>
    <t>GRAHA</t>
  </si>
  <si>
    <t>GRAHAMSTOWN</t>
  </si>
  <si>
    <t xml:space="preserve">GRAHAMSTOWN BRICK PTL LTD          </t>
  </si>
  <si>
    <t>HEIMISH</t>
  </si>
  <si>
    <t>HANNES</t>
  </si>
  <si>
    <t>UMKOM</t>
  </si>
  <si>
    <t>UMKOMAAS</t>
  </si>
  <si>
    <t xml:space="preserve">SAPPI SA LTD                       </t>
  </si>
  <si>
    <t>sizwe</t>
  </si>
  <si>
    <t xml:space="preserve">BMS ENGINEERING                    </t>
  </si>
  <si>
    <t>t willan</t>
  </si>
  <si>
    <t>POD received from cell 0792878238 M</t>
  </si>
  <si>
    <t xml:space="preserve">NESTLE SOUTH AFRICA (PTY) LTD      </t>
  </si>
  <si>
    <t>TREVOR GROENEWALD</t>
  </si>
  <si>
    <t>vuyelwa</t>
  </si>
  <si>
    <t xml:space="preserve">FELTEX AUTOMOTIVE DIVISION         </t>
  </si>
  <si>
    <t xml:space="preserve">londiwe                       </t>
  </si>
  <si>
    <t>zimasa</t>
  </si>
  <si>
    <t>BLOE1</t>
  </si>
  <si>
    <t>BLOEMFONTEIN</t>
  </si>
  <si>
    <t xml:space="preserve">HYFLO SA PTY LTD                   </t>
  </si>
  <si>
    <t>raymond</t>
  </si>
  <si>
    <t>ARCHIC</t>
  </si>
  <si>
    <t>RTS RFER fes1162504038</t>
  </si>
  <si>
    <t>Returned to sender on waybill number RFE</t>
  </si>
  <si>
    <t xml:space="preserve">DIGN ENGINEERING                   </t>
  </si>
  <si>
    <t>MARCEL@DESIGN</t>
  </si>
  <si>
    <t xml:space="preserve">Bongani                       </t>
  </si>
  <si>
    <t xml:space="preserve">POD received from cell 0725929193 M     </t>
  </si>
  <si>
    <t xml:space="preserve">WASSERTEC OZONE SYSTEMS            </t>
  </si>
  <si>
    <t>CHUMA</t>
  </si>
  <si>
    <t>RTS REFER Rfes1162504051</t>
  </si>
  <si>
    <t xml:space="preserve">BENTELER AUTOMOTIVE SA (PTY) L     </t>
  </si>
  <si>
    <t>Bertina Bekker Busie Ngwalangw</t>
  </si>
  <si>
    <t>BELLOANA MICHAELS</t>
  </si>
  <si>
    <t xml:space="preserve">UMICORE CATALYST SA PTY LTD        </t>
  </si>
  <si>
    <t>BRANDON   ANDY</t>
  </si>
  <si>
    <t>c posch</t>
  </si>
  <si>
    <t xml:space="preserve">FILMATIC PACKAGING SYSTEM (PTY     </t>
  </si>
  <si>
    <t>LIZELLE</t>
  </si>
  <si>
    <t>ras</t>
  </si>
  <si>
    <t>Flyer PARCEL</t>
  </si>
  <si>
    <t xml:space="preserve">G.R.W ENGINEERING (PTY) LTD        </t>
  </si>
  <si>
    <t>TARRYN</t>
  </si>
  <si>
    <t>UNCHECKED</t>
  </si>
  <si>
    <t xml:space="preserve">S4 AUTOMATION (PTY) LTD            </t>
  </si>
  <si>
    <t>Phillip Breytenbach</t>
  </si>
  <si>
    <t>dwain</t>
  </si>
  <si>
    <t xml:space="preserve">HYDRAQUIP                          </t>
  </si>
  <si>
    <t>ERECH</t>
  </si>
  <si>
    <t>LE RICHE</t>
  </si>
  <si>
    <t>jmm</t>
  </si>
  <si>
    <t xml:space="preserve">FAIR PLASTICS PACKAGING            </t>
  </si>
  <si>
    <t>Redewaan Ryklief</t>
  </si>
  <si>
    <t>EDWINA</t>
  </si>
  <si>
    <t xml:space="preserve">jundre                        </t>
  </si>
  <si>
    <t>HEID2</t>
  </si>
  <si>
    <t>HEIDELBERG (TVL)</t>
  </si>
  <si>
    <t xml:space="preserve">BRITISH AMERICAN TOBACCO SA (P     </t>
  </si>
  <si>
    <t>PRODUCTION PLANT</t>
  </si>
  <si>
    <t>SBUSISO DLADLA</t>
  </si>
  <si>
    <t>RDD</t>
  </si>
  <si>
    <t>richard</t>
  </si>
  <si>
    <t>BOX</t>
  </si>
  <si>
    <t xml:space="preserve">PHARMACARE LTD T A ASPEN           </t>
  </si>
  <si>
    <t>GARETH</t>
  </si>
  <si>
    <t>charles</t>
  </si>
  <si>
    <t>HEILB</t>
  </si>
  <si>
    <t>HEILBRON</t>
  </si>
  <si>
    <t xml:space="preserve">PAKWORKS (PTY) LTD                 </t>
  </si>
  <si>
    <t>Theuns Botha</t>
  </si>
  <si>
    <t>EILEEN</t>
  </si>
  <si>
    <t>GEORG</t>
  </si>
  <si>
    <t>GEORGE</t>
  </si>
  <si>
    <t xml:space="preserve">SANMIK AGENCIES CC                 </t>
  </si>
  <si>
    <t>URGENT COLLECTION READY NOW AND CLOSING BEFORE 17H00</t>
  </si>
  <si>
    <t>LOMBARD</t>
  </si>
  <si>
    <t>THEO</t>
  </si>
  <si>
    <t>URGENT COLLECTION READY NOW CLOSING BEFORE 16H00</t>
  </si>
  <si>
    <t>Charles Seliki</t>
  </si>
  <si>
    <t xml:space="preserve">MECHANICAL CONCEPTS                </t>
  </si>
  <si>
    <t>TREVOR V D WALT</t>
  </si>
  <si>
    <t>LOMBAARDT</t>
  </si>
  <si>
    <t>TREVOR</t>
  </si>
  <si>
    <t xml:space="preserve">GEDORE TOOLS (PTY) LTD             </t>
  </si>
  <si>
    <t>bongani</t>
  </si>
  <si>
    <t xml:space="preserve">PARMALAT (PTY) LTD                 </t>
  </si>
  <si>
    <t>SDX DELIVERY</t>
  </si>
  <si>
    <t>SCHALK LOEDOLFF</t>
  </si>
  <si>
    <t>LESERO</t>
  </si>
  <si>
    <t>DSD / FUE</t>
  </si>
  <si>
    <t xml:space="preserve">UNILIVER SA PTY LTD                </t>
  </si>
  <si>
    <t>nalan</t>
  </si>
  <si>
    <t xml:space="preserve">VAN NIEKERK PACKAING               </t>
  </si>
  <si>
    <t xml:space="preserve">LINDSAY                       </t>
  </si>
  <si>
    <t>BONG S</t>
  </si>
  <si>
    <t>MOSSE</t>
  </si>
  <si>
    <t>MOSSEL BAY</t>
  </si>
  <si>
    <t xml:space="preserve">THE PETROLEUM OL   GAS             </t>
  </si>
  <si>
    <t>GRAHAM STEIN</t>
  </si>
  <si>
    <t>beaulah</t>
  </si>
  <si>
    <t>POD received from cell 0792802065 M</t>
  </si>
  <si>
    <t>j watt</t>
  </si>
  <si>
    <t>JANA MINAGIE</t>
  </si>
  <si>
    <t xml:space="preserve">FOXOLUTION SYSTEMS ENG CC          </t>
  </si>
  <si>
    <t>CAMIN</t>
  </si>
  <si>
    <t xml:space="preserve">ALL ENGINEERING SERVICES CC        </t>
  </si>
  <si>
    <t>Mario</t>
  </si>
  <si>
    <t>thandi</t>
  </si>
  <si>
    <t>UGIE</t>
  </si>
  <si>
    <t xml:space="preserve">PG BISON PTY LTD UGIE BOARD PL     </t>
  </si>
  <si>
    <t>ZIZIPHO</t>
  </si>
  <si>
    <t xml:space="preserve">REUTECH COMMUNICATIOS A DIVISI     </t>
  </si>
  <si>
    <t>ANAND MURUGAN</t>
  </si>
  <si>
    <t xml:space="preserve">THANDEKA                      </t>
  </si>
  <si>
    <t xml:space="preserve">COMMUTER TRANSPORT ENGINEERING     </t>
  </si>
  <si>
    <t xml:space="preserve">selwyn                        </t>
  </si>
  <si>
    <t xml:space="preserve">DIVFOOD A DIV OF NAMPAK PRODUC     </t>
  </si>
  <si>
    <t>MTHA</t>
  </si>
  <si>
    <t>joash</t>
  </si>
  <si>
    <t>Vehicle breakdown</t>
  </si>
  <si>
    <t>col</t>
  </si>
  <si>
    <t xml:space="preserve">GLEDHOW SUGAR CO. PTY LTD          </t>
  </si>
  <si>
    <t>sipho</t>
  </si>
  <si>
    <t xml:space="preserve">DKT   PARTNERS                     </t>
  </si>
  <si>
    <t>Quintin Bothma</t>
  </si>
  <si>
    <t>ILLEG</t>
  </si>
  <si>
    <t xml:space="preserve">MONDI LIMITED                      </t>
  </si>
  <si>
    <t>STAMP</t>
  </si>
  <si>
    <t>leriche</t>
  </si>
  <si>
    <t>gareth</t>
  </si>
  <si>
    <t>shane</t>
  </si>
  <si>
    <t>POD received from cell 0740612985 M</t>
  </si>
  <si>
    <t>42:79</t>
  </si>
  <si>
    <t>Returned to sender on waybill</t>
  </si>
  <si>
    <t>WERNER</t>
  </si>
  <si>
    <t xml:space="preserve">PRO PROJECT ENGINEERING            </t>
  </si>
  <si>
    <t>DIRK</t>
  </si>
  <si>
    <t>jandre</t>
  </si>
  <si>
    <t>MONTA</t>
  </si>
  <si>
    <t>MONTAGU</t>
  </si>
  <si>
    <t xml:space="preserve">CPT GENERAL                        </t>
  </si>
  <si>
    <t>saya</t>
  </si>
  <si>
    <t>werner</t>
  </si>
  <si>
    <t>rhan</t>
  </si>
  <si>
    <t>jerome</t>
  </si>
  <si>
    <t>POD received from cell 0745551516 M</t>
  </si>
  <si>
    <t xml:space="preserve">TONGAAT HULETT STARCH PTY LTD      </t>
  </si>
  <si>
    <t>MANIE ELS</t>
  </si>
  <si>
    <t xml:space="preserve">DESMOND                       </t>
  </si>
  <si>
    <t xml:space="preserve">NAMPAK LIQUID PACKAGING            </t>
  </si>
  <si>
    <t>pieter</t>
  </si>
  <si>
    <t>VEENA</t>
  </si>
  <si>
    <t>f ras</t>
  </si>
  <si>
    <t xml:space="preserve">YANFENG SA AUTOMOTIVE PTY          </t>
  </si>
  <si>
    <t>SIYA</t>
  </si>
  <si>
    <t>BONGANI</t>
  </si>
  <si>
    <t>Bad address</t>
  </si>
  <si>
    <t>GONUB</t>
  </si>
  <si>
    <t>GONUBIE</t>
  </si>
  <si>
    <t xml:space="preserve">AUTOPIPE (PTY) LTD                 </t>
  </si>
  <si>
    <t>t mano</t>
  </si>
  <si>
    <t>Bongani</t>
  </si>
  <si>
    <t>POD received from cell 0725929193 M</t>
  </si>
  <si>
    <t xml:space="preserve">siya                          </t>
  </si>
  <si>
    <t xml:space="preserve">FAURECIA EMISSIONS CONTROL TEC     </t>
  </si>
  <si>
    <t>CLEM GRUNWALD</t>
  </si>
  <si>
    <t>robert</t>
  </si>
  <si>
    <t xml:space="preserve">NR EXTREME ENGINEERING AND PIP     </t>
  </si>
  <si>
    <t>angelina</t>
  </si>
  <si>
    <t xml:space="preserve">FOXTEC-IKHWEZI PTY LTD             </t>
  </si>
  <si>
    <t>VUYO MALI</t>
  </si>
  <si>
    <t>tanya</t>
  </si>
  <si>
    <t>ERIC</t>
  </si>
  <si>
    <t xml:space="preserve">ACTISOL 110CC                      </t>
  </si>
  <si>
    <t>QUENTIN VAN REMOORTERE</t>
  </si>
  <si>
    <t>PRIEST</t>
  </si>
  <si>
    <t>POD received from cell 0717247668 M</t>
  </si>
  <si>
    <t xml:space="preserve">UNILEVER SOUTH AFRICA (PTY) LT     </t>
  </si>
  <si>
    <t>Yattish Jugaroop</t>
  </si>
  <si>
    <t xml:space="preserve">c b zuke                      </t>
  </si>
  <si>
    <t xml:space="preserve">SHUKELA TRAINING CENTRE P L        </t>
  </si>
  <si>
    <t>PLS EARLY DELIVERY BY 8:30AM</t>
  </si>
  <si>
    <t>NICOLE SRILALL</t>
  </si>
  <si>
    <t>cyril</t>
  </si>
  <si>
    <t>EAR / FUE</t>
  </si>
  <si>
    <t>HAMME</t>
  </si>
  <si>
    <t>OLD HAMMARSDALE</t>
  </si>
  <si>
    <t xml:space="preserve">RAINBOW FARMS PTY LTD P2           </t>
  </si>
  <si>
    <t>ENGINEERING STORES</t>
  </si>
  <si>
    <t>eneth</t>
  </si>
  <si>
    <t xml:space="preserve">FEDERAL MOGUL VALVES (PTY) LTD     </t>
  </si>
  <si>
    <t>PLS SATURDAY DELIVERY AT THE SECURITY GATE</t>
  </si>
  <si>
    <t>SHARLA   SECURITY</t>
  </si>
  <si>
    <t xml:space="preserve">musa                          </t>
  </si>
  <si>
    <t>SAT / FUE</t>
  </si>
  <si>
    <t xml:space="preserve">VAN NIEKERK PACKAGING SUPPORT      </t>
  </si>
  <si>
    <t>LINDSAY</t>
  </si>
  <si>
    <t>ATLAN</t>
  </si>
  <si>
    <t>ATLANTIS</t>
  </si>
  <si>
    <t xml:space="preserve">ATLANTIS FOUNDRY                   </t>
  </si>
  <si>
    <t>CO STAMP</t>
  </si>
  <si>
    <t xml:space="preserve">GOSSAMER STRUCTURES CC             </t>
  </si>
  <si>
    <t>LOUW</t>
  </si>
  <si>
    <t xml:space="preserve">F KRUGER                      </t>
  </si>
  <si>
    <t>HOWIC</t>
  </si>
  <si>
    <t>HOWICK</t>
  </si>
  <si>
    <t xml:space="preserve">TMD FRICTION SA PTY LTD            </t>
  </si>
  <si>
    <t>tess</t>
  </si>
  <si>
    <t xml:space="preserve">DIYA VALVES INTERNATIONALS CC      </t>
  </si>
  <si>
    <t>DIYAVI</t>
  </si>
  <si>
    <t>ladi</t>
  </si>
  <si>
    <t xml:space="preserve">VOLTEX DURBAN PTY LTD              </t>
  </si>
  <si>
    <t>JONNY</t>
  </si>
  <si>
    <t>RENE</t>
  </si>
  <si>
    <t>KARIN</t>
  </si>
  <si>
    <t xml:space="preserve">TIGER BRANDS SNACKS   TREATS       </t>
  </si>
  <si>
    <t>EDWINa</t>
  </si>
  <si>
    <t xml:space="preserve">SMITHS MANUFACTURING PTY LTD       </t>
  </si>
  <si>
    <t>SECURITY</t>
  </si>
  <si>
    <t>PRISHEN</t>
  </si>
  <si>
    <t xml:space="preserve">MAGNACORP 397 CC TA CONCEPT        </t>
  </si>
  <si>
    <t xml:space="preserve">neil                          </t>
  </si>
  <si>
    <t xml:space="preserve">B   E CONFERENCE   BUSINESS CE     </t>
  </si>
  <si>
    <t>DIDACTIC SHIPMENTS REQUESTED BY SAMY FESTO</t>
  </si>
  <si>
    <t>DEBBIE MAY</t>
  </si>
  <si>
    <t>saadiqa</t>
  </si>
  <si>
    <t xml:space="preserve">DK COURIERS                        </t>
  </si>
  <si>
    <t>ROZANO ALIE</t>
  </si>
  <si>
    <t>Melanie</t>
  </si>
  <si>
    <t>POD received from cell 0829064652 M</t>
  </si>
  <si>
    <t xml:space="preserve">COMPRESSED AIR EQUIPMENT           </t>
  </si>
  <si>
    <t>Hermanth</t>
  </si>
  <si>
    <t>deez</t>
  </si>
  <si>
    <t>chanelle</t>
  </si>
  <si>
    <t>baij</t>
  </si>
  <si>
    <t>MANDI</t>
  </si>
  <si>
    <t>MANDINI</t>
  </si>
  <si>
    <t>sifiso</t>
  </si>
  <si>
    <t>danre</t>
  </si>
  <si>
    <t>annemarie</t>
  </si>
  <si>
    <t xml:space="preserve">BOYSEN EXHAUST TECHNOLOGY RSA      </t>
  </si>
  <si>
    <t>l bez</t>
  </si>
  <si>
    <t>vhg</t>
  </si>
  <si>
    <t xml:space="preserve">PARAMOUNT MILLS                    </t>
  </si>
  <si>
    <t>mandy</t>
  </si>
  <si>
    <t xml:space="preserve">TENNECO EMISSION CONTROL           </t>
  </si>
  <si>
    <t>MARK BURRELL</t>
  </si>
  <si>
    <t>M MEYER</t>
  </si>
  <si>
    <t>ILELG</t>
  </si>
  <si>
    <t xml:space="preserve">FLS TECHNICAL SERVICE              </t>
  </si>
  <si>
    <t>p camp</t>
  </si>
  <si>
    <t xml:space="preserve">ALBANY BAKERY A DIVISION OF TI     </t>
  </si>
  <si>
    <t>Lewellyn</t>
  </si>
  <si>
    <t>thulani</t>
  </si>
  <si>
    <t xml:space="preserve">KANSAI PLASCON (PTY) LTD           </t>
  </si>
  <si>
    <t>subesh</t>
  </si>
  <si>
    <t>s momberg</t>
  </si>
  <si>
    <t xml:space="preserve">EVRIGARD PTY LTD                   </t>
  </si>
  <si>
    <t>LEON GOVENDER</t>
  </si>
  <si>
    <t xml:space="preserve">MAHLE BEHR SOUTH AFRCA (PTY) L     </t>
  </si>
  <si>
    <t>ELVIN PILLAY</t>
  </si>
  <si>
    <t xml:space="preserve">THOBILE                       </t>
  </si>
  <si>
    <t xml:space="preserve">MELANIE                       </t>
  </si>
  <si>
    <t xml:space="preserve">SPICER AXLE (PTY) LTD              </t>
  </si>
  <si>
    <t>CARIKA</t>
  </si>
  <si>
    <t xml:space="preserve">CEREBOS LTD                        </t>
  </si>
  <si>
    <t>JAMES</t>
  </si>
  <si>
    <t xml:space="preserve">BRENDA                        </t>
  </si>
  <si>
    <t>c gynor</t>
  </si>
  <si>
    <t xml:space="preserve">PAILPRINT PTY LTD                  </t>
  </si>
  <si>
    <t>SHAUN</t>
  </si>
  <si>
    <t>VINESSAN</t>
  </si>
  <si>
    <t xml:space="preserve">ACTUM INDUSTRIAL PTY LTD           </t>
  </si>
  <si>
    <t>SUZANNE</t>
  </si>
  <si>
    <t>sizanne</t>
  </si>
  <si>
    <t xml:space="preserve">SHATTERPRUFE J.I.T FACILITY TR     </t>
  </si>
  <si>
    <t>innocent</t>
  </si>
  <si>
    <t xml:space="preserve">MKH CONCEPT ENGINEERING CC         </t>
  </si>
  <si>
    <t>chris</t>
  </si>
  <si>
    <t xml:space="preserve">GUBB   INGGS                       </t>
  </si>
  <si>
    <t>VERNON</t>
  </si>
  <si>
    <t>DARRYL</t>
  </si>
  <si>
    <t>shammy</t>
  </si>
  <si>
    <t>PAMELA</t>
  </si>
  <si>
    <t xml:space="preserve">SJM FLEX SA PTY LTD                </t>
  </si>
  <si>
    <t xml:space="preserve">REHAU POLYMER PTY LTD              </t>
  </si>
  <si>
    <t>LUYANDA</t>
  </si>
  <si>
    <t xml:space="preserve">POD received from cell 0843680350 M     </t>
  </si>
  <si>
    <t>PORT1</t>
  </si>
  <si>
    <t>PORT ALFRED</t>
  </si>
  <si>
    <t xml:space="preserve">CASH ACCOUNT PADDINGTON            </t>
  </si>
  <si>
    <t>RECIVER</t>
  </si>
  <si>
    <t>ELVIS</t>
  </si>
  <si>
    <t>BAIJ</t>
  </si>
  <si>
    <t>DWAIN</t>
  </si>
  <si>
    <t xml:space="preserve">ELECTRO PNEUMATICS                 </t>
  </si>
  <si>
    <t>MIKE</t>
  </si>
  <si>
    <t>mike</t>
  </si>
  <si>
    <t>sdk</t>
  </si>
  <si>
    <t>D MATHON</t>
  </si>
  <si>
    <t xml:space="preserve">COCA - COLA FORTUNE (PTY) LTD      </t>
  </si>
  <si>
    <t>SANET</t>
  </si>
  <si>
    <t>JUSTIN</t>
  </si>
  <si>
    <t>CARRISTEN</t>
  </si>
  <si>
    <t xml:space="preserve">FUEL INDUSTRY SERVICES PTY LTD     </t>
  </si>
  <si>
    <t>micheal</t>
  </si>
  <si>
    <t>romi</t>
  </si>
  <si>
    <t>POD received from cell 0829302253 M</t>
  </si>
  <si>
    <t>JACO1</t>
  </si>
  <si>
    <t>JACOBS</t>
  </si>
  <si>
    <t xml:space="preserve">BEARING   ACCESSORIES CC           </t>
  </si>
  <si>
    <t>Lenny</t>
  </si>
  <si>
    <t>jayson</t>
  </si>
  <si>
    <t xml:space="preserve">SP AUTOMOTIVE PROFILE SCALING      </t>
  </si>
  <si>
    <t>SHORT SUPPLIED</t>
  </si>
  <si>
    <t>lisette</t>
  </si>
  <si>
    <t xml:space="preserve">MAVERICK ENGINEERING (PTY) LTD     </t>
  </si>
  <si>
    <t>EMMAH</t>
  </si>
  <si>
    <t>jarrod</t>
  </si>
  <si>
    <t>POD received from cell 0763378994 M</t>
  </si>
  <si>
    <t>f thorne</t>
  </si>
  <si>
    <t>LEANA</t>
  </si>
  <si>
    <t xml:space="preserve">OFFSET PRESS SUPPLIES (PTY) LT     </t>
  </si>
  <si>
    <t>GARTH</t>
  </si>
  <si>
    <t xml:space="preserve">GARY                          </t>
  </si>
  <si>
    <t>niki</t>
  </si>
  <si>
    <t xml:space="preserve">ABI BOTTLING                       </t>
  </si>
  <si>
    <t>Jay Moodley</t>
  </si>
  <si>
    <t>RAJ</t>
  </si>
  <si>
    <t>LC RICHE</t>
  </si>
  <si>
    <t>JOHAN</t>
  </si>
  <si>
    <t>tyran</t>
  </si>
  <si>
    <t xml:space="preserve">ACTISOL CC T A EX-ES GENERAL       </t>
  </si>
  <si>
    <t>SHANE HUBSCH</t>
  </si>
  <si>
    <t>priest</t>
  </si>
  <si>
    <t xml:space="preserve">HANDI-PAK                          </t>
  </si>
  <si>
    <t>BENNIE</t>
  </si>
  <si>
    <t xml:space="preserve">OPEN DOOR TRADERS CC               </t>
  </si>
  <si>
    <t>Zahid</t>
  </si>
  <si>
    <t xml:space="preserve">zahid                         </t>
  </si>
  <si>
    <t xml:space="preserve">COUNTY FAIR FOODS                  </t>
  </si>
  <si>
    <t xml:space="preserve">COCA COLA PENINSULA BEVERAGES      </t>
  </si>
  <si>
    <t>belinda</t>
  </si>
  <si>
    <t xml:space="preserve">noel                          </t>
  </si>
  <si>
    <t>Johan</t>
  </si>
  <si>
    <t xml:space="preserve">TOYOTA SA MOTORS (PTY) LTD         </t>
  </si>
  <si>
    <t>MILTON MTHETHWA</t>
  </si>
  <si>
    <t>rts-PFES1162505357 0001</t>
  </si>
  <si>
    <t>Client refused delivery</t>
  </si>
  <si>
    <t>vpa</t>
  </si>
  <si>
    <t xml:space="preserve">STEEL BEST MANUFACTURING PTY L     </t>
  </si>
  <si>
    <t>LUKE</t>
  </si>
  <si>
    <t>WARDAH</t>
  </si>
  <si>
    <t xml:space="preserve">DISTELL LIMITED                    </t>
  </si>
  <si>
    <t>M PAMLA</t>
  </si>
  <si>
    <t xml:space="preserve">ISEGEN S. A                        </t>
  </si>
  <si>
    <t>keegan</t>
  </si>
  <si>
    <t xml:space="preserve">KERRY INGREDIENTS SOUTH AFRICA     </t>
  </si>
  <si>
    <t xml:space="preserve">CYRIL                         </t>
  </si>
  <si>
    <t xml:space="preserve">A.P.L. CARTONS (PTY) LTD           </t>
  </si>
  <si>
    <t>jowill</t>
  </si>
  <si>
    <t xml:space="preserve">LINDE + WIEMANN (PTY) LTD          </t>
  </si>
  <si>
    <t xml:space="preserve">mike                          </t>
  </si>
  <si>
    <t xml:space="preserve">kAmesan                       </t>
  </si>
  <si>
    <t xml:space="preserve">I DALGIN                      </t>
  </si>
  <si>
    <t xml:space="preserve">HOT PLATINUM                       </t>
  </si>
  <si>
    <t>AMINA</t>
  </si>
  <si>
    <t xml:space="preserve">COREL INSTRUMENTATION   CONTRO     </t>
  </si>
  <si>
    <t>YOLANDA   JACKIE</t>
  </si>
  <si>
    <t>botha</t>
  </si>
  <si>
    <t>WESTO</t>
  </si>
  <si>
    <t>WESTONARIA</t>
  </si>
  <si>
    <t xml:space="preserve">WEST END CLAY BRICKS (PTY) LTD     </t>
  </si>
  <si>
    <t>?</t>
  </si>
  <si>
    <t xml:space="preserve">TIGER BRANDS CHOCOLATE UNIT        </t>
  </si>
  <si>
    <t>ANDILE DLADLA</t>
  </si>
  <si>
    <t>CERES</t>
  </si>
  <si>
    <t xml:space="preserve">PIONEER FOODS GROCERIES            </t>
  </si>
  <si>
    <t xml:space="preserve">Willem                        </t>
  </si>
  <si>
    <t xml:space="preserve">POD received from cell 0826342908 M     </t>
  </si>
  <si>
    <t xml:space="preserve">MS INDUSTRIAL SUPPLIERS   DIST     </t>
  </si>
  <si>
    <t xml:space="preserve">YOGAN                         </t>
  </si>
  <si>
    <t xml:space="preserve">RAINBOW FARMS PTY LTD P1           </t>
  </si>
  <si>
    <t>RAYMOND KISTAN</t>
  </si>
  <si>
    <t>vukani</t>
  </si>
  <si>
    <t xml:space="preserve">DISTELL PTY LTD                    </t>
  </si>
  <si>
    <t>LYNN ADAMS</t>
  </si>
  <si>
    <t>a lindie</t>
  </si>
  <si>
    <t>ROWAN</t>
  </si>
  <si>
    <t>NGF</t>
  </si>
  <si>
    <t xml:space="preserve">thulani                       </t>
  </si>
  <si>
    <t>kamesan</t>
  </si>
  <si>
    <t>RANDF</t>
  </si>
  <si>
    <t>RANDFONTEIN</t>
  </si>
  <si>
    <t xml:space="preserve">WILMAR CONTINENTAL EDIBLE OILS     </t>
  </si>
  <si>
    <t>MARISKA</t>
  </si>
  <si>
    <t>thendi</t>
  </si>
  <si>
    <t>G KLEIN</t>
  </si>
  <si>
    <t xml:space="preserve">RCL FOODCORP (PTY) LTD             </t>
  </si>
  <si>
    <t>SECURITY GATE</t>
  </si>
  <si>
    <t>jeff</t>
  </si>
  <si>
    <t>NOEL</t>
  </si>
  <si>
    <t>akshay</t>
  </si>
  <si>
    <t>NICKY</t>
  </si>
  <si>
    <t xml:space="preserve">FAIR CAPE DAIRIES (PTY) LTD        </t>
  </si>
  <si>
    <t>OBIE MARTIN</t>
  </si>
  <si>
    <t>WINEFRED</t>
  </si>
  <si>
    <t xml:space="preserve">PROPET SA PTY LTD                  </t>
  </si>
  <si>
    <t>PIET</t>
  </si>
  <si>
    <t>REEVAH</t>
  </si>
  <si>
    <t xml:space="preserve">COMPTECH ELECTRONICS               </t>
  </si>
  <si>
    <t>VELI   TANYA</t>
  </si>
  <si>
    <t xml:space="preserve">VEL                           </t>
  </si>
  <si>
    <t>nathan</t>
  </si>
  <si>
    <t>gary</t>
  </si>
  <si>
    <t>tasnim</t>
  </si>
  <si>
    <t xml:space="preserve">C SQUARED INDUSTRIAL SALES   R     </t>
  </si>
  <si>
    <t>STEPHEN</t>
  </si>
  <si>
    <t xml:space="preserve">illeg                         </t>
  </si>
  <si>
    <t xml:space="preserve">eddie                         </t>
  </si>
  <si>
    <t xml:space="preserve">PACIFIC FLUID COMPONENTS CC        </t>
  </si>
  <si>
    <t>t naidoo</t>
  </si>
  <si>
    <t xml:space="preserve">neela                         </t>
  </si>
  <si>
    <t xml:space="preserve">LUCAS LEE   ASSOCIATES             </t>
  </si>
  <si>
    <t>suraksha</t>
  </si>
  <si>
    <t>WESLEY</t>
  </si>
  <si>
    <t>B JORN</t>
  </si>
  <si>
    <t xml:space="preserve">JACORENE                      </t>
  </si>
  <si>
    <t xml:space="preserve">CULINARY  A DIVISION OF            </t>
  </si>
  <si>
    <t>KATHRINA</t>
  </si>
  <si>
    <t>tahlo</t>
  </si>
  <si>
    <t xml:space="preserve">PIONEER FOODS                      </t>
  </si>
  <si>
    <t>BONITA</t>
  </si>
  <si>
    <t xml:space="preserve">NICKY                         </t>
  </si>
  <si>
    <t xml:space="preserve">CULINARY A DIVISION OF TIGER C     </t>
  </si>
  <si>
    <t>ANVER ABRAHAMS</t>
  </si>
  <si>
    <t>ABRAHAM</t>
  </si>
  <si>
    <t xml:space="preserve">PRECISION METAL PRODUCTS           </t>
  </si>
  <si>
    <t xml:space="preserve">DAYA                          </t>
  </si>
  <si>
    <t>c petersen</t>
  </si>
  <si>
    <t>KAthrina</t>
  </si>
  <si>
    <t xml:space="preserve">randall                       </t>
  </si>
  <si>
    <t xml:space="preserve">ACT LOGISTICS                      </t>
  </si>
  <si>
    <t xml:space="preserve">VENECIA FELTON                </t>
  </si>
  <si>
    <t xml:space="preserve">ALBANY BAKERY                      </t>
  </si>
  <si>
    <t>MERVYN</t>
  </si>
  <si>
    <t>lindsay</t>
  </si>
  <si>
    <t xml:space="preserve">PHINDIWE                      </t>
  </si>
  <si>
    <t xml:space="preserve">MECHANICAL CONCEPTS CC             </t>
  </si>
  <si>
    <t>TREVOR VAN DER WALT</t>
  </si>
  <si>
    <t>SAM</t>
  </si>
  <si>
    <t xml:space="preserve">QUALIPAK (PTY) LTD                 </t>
  </si>
  <si>
    <t>j lakay</t>
  </si>
  <si>
    <t xml:space="preserve">CAPE GATE PTY LTD                  </t>
  </si>
  <si>
    <t>SYBRAND</t>
  </si>
  <si>
    <t xml:space="preserve">sybrand                       </t>
  </si>
  <si>
    <t xml:space="preserve">EVEREST EQUIPMENT AND CONTROL      </t>
  </si>
  <si>
    <t>nomsa</t>
  </si>
  <si>
    <t xml:space="preserve">NON FERROUS METAL WORKS SA PTY     </t>
  </si>
  <si>
    <t>SHARMALA</t>
  </si>
  <si>
    <t>sandile</t>
  </si>
  <si>
    <t xml:space="preserve">desmond                       </t>
  </si>
  <si>
    <t>thushni</t>
  </si>
  <si>
    <t xml:space="preserve">FORMEX ENGINEERING                 </t>
  </si>
  <si>
    <t>Ronnie Doubel</t>
  </si>
  <si>
    <t>PAUL</t>
  </si>
  <si>
    <t>LLOYD</t>
  </si>
  <si>
    <t>j nel</t>
  </si>
  <si>
    <t xml:space="preserve">MACHMAN PTY LTD                    </t>
  </si>
  <si>
    <t>KIM</t>
  </si>
  <si>
    <t>URGENT COLLECTION READY NOW AND CLOSING BEFORE 16H30</t>
  </si>
  <si>
    <t xml:space="preserve">BAKKER                        </t>
  </si>
  <si>
    <t xml:space="preserve">BSN MEDICAL (PTY) LTD              </t>
  </si>
  <si>
    <t xml:space="preserve">aian                          </t>
  </si>
  <si>
    <t>vinold</t>
  </si>
  <si>
    <t>sthembiso</t>
  </si>
  <si>
    <t>Flyer Flyer Flyer</t>
  </si>
  <si>
    <t xml:space="preserve">RG BROSE AUTOMOTIVE COMPONENTS     </t>
  </si>
  <si>
    <t>debbie</t>
  </si>
  <si>
    <t>VIJAJ   SUDESH</t>
  </si>
  <si>
    <t xml:space="preserve">VC AUTOMATION   INDUSTRIAL CON     </t>
  </si>
  <si>
    <t>Vernon</t>
  </si>
  <si>
    <t>HUMAN</t>
  </si>
  <si>
    <t>HUMANSDORP</t>
  </si>
  <si>
    <t xml:space="preserve">WOODLANDS DAIRY PTY LTD            </t>
  </si>
  <si>
    <t xml:space="preserve">LUCAS                         </t>
  </si>
  <si>
    <t xml:space="preserve">POD received from cell 0829064757 M     </t>
  </si>
  <si>
    <t xml:space="preserve">ELDERWOOD TRADING CC               </t>
  </si>
  <si>
    <t>clara</t>
  </si>
  <si>
    <t>kim</t>
  </si>
  <si>
    <t xml:space="preserve">TIGER BRANDS(CHOCOLATE UNIT)       </t>
  </si>
  <si>
    <t xml:space="preserve">kishen                        </t>
  </si>
  <si>
    <t>VIJAY   SUDESH</t>
  </si>
  <si>
    <t>BEKKER</t>
  </si>
  <si>
    <t xml:space="preserve">STAMP                         </t>
  </si>
  <si>
    <t>PARCEL Flyer PARCEL Flyer</t>
  </si>
  <si>
    <t xml:space="preserve">KISHNI                        </t>
  </si>
  <si>
    <t>jnaine</t>
  </si>
  <si>
    <t xml:space="preserve">PNEUMATIC AID                      </t>
  </si>
  <si>
    <t>AUDREY BERGSTROM</t>
  </si>
  <si>
    <t>AUDREY</t>
  </si>
  <si>
    <t xml:space="preserve">THERMAL FUSION CC                  </t>
  </si>
  <si>
    <t xml:space="preserve">STHA                          </t>
  </si>
  <si>
    <t xml:space="preserve">TECHQUIP DEVELOPMENTS CC           </t>
  </si>
  <si>
    <t xml:space="preserve">ricky                         </t>
  </si>
  <si>
    <t xml:space="preserve">FEDERAL MOGUL FRICTION PRODUCT     </t>
  </si>
  <si>
    <t>MPUME NGOBESE</t>
  </si>
  <si>
    <t>mark</t>
  </si>
  <si>
    <t>richmar</t>
  </si>
  <si>
    <t xml:space="preserve">ABI DIV OF SAB LTD                 </t>
  </si>
  <si>
    <t>sugan</t>
  </si>
  <si>
    <t>vinessa</t>
  </si>
  <si>
    <t xml:space="preserve">werner                        </t>
  </si>
  <si>
    <t xml:space="preserve">tess                          </t>
  </si>
  <si>
    <t xml:space="preserve">FESTO ELS                          </t>
  </si>
  <si>
    <t>BARRY KRETSCHMER</t>
  </si>
  <si>
    <t xml:space="preserve">shawn                         </t>
  </si>
  <si>
    <t>BALF2</t>
  </si>
  <si>
    <t>BALFOUR (TVL)</t>
  </si>
  <si>
    <t xml:space="preserve">KARAN BEEF (PTY) LTD               </t>
  </si>
  <si>
    <t>PARCEL PARCEL PARCEL</t>
  </si>
  <si>
    <t>raj</t>
  </si>
  <si>
    <t xml:space="preserve">ILLOVO SUGAR LTD-ESTON MILL        </t>
  </si>
  <si>
    <t>PRUNEL REDDY</t>
  </si>
  <si>
    <t>kevin</t>
  </si>
  <si>
    <t xml:space="preserve">jarrod                        </t>
  </si>
  <si>
    <t xml:space="preserve">SMMF SOFTWARE TECHNOLOGIES         </t>
  </si>
  <si>
    <t>LETICIA   BRYAN</t>
  </si>
  <si>
    <t>RIAAN</t>
  </si>
  <si>
    <t xml:space="preserve">kurt                          </t>
  </si>
  <si>
    <t>Box Box Box</t>
  </si>
  <si>
    <t>bay</t>
  </si>
  <si>
    <t xml:space="preserve">M   M ELECTRONICS                  </t>
  </si>
  <si>
    <t>warin</t>
  </si>
  <si>
    <t>SWELL</t>
  </si>
  <si>
    <t>SWELLENDAM</t>
  </si>
  <si>
    <t xml:space="preserve">AUTOMATION WORKS CAPE PTY LTD      </t>
  </si>
  <si>
    <t>AMANDA VAN ZYL</t>
  </si>
  <si>
    <t>A VAN ZYL</t>
  </si>
  <si>
    <t xml:space="preserve">PREMIER FOODS (PTY) LTD            </t>
  </si>
  <si>
    <t>joseph</t>
  </si>
  <si>
    <t>tommy</t>
  </si>
  <si>
    <t xml:space="preserve">f thorne                      </t>
  </si>
  <si>
    <t xml:space="preserve">RAMSAY ENGINEERING PTY LTD         </t>
  </si>
  <si>
    <t>MARTIN RAPHUNGA</t>
  </si>
  <si>
    <t xml:space="preserve">naleni                        </t>
  </si>
  <si>
    <t>DEEZ</t>
  </si>
  <si>
    <t>william</t>
  </si>
  <si>
    <t xml:space="preserve">TECHNOVAA PACKAGING                </t>
  </si>
  <si>
    <t>uways</t>
  </si>
  <si>
    <t xml:space="preserve">ROMATEX HOME TEXTILES PTY LTD      </t>
  </si>
  <si>
    <t>NAVIN RAMOUTHAR</t>
  </si>
  <si>
    <t xml:space="preserve">Gugu                          </t>
  </si>
  <si>
    <t xml:space="preserve">AC PNEUMATICS                      </t>
  </si>
  <si>
    <t>brian</t>
  </si>
  <si>
    <t xml:space="preserve">richard                       </t>
  </si>
  <si>
    <t xml:space="preserve">BARKLEY   BRILL ELECTRICAL         </t>
  </si>
  <si>
    <t>VALERIE CLAUZEL</t>
  </si>
  <si>
    <t>BARKLEY</t>
  </si>
  <si>
    <t xml:space="preserve">RHEEM SA PTY LTD                   </t>
  </si>
  <si>
    <t>LEENA BUNWARIE</t>
  </si>
  <si>
    <t>leena</t>
  </si>
  <si>
    <t>G R W ENGINEERING  PTY  LTD</t>
  </si>
  <si>
    <t xml:space="preserve">SMITHS MANUFACTURING               </t>
  </si>
  <si>
    <t>NELI</t>
  </si>
  <si>
    <t>J WAIT</t>
  </si>
  <si>
    <t>AMANZ</t>
  </si>
  <si>
    <t>AMANZIMTOTI</t>
  </si>
  <si>
    <t xml:space="preserve">TI GROUP AUTOMATION SYSTEMS        </t>
  </si>
  <si>
    <t>KEITH FUNNELL</t>
  </si>
  <si>
    <t>1 FUNNELL</t>
  </si>
  <si>
    <t>MZI</t>
  </si>
  <si>
    <t xml:space="preserve">BOWLER PLASTICS (PTY) LTD          </t>
  </si>
  <si>
    <t>L LAKAY</t>
  </si>
  <si>
    <t xml:space="preserve">JARROD J                      </t>
  </si>
  <si>
    <t>mombert</t>
  </si>
  <si>
    <t xml:space="preserve">ZIEP CONSTRUCTION TRADING TRUS     </t>
  </si>
  <si>
    <t xml:space="preserve">emser                         </t>
  </si>
  <si>
    <t>VRED3</t>
  </si>
  <si>
    <t>VREDENBURG</t>
  </si>
  <si>
    <t xml:space="preserve">BEARINGS DISTRIBUTORS WESKUS       </t>
  </si>
  <si>
    <t>GARFIELD</t>
  </si>
  <si>
    <t>POD received from cell 0783505655 M</t>
  </si>
  <si>
    <t xml:space="preserve">elisha                        </t>
  </si>
  <si>
    <t xml:space="preserve">BEVCAN A DIVISION OF               </t>
  </si>
  <si>
    <t xml:space="preserve">rodger                        </t>
  </si>
  <si>
    <t>DENZIL</t>
  </si>
  <si>
    <t>sharla</t>
  </si>
  <si>
    <t xml:space="preserve">EBERSPACHER SOUTH AFRICA (PTY)     </t>
  </si>
  <si>
    <t>Sonia Hufkie or deliver at sec</t>
  </si>
  <si>
    <t>LURAYA</t>
  </si>
  <si>
    <t xml:space="preserve">ruan                          </t>
  </si>
  <si>
    <t>WELLI</t>
  </si>
  <si>
    <t>WELLINGTON</t>
  </si>
  <si>
    <t xml:space="preserve">RHEINMETALL DENEL MUNITION (PT     </t>
  </si>
  <si>
    <t>ANTHONIE KLUYTS</t>
  </si>
  <si>
    <t>LESLIE</t>
  </si>
  <si>
    <t>ELW</t>
  </si>
  <si>
    <t>PARCEL PARCEL PARCEL PARCEL</t>
  </si>
  <si>
    <t xml:space="preserve">T.R.W OCCUPANT RESTRIANT SYST      </t>
  </si>
  <si>
    <t>marco</t>
  </si>
  <si>
    <t xml:space="preserve">KATLA FOOD TRADING                 </t>
  </si>
  <si>
    <t>schalk</t>
  </si>
  <si>
    <t xml:space="preserve">FIRST NATIONAL BATTERY             </t>
  </si>
  <si>
    <t xml:space="preserve">DFAKULUNGA                    </t>
  </si>
  <si>
    <t xml:space="preserve">leon                          </t>
  </si>
  <si>
    <t xml:space="preserve">sedick                        </t>
  </si>
  <si>
    <t xml:space="preserve">ENTYCE BEVERAGES                   </t>
  </si>
  <si>
    <t>Matthew Orchard</t>
  </si>
  <si>
    <t xml:space="preserve">LEDA ENGINEERING SERVICES CC       </t>
  </si>
  <si>
    <t>trama</t>
  </si>
  <si>
    <t xml:space="preserve">THE SOUTH AFRICAN BREWERIES LT     </t>
  </si>
  <si>
    <t>GERHARD</t>
  </si>
  <si>
    <t>CODY</t>
  </si>
  <si>
    <t>CHRISSIE</t>
  </si>
  <si>
    <t>GREYT</t>
  </si>
  <si>
    <t>GREYTOWN</t>
  </si>
  <si>
    <t xml:space="preserve">JUNGES GARAGE                      </t>
  </si>
  <si>
    <t>praveen</t>
  </si>
  <si>
    <t>betula</t>
  </si>
  <si>
    <t>janine</t>
  </si>
  <si>
    <t xml:space="preserve">BUYILE                        </t>
  </si>
  <si>
    <t xml:space="preserve">HULAMIN OPERATIONTS PTY LTD        </t>
  </si>
  <si>
    <t>thami</t>
  </si>
  <si>
    <t xml:space="preserve">GSK CONSUMER HEALTHCARE SA PTY     </t>
  </si>
  <si>
    <t>IMRAN LEUKES</t>
  </si>
  <si>
    <t xml:space="preserve">NOZETTE                       </t>
  </si>
  <si>
    <t xml:space="preserve">POD received from cell 0792877724 M     </t>
  </si>
  <si>
    <t xml:space="preserve">DISTELL (PTY) LTD                  </t>
  </si>
  <si>
    <t>ELSHAUN</t>
  </si>
  <si>
    <t>chuma</t>
  </si>
  <si>
    <t xml:space="preserve">KENIN                         </t>
  </si>
  <si>
    <t>QUEEN</t>
  </si>
  <si>
    <t>QUEENSTOWN</t>
  </si>
  <si>
    <t xml:space="preserve">ETTIENNE SCHUTZE ORTHOPAEDIC S     </t>
  </si>
  <si>
    <t>ETTIENNE SCHUTZE</t>
  </si>
  <si>
    <t>ZANELE</t>
  </si>
  <si>
    <t>A Plause</t>
  </si>
  <si>
    <t>liebenberg</t>
  </si>
  <si>
    <t>JASEN</t>
  </si>
  <si>
    <t xml:space="preserve">HYFLO SA                           </t>
  </si>
  <si>
    <t>ASHRAF</t>
  </si>
  <si>
    <t xml:space="preserve">FAURENTIA INTERIOR SYSTEMS         </t>
  </si>
  <si>
    <t>CLINTON</t>
  </si>
  <si>
    <t>CLAUDIA</t>
  </si>
  <si>
    <t xml:space="preserve">WOOL TESTING BUREAU SA             </t>
  </si>
  <si>
    <t>J FRANCIS</t>
  </si>
  <si>
    <t xml:space="preserve">j lackay                      </t>
  </si>
  <si>
    <t xml:space="preserve">SAFEPAK LTD                        </t>
  </si>
  <si>
    <t>VANESSA</t>
  </si>
  <si>
    <t xml:space="preserve">ilelg                         </t>
  </si>
  <si>
    <t xml:space="preserve">dirk                          </t>
  </si>
  <si>
    <t>shanaaz</t>
  </si>
  <si>
    <t>ASHTO</t>
  </si>
  <si>
    <t>ASHTON</t>
  </si>
  <si>
    <t xml:space="preserve">LANGEBERG   ASHTON FOODS           </t>
  </si>
  <si>
    <t>erica</t>
  </si>
  <si>
    <t xml:space="preserve">NIKI                          </t>
  </si>
  <si>
    <t xml:space="preserve">ANDERSON ENGINEERING               </t>
  </si>
  <si>
    <t>ROMANO</t>
  </si>
  <si>
    <t xml:space="preserve">rejoice                       </t>
  </si>
  <si>
    <t>SHORT SUPLLIED</t>
  </si>
  <si>
    <t xml:space="preserve">COLEMAN TRANSPORT                  </t>
  </si>
  <si>
    <t xml:space="preserve">NEOPAK                             </t>
  </si>
  <si>
    <t xml:space="preserve">ANTHEA                        </t>
  </si>
  <si>
    <t>sherwan</t>
  </si>
  <si>
    <t xml:space="preserve">PROPET S.A (PTY) LTD               </t>
  </si>
  <si>
    <t>reerah du preez</t>
  </si>
  <si>
    <t>RIA</t>
  </si>
  <si>
    <t>WILLIAM KLEINHANS</t>
  </si>
  <si>
    <t>londeka</t>
  </si>
  <si>
    <t>CLIVE</t>
  </si>
  <si>
    <t>bronwan</t>
  </si>
  <si>
    <t>REC UNCHECKED</t>
  </si>
  <si>
    <t xml:space="preserve">RIDGE DISTRIBUTORS CC              </t>
  </si>
  <si>
    <t>buddy</t>
  </si>
  <si>
    <t xml:space="preserve">FAIRFIELD DAIRY PTY LTD            </t>
  </si>
  <si>
    <t>COLIN</t>
  </si>
  <si>
    <t>thato</t>
  </si>
  <si>
    <t xml:space="preserve">PAARL COLDSET (PTY) LTD            </t>
  </si>
  <si>
    <t>QUINTON JOOSTE</t>
  </si>
  <si>
    <t xml:space="preserve">wilhelmiena                   </t>
  </si>
  <si>
    <t>CRAIG</t>
  </si>
  <si>
    <t xml:space="preserve">SOUTH DEEP GOLD MINE               </t>
  </si>
  <si>
    <t>TONY BRIGHTON</t>
  </si>
  <si>
    <t>Consignee not available)</t>
  </si>
  <si>
    <t>lwv</t>
  </si>
  <si>
    <t>shairb</t>
  </si>
  <si>
    <t xml:space="preserve">PROCON MACHINERY (PTY) LTD         </t>
  </si>
  <si>
    <t>nolovuyo</t>
  </si>
  <si>
    <t xml:space="preserve">TRUDA SNACKS                       </t>
  </si>
  <si>
    <t>frans</t>
  </si>
  <si>
    <t xml:space="preserve">j lakey                       </t>
  </si>
  <si>
    <t xml:space="preserve">SILVER CONTROL SYSTEMS CC          </t>
  </si>
  <si>
    <t>lee</t>
  </si>
  <si>
    <t xml:space="preserve">INDUSTRIAL PACKAGING MACHINERY     </t>
  </si>
  <si>
    <t xml:space="preserve">ALBANY BAKERY RANDFONTEIN          </t>
  </si>
  <si>
    <t>ZANDILE</t>
  </si>
  <si>
    <t xml:space="preserve">YASKAWA S.A                        </t>
  </si>
  <si>
    <t>KLUE</t>
  </si>
  <si>
    <t>Parcel Parcel Parcel</t>
  </si>
  <si>
    <t>Parcel Flyer Parcel Flyer Parcel Flyer</t>
  </si>
  <si>
    <t xml:space="preserve">BENDET ENGINEERING SERVICES        </t>
  </si>
  <si>
    <t>AGNES</t>
  </si>
  <si>
    <t>danie</t>
  </si>
  <si>
    <t xml:space="preserve">BASF SA PTY LTD                    </t>
  </si>
  <si>
    <t>sharia</t>
  </si>
  <si>
    <t xml:space="preserve">CONTROLELECTRIC - GARETH CC        </t>
  </si>
  <si>
    <t>GARETH   Devashnie</t>
  </si>
  <si>
    <t xml:space="preserve">garett                        </t>
  </si>
  <si>
    <t>vinesh</t>
  </si>
  <si>
    <t xml:space="preserve">ilwelg                        </t>
  </si>
  <si>
    <t xml:space="preserve">POLYOAK PACKAGING (PTY) LTD        </t>
  </si>
  <si>
    <t>melissa</t>
  </si>
  <si>
    <t xml:space="preserve">AIRBRAKES COUNTRYWIDE              </t>
  </si>
  <si>
    <t>RYNO</t>
  </si>
  <si>
    <t>WELCOME</t>
  </si>
  <si>
    <t>NATHAN</t>
  </si>
  <si>
    <t>david</t>
  </si>
  <si>
    <t>vuyo</t>
  </si>
  <si>
    <t xml:space="preserve">nazeer                        </t>
  </si>
  <si>
    <t xml:space="preserve">ILLOVO SUGAR                       </t>
  </si>
  <si>
    <t>SIPHO DLAMINI</t>
  </si>
  <si>
    <t>THOBILE</t>
  </si>
  <si>
    <t>jacob</t>
  </si>
  <si>
    <t xml:space="preserve">GRANROTH                           </t>
  </si>
  <si>
    <t>ROBERT</t>
  </si>
  <si>
    <t>SIBONGILE</t>
  </si>
  <si>
    <t>MICHAEL</t>
  </si>
  <si>
    <t xml:space="preserve">MASTER CIRCUITS                    </t>
  </si>
  <si>
    <t>katherine</t>
  </si>
  <si>
    <t xml:space="preserve">ROV DURRANT ENGINEERING (PTY)      </t>
  </si>
  <si>
    <t>LETTAUW</t>
  </si>
  <si>
    <t>BARRY</t>
  </si>
  <si>
    <t xml:space="preserve">WILLARD BATTERIES (PTY) LTD        </t>
  </si>
  <si>
    <t>LES</t>
  </si>
  <si>
    <t xml:space="preserve">RTS REFER Rfes1162504221      </t>
  </si>
  <si>
    <t xml:space="preserve">HANSENS ENGENNERING                </t>
  </si>
  <si>
    <t xml:space="preserve">T   V HYDRAU-PNEUMATIC SOLUTIO     </t>
  </si>
  <si>
    <t>STRUAN CLARK</t>
  </si>
  <si>
    <t>Dana</t>
  </si>
  <si>
    <t>l fourie</t>
  </si>
  <si>
    <t xml:space="preserve">XMECO PTY LTD                      </t>
  </si>
  <si>
    <t>ERASMUS</t>
  </si>
  <si>
    <t>BARRY JANE</t>
  </si>
  <si>
    <t>PATRCIK</t>
  </si>
  <si>
    <t xml:space="preserve">WILLOWTON GROUP                    </t>
  </si>
  <si>
    <t>URGENT COLLECTION  READY NOW AND CLOSING AT 16H00</t>
  </si>
  <si>
    <t>GIFT</t>
  </si>
  <si>
    <t>JOHN MORKEL</t>
  </si>
  <si>
    <t>BOX FLYER</t>
  </si>
  <si>
    <t xml:space="preserve">CONLOG PTY LTD                     </t>
  </si>
  <si>
    <t xml:space="preserve">SMANGALISO                    </t>
  </si>
  <si>
    <t>rd1</t>
  </si>
  <si>
    <t>VENOLIA VENOLIA</t>
  </si>
  <si>
    <t>rd2</t>
  </si>
  <si>
    <t>capet</t>
  </si>
  <si>
    <t>RD2</t>
  </si>
  <si>
    <t>DBC DELIVERY REQUESTED BY TONY  ENOS</t>
  </si>
  <si>
    <t>POD received from cell 0609765854 M</t>
  </si>
  <si>
    <t>PARCEL PARCEL PARCEL PARCEL PARCEL PARCEL</t>
  </si>
  <si>
    <t>DBC delivery requested by Emmanuel   Festo</t>
  </si>
  <si>
    <t>RDX</t>
  </si>
  <si>
    <t>jarro</t>
  </si>
  <si>
    <t>DBC DELIVERY REQUESTED BY TONY  PHILEMON</t>
  </si>
  <si>
    <t>kelvin</t>
  </si>
  <si>
    <t>PARCEL PARCEL PARCEL PARCEL PARCEL PARCEL PARCEL</t>
  </si>
  <si>
    <t xml:space="preserve">N   R ELECTRONIC AND MECHANICA     </t>
  </si>
  <si>
    <t>teboho</t>
  </si>
  <si>
    <t>HULAMIN OPERATIONTS PTY LTD</t>
  </si>
  <si>
    <t>POD received from cell 0621811229 M</t>
  </si>
  <si>
    <t>Vel</t>
  </si>
  <si>
    <t xml:space="preserve">MIKE S ACCESSORIES SA              </t>
  </si>
  <si>
    <t>STEFAN DAVIDS</t>
  </si>
  <si>
    <t>stef</t>
  </si>
  <si>
    <t xml:space="preserve">YANFENG SA AUTOMOTIVE              </t>
  </si>
  <si>
    <t>gika</t>
  </si>
  <si>
    <t>POD received from cell 0718702195 M</t>
  </si>
  <si>
    <t>S CELE</t>
  </si>
  <si>
    <t>MARIO</t>
  </si>
  <si>
    <t xml:space="preserve">PREMIER FMCG PTY LTD LA FEMME      </t>
  </si>
  <si>
    <t>LETISHA NAIDOO</t>
  </si>
  <si>
    <t xml:space="preserve">LULU                          </t>
  </si>
  <si>
    <t>RAS</t>
  </si>
  <si>
    <t>craig</t>
  </si>
  <si>
    <t>POD received from cell 0843680350 M</t>
  </si>
  <si>
    <t xml:space="preserve">lorraine                      </t>
  </si>
  <si>
    <t>SAMMIE</t>
  </si>
  <si>
    <t xml:space="preserve">ANGELIQUE                     </t>
  </si>
  <si>
    <t>Z JANSEN</t>
  </si>
  <si>
    <t xml:space="preserve">lincoln                       </t>
  </si>
  <si>
    <t>naomi</t>
  </si>
  <si>
    <t xml:space="preserve">SCHAEFFLER SOUTH AFRICA            </t>
  </si>
  <si>
    <t>Danie Strydom</t>
  </si>
  <si>
    <t>bonah</t>
  </si>
  <si>
    <t xml:space="preserve">DEFY APPLIANCES (PTY) LTD          </t>
  </si>
  <si>
    <t>PRISHLIN ARCHARY</t>
  </si>
  <si>
    <t xml:space="preserve">T POTGIETER                   </t>
  </si>
  <si>
    <t xml:space="preserve">WINTERTIDE TRADING 69 CC           </t>
  </si>
  <si>
    <t>KEETHER</t>
  </si>
  <si>
    <t>POOVEN</t>
  </si>
  <si>
    <t xml:space="preserve">VARELEC DISTRIBUTORS CC            </t>
  </si>
  <si>
    <t>DESIGAN</t>
  </si>
  <si>
    <t xml:space="preserve">ATLANTIS SPECIALIST TECHNOLOGI     </t>
  </si>
  <si>
    <t>JAMES BLAKEY-MILLER</t>
  </si>
  <si>
    <t xml:space="preserve">JOEL                          </t>
  </si>
  <si>
    <t xml:space="preserve">RHEEM SOUTH AFRICA LTD             </t>
  </si>
  <si>
    <t>WAGEEDA</t>
  </si>
  <si>
    <t xml:space="preserve">randy                         </t>
  </si>
  <si>
    <t>RAINBOW FARMS  PTY  LTD - WOR</t>
  </si>
  <si>
    <t>IVAN</t>
  </si>
  <si>
    <t xml:space="preserve">RICHARD                       </t>
  </si>
  <si>
    <t xml:space="preserve">CALDEIRA ENGENEERING               </t>
  </si>
  <si>
    <t>pam</t>
  </si>
  <si>
    <t>taswan</t>
  </si>
  <si>
    <t xml:space="preserve">0thodi                        </t>
  </si>
  <si>
    <t>VANDE</t>
  </si>
  <si>
    <t>VANDERBIJLPARK</t>
  </si>
  <si>
    <t xml:space="preserve">MITTAL STEEL SOUTH AFRICA LIMI     </t>
  </si>
  <si>
    <t>COLLIN - CENTRAL RECEIVING</t>
  </si>
  <si>
    <t>PREM</t>
  </si>
  <si>
    <t>KAREN</t>
  </si>
  <si>
    <t>DEVAN</t>
  </si>
  <si>
    <t xml:space="preserve">ELISHA                        </t>
  </si>
  <si>
    <t xml:space="preserve">ANWAR                         </t>
  </si>
  <si>
    <t>SUGAN</t>
  </si>
  <si>
    <t xml:space="preserve">MAGNET ELECTRICAL                  </t>
  </si>
  <si>
    <t>TRAVENE</t>
  </si>
  <si>
    <t xml:space="preserve">SUMATRA TRADING (PTY) LTD          </t>
  </si>
  <si>
    <t xml:space="preserve">MARTIE                        </t>
  </si>
  <si>
    <t>dierk</t>
  </si>
  <si>
    <t xml:space="preserve">jondre                        </t>
  </si>
  <si>
    <t>stefan</t>
  </si>
  <si>
    <t>cannon</t>
  </si>
  <si>
    <t>r strydom</t>
  </si>
  <si>
    <t xml:space="preserve">TITUS CONSULTING CC                </t>
  </si>
  <si>
    <t>M SCHIEBER</t>
  </si>
  <si>
    <t>suraya</t>
  </si>
  <si>
    <t xml:space="preserve">VOESTALPINE STAMPTEC SA            </t>
  </si>
  <si>
    <t>andrew</t>
  </si>
  <si>
    <t xml:space="preserve">JOHAN                         </t>
  </si>
  <si>
    <t>Willem</t>
  </si>
  <si>
    <t>POD received from cell 0826342908 M</t>
  </si>
  <si>
    <t xml:space="preserve">johan                         </t>
  </si>
  <si>
    <t xml:space="preserve">ALPINE LOUNGE A DIV OF BRAVO G     </t>
  </si>
  <si>
    <t>Bradley Nyhoff</t>
  </si>
  <si>
    <t xml:space="preserve">LIEZEL WATSON                 </t>
  </si>
  <si>
    <t>l lakay</t>
  </si>
  <si>
    <t xml:space="preserve">BRIDGESTONE FIRESTONE              </t>
  </si>
  <si>
    <t>GENERAL STORES</t>
  </si>
  <si>
    <t>benia</t>
  </si>
  <si>
    <t>alan</t>
  </si>
  <si>
    <t>R NUNDKISHORE</t>
  </si>
  <si>
    <t>conrad</t>
  </si>
  <si>
    <t xml:space="preserve">RCL FOODS                          </t>
  </si>
  <si>
    <t xml:space="preserve">PLAISANCE FARMING CC               </t>
  </si>
  <si>
    <t>BRAD</t>
  </si>
  <si>
    <t>sallee</t>
  </si>
  <si>
    <t xml:space="preserve">linlcoln                      </t>
  </si>
  <si>
    <t>regan</t>
  </si>
  <si>
    <t>POD received from cell 0630818787 M</t>
  </si>
  <si>
    <t>edwina</t>
  </si>
  <si>
    <t xml:space="preserve">p nkululeko                   </t>
  </si>
  <si>
    <t>rav</t>
  </si>
  <si>
    <t>Clint Petersen</t>
  </si>
  <si>
    <t>g peter</t>
  </si>
  <si>
    <t xml:space="preserve">jandre                        </t>
  </si>
  <si>
    <t xml:space="preserve">CONSOLIDATED WIRE INDUSTRIES (     </t>
  </si>
  <si>
    <t>motaung</t>
  </si>
  <si>
    <t>ESTCO</t>
  </si>
  <si>
    <t>ESTCOURT</t>
  </si>
  <si>
    <t xml:space="preserve">ESKORT LTD                         </t>
  </si>
  <si>
    <t>b  hall</t>
  </si>
  <si>
    <t>POD received from cell 0829775901 M</t>
  </si>
  <si>
    <t xml:space="preserve">TWINSAVER GROUP                    </t>
  </si>
  <si>
    <t>KWANELE GROOTBOOM</t>
  </si>
  <si>
    <t>c17924</t>
  </si>
  <si>
    <t xml:space="preserve">FESTO PMB                          </t>
  </si>
  <si>
    <t xml:space="preserve">FESTO PTY LTD                      </t>
  </si>
  <si>
    <t>FESTO</t>
  </si>
  <si>
    <t>M PERKS</t>
  </si>
  <si>
    <t>ROBBY ROBBY</t>
  </si>
  <si>
    <t>let</t>
  </si>
  <si>
    <t>teth</t>
  </si>
  <si>
    <t xml:space="preserve">MONIER ROOFING SA PTY LTD          </t>
  </si>
  <si>
    <t xml:space="preserve">sign                          </t>
  </si>
  <si>
    <t>jj matthee</t>
  </si>
  <si>
    <t>POD received from cell 0788360680 M</t>
  </si>
  <si>
    <t>RFES1162505048</t>
  </si>
  <si>
    <t xml:space="preserve">CEMPACK                            </t>
  </si>
  <si>
    <t>rob</t>
  </si>
  <si>
    <t xml:space="preserve">S   R INSTALLIONS CC               </t>
  </si>
  <si>
    <t>JOHN</t>
  </si>
  <si>
    <t>p January</t>
  </si>
  <si>
    <t xml:space="preserve">FLEXICON AFRICA PTY LTD            </t>
  </si>
  <si>
    <t>CONROY GEORGE</t>
  </si>
  <si>
    <t xml:space="preserve">TEREX MHPS PTY LTD                 </t>
  </si>
  <si>
    <t>LEE-ANN KINSEY</t>
  </si>
  <si>
    <t>nikita</t>
  </si>
  <si>
    <t>sphelele</t>
  </si>
  <si>
    <t>STEVEN JANSEN</t>
  </si>
  <si>
    <t xml:space="preserve">FEZIWE                        </t>
  </si>
  <si>
    <t>Jako Langenhoven</t>
  </si>
  <si>
    <t>BEKKER BEKKER</t>
  </si>
  <si>
    <t>KURT</t>
  </si>
  <si>
    <t xml:space="preserve">ELECTRONIC &amp; POWER                 </t>
  </si>
  <si>
    <t>URGENT COLLECTION READY NOW CLOSING BEFORE 17H00</t>
  </si>
  <si>
    <t>MARIETTA POTGIETER</t>
  </si>
  <si>
    <t xml:space="preserve">jacob                         </t>
  </si>
  <si>
    <t xml:space="preserve">POD received from cell 0781742249 M     </t>
  </si>
  <si>
    <t xml:space="preserve">DUNLOP INDUSTRIAL PRODUCTS PTY LT  </t>
  </si>
  <si>
    <t>URGENT COLLECTION READY NOW AND CLOSING BEFORE 16H00</t>
  </si>
  <si>
    <t>Julian Chetty</t>
  </si>
  <si>
    <t xml:space="preserve">PBA EQUIPMENT (PTY) LTD            </t>
  </si>
  <si>
    <t>CHAISE</t>
  </si>
  <si>
    <t>siya</t>
  </si>
  <si>
    <t>le richie</t>
  </si>
  <si>
    <t>brad</t>
  </si>
  <si>
    <t xml:space="preserve">CHRISSIE                      </t>
  </si>
  <si>
    <t>KINGW</t>
  </si>
  <si>
    <t>KINGWILLIAMSTOWN</t>
  </si>
  <si>
    <t xml:space="preserve">REHAU POLYMER (PTY) LTD            </t>
  </si>
  <si>
    <t>CHING</t>
  </si>
  <si>
    <t>collin</t>
  </si>
  <si>
    <t xml:space="preserve">TRELLEBORGVIBRACOUSTIC-IKHWEZI     </t>
  </si>
  <si>
    <t>faith</t>
  </si>
  <si>
    <t xml:space="preserve">UNILIVER SA                        </t>
  </si>
  <si>
    <t>myeza</t>
  </si>
  <si>
    <t xml:space="preserve">CROWN CHICKENS (PTY) LTD           </t>
  </si>
  <si>
    <t>SIYA PITYANA</t>
  </si>
  <si>
    <t xml:space="preserve">micky                         </t>
  </si>
  <si>
    <t>thobile</t>
  </si>
  <si>
    <t xml:space="preserve">RHEINMETALL LAINGSDALE (PTY) L     </t>
  </si>
  <si>
    <t>anzio</t>
  </si>
  <si>
    <t xml:space="preserve">NORDSON SA PYT LTD                 </t>
  </si>
  <si>
    <t>ABNER MAILA</t>
  </si>
  <si>
    <t>athony</t>
  </si>
  <si>
    <t>humla</t>
  </si>
  <si>
    <t xml:space="preserve">kathleen                      </t>
  </si>
  <si>
    <t xml:space="preserve">IDWALA CARBONATES                  </t>
  </si>
  <si>
    <t>qurisha</t>
  </si>
  <si>
    <t xml:space="preserve">GEORGE                        </t>
  </si>
  <si>
    <t xml:space="preserve">sagren                        </t>
  </si>
  <si>
    <t>w nyschens</t>
  </si>
  <si>
    <t xml:space="preserve">MECHATRONICS                       </t>
  </si>
  <si>
    <t>KELVIN DOWNEY</t>
  </si>
  <si>
    <t>jackie</t>
  </si>
  <si>
    <t>G ERMER</t>
  </si>
  <si>
    <t>neela</t>
  </si>
  <si>
    <t xml:space="preserve">FREY   S FOOD BRANDS               </t>
  </si>
  <si>
    <t>sthembile</t>
  </si>
  <si>
    <t xml:space="preserve">sphelele                      </t>
  </si>
  <si>
    <t xml:space="preserve">VOLKSWAGEN OF SA                   </t>
  </si>
  <si>
    <t>Abdul Goosein</t>
  </si>
  <si>
    <t>LAWRENCE</t>
  </si>
  <si>
    <t>MARGA</t>
  </si>
  <si>
    <t>MARGATE</t>
  </si>
  <si>
    <t xml:space="preserve">GLENDA VORSTER                     </t>
  </si>
  <si>
    <t>RICHARD</t>
  </si>
  <si>
    <t>GLENDA</t>
  </si>
  <si>
    <t>ilelg</t>
  </si>
  <si>
    <t xml:space="preserve">FINLAR FINE FOODS (PTY) LTD        </t>
  </si>
  <si>
    <t>martin</t>
  </si>
  <si>
    <t xml:space="preserve">GRIPPER   CO (PTY) LTD             </t>
  </si>
  <si>
    <t>gartj</t>
  </si>
  <si>
    <t xml:space="preserve">STAR BAKKER                        </t>
  </si>
  <si>
    <t xml:space="preserve">christine                     </t>
  </si>
  <si>
    <t xml:space="preserve">REAL PNEUMATIC                     </t>
  </si>
  <si>
    <t>thandiwe</t>
  </si>
  <si>
    <t>iellg</t>
  </si>
  <si>
    <t>iell</t>
  </si>
  <si>
    <t>A WEYES</t>
  </si>
  <si>
    <t xml:space="preserve">trevo                         </t>
  </si>
  <si>
    <t>E MERGER</t>
  </si>
  <si>
    <t xml:space="preserve">shara                         </t>
  </si>
  <si>
    <t>sharda</t>
  </si>
  <si>
    <t xml:space="preserve">THE SIMBA GROUP LTD                </t>
  </si>
  <si>
    <t>dawn</t>
  </si>
  <si>
    <t>ricky</t>
  </si>
  <si>
    <t xml:space="preserve">a paulse                      </t>
  </si>
  <si>
    <t xml:space="preserve">S MOMBERG                     </t>
  </si>
  <si>
    <t xml:space="preserve">POD received from cell 0717247668 M     </t>
  </si>
  <si>
    <t xml:space="preserve">SIYA                          </t>
  </si>
  <si>
    <t>RD3</t>
  </si>
  <si>
    <t xml:space="preserve">LAFARGE INDUSTRIES SA              </t>
  </si>
  <si>
    <t xml:space="preserve">MRS SUNEY                     </t>
  </si>
  <si>
    <t>RDL</t>
  </si>
  <si>
    <t>DBC DELIVERY 4 METER LONG</t>
  </si>
  <si>
    <t>cuayton</t>
  </si>
  <si>
    <t xml:space="preserve">POD received from cell 0788360680 M     </t>
  </si>
  <si>
    <t xml:space="preserve">ILLOVO SUGAR LTD-UMZIMKULU         </t>
  </si>
  <si>
    <t>ntomokozo</t>
  </si>
  <si>
    <t xml:space="preserve">jakobus                       </t>
  </si>
  <si>
    <t xml:space="preserve">SUPREME MOULDINGS (PTY) LTD        </t>
  </si>
  <si>
    <t>carmen</t>
  </si>
  <si>
    <t xml:space="preserve">TWANEIL TRUST                      </t>
  </si>
  <si>
    <t>ANNE FELLA</t>
  </si>
  <si>
    <t>pearl</t>
  </si>
  <si>
    <t xml:space="preserve">M.STEYN DESIGN   ENGINEERING (     </t>
  </si>
  <si>
    <t>MELANIE</t>
  </si>
  <si>
    <t xml:space="preserve">THEKWENI REINFORCING PTY LTD       </t>
  </si>
  <si>
    <t>HENDRY BEYLEVLET</t>
  </si>
  <si>
    <t>pinky</t>
  </si>
  <si>
    <t xml:space="preserve">ELECTRO TECHNICAL AGENCIES         </t>
  </si>
  <si>
    <t xml:space="preserve">nkosi                         </t>
  </si>
  <si>
    <t>condrad</t>
  </si>
  <si>
    <t>JANINE</t>
  </si>
  <si>
    <t>thabndi</t>
  </si>
  <si>
    <t xml:space="preserve">janine                        </t>
  </si>
  <si>
    <t xml:space="preserve">JOHNSON   JOHNSON PTY LTD          </t>
  </si>
  <si>
    <t>BONGINKOSI ZOKUFA</t>
  </si>
  <si>
    <t>nkosinathi</t>
  </si>
  <si>
    <t xml:space="preserve">TENNECO RIDE CONTROL SA            </t>
  </si>
  <si>
    <t>lifa</t>
  </si>
  <si>
    <t xml:space="preserve">NORTHFIELD ENGINEERING (PTY) L     </t>
  </si>
  <si>
    <t>KEVIN VAN ROOYEN</t>
  </si>
  <si>
    <t>ernest</t>
  </si>
  <si>
    <t>lorraine</t>
  </si>
  <si>
    <t>tredi</t>
  </si>
  <si>
    <t xml:space="preserve">ILLEG                         </t>
  </si>
  <si>
    <t xml:space="preserve">ASH RESOURCES                      </t>
  </si>
  <si>
    <t xml:space="preserve">william                       </t>
  </si>
  <si>
    <t>K FRASER</t>
  </si>
  <si>
    <t>MAIL BAG</t>
  </si>
  <si>
    <t>HARDUS   MIKE</t>
  </si>
  <si>
    <t>hardus</t>
  </si>
  <si>
    <t>c schener</t>
  </si>
  <si>
    <t>jako</t>
  </si>
  <si>
    <t xml:space="preserve">JOHN BEANTECHNOLOGIES PTY LTD      </t>
  </si>
  <si>
    <t>MICHELLE KRUGER</t>
  </si>
  <si>
    <t xml:space="preserve">quinton                       </t>
  </si>
  <si>
    <t xml:space="preserve">COCA COLA CANNERS OF SA            </t>
  </si>
  <si>
    <t>BRYAN WEBER</t>
  </si>
  <si>
    <t>CHARNAY</t>
  </si>
  <si>
    <t xml:space="preserve">wesley                        </t>
  </si>
  <si>
    <t xml:space="preserve">FESTO ISANDO                       </t>
  </si>
  <si>
    <t xml:space="preserve">DIGN ENGINEERING (PTY) LTD         </t>
  </si>
  <si>
    <t>GLEN DE KLERK</t>
  </si>
  <si>
    <t xml:space="preserve">PRIVATE HOUSE                      </t>
  </si>
  <si>
    <t>SDX DELIVERY CALL DERRICK BEFORE DELIVERY ON 072 694 0196</t>
  </si>
  <si>
    <t>DERRICK</t>
  </si>
  <si>
    <t>derrick</t>
  </si>
  <si>
    <t xml:space="preserve">charles                       </t>
  </si>
  <si>
    <t xml:space="preserve">POD received from cell 0784385207 M     </t>
  </si>
  <si>
    <t>Box</t>
  </si>
  <si>
    <t>LITTA</t>
  </si>
  <si>
    <t>Nickolas Tinkler</t>
  </si>
  <si>
    <t>a mano</t>
  </si>
  <si>
    <t>POD received from cell 0732272171 M</t>
  </si>
  <si>
    <t xml:space="preserve">LONGLIFE TYRES                     </t>
  </si>
  <si>
    <t>Viloshnee Govender</t>
  </si>
  <si>
    <t xml:space="preserve">TANYA                         </t>
  </si>
  <si>
    <t xml:space="preserve">lifa                          </t>
  </si>
  <si>
    <t xml:space="preserve">INDUSTRI - BAG CC                  </t>
  </si>
  <si>
    <t>OSWALD</t>
  </si>
  <si>
    <t>louise</t>
  </si>
  <si>
    <t>theo</t>
  </si>
  <si>
    <t>wilbur</t>
  </si>
  <si>
    <t>a paulse</t>
  </si>
  <si>
    <t xml:space="preserve">N   Z INSTRUMENTATION   CONTRO     </t>
  </si>
  <si>
    <t>ALAN EALES</t>
  </si>
  <si>
    <t>nicky batter</t>
  </si>
  <si>
    <t>AS PER PIETER RAUBENHEIMER</t>
  </si>
  <si>
    <t xml:space="preserve">dorren                        </t>
  </si>
  <si>
    <t>S CLARK</t>
  </si>
  <si>
    <t>POD received from cell 0792801527 M</t>
  </si>
  <si>
    <t>mzo</t>
  </si>
  <si>
    <t>godfrey</t>
  </si>
  <si>
    <t>rallie</t>
  </si>
  <si>
    <t>53:75</t>
  </si>
  <si>
    <t xml:space="preserve">Returned to sender on waybill </t>
  </si>
  <si>
    <t xml:space="preserve">HIGH FORCE HYDRAULIC PNEUMATIC     </t>
  </si>
  <si>
    <t>MOSES KRUGER</t>
  </si>
  <si>
    <t>moses</t>
  </si>
  <si>
    <t>VERUL</t>
  </si>
  <si>
    <t>VERULAM</t>
  </si>
  <si>
    <t xml:space="preserve">NEOPAK PTY LTD                     </t>
  </si>
  <si>
    <t>DENVER REDDY</t>
  </si>
  <si>
    <t>DENVER</t>
  </si>
  <si>
    <t xml:space="preserve">tahlo                         </t>
  </si>
  <si>
    <t xml:space="preserve">gwen                          </t>
  </si>
  <si>
    <t>LITTY</t>
  </si>
  <si>
    <t xml:space="preserve">gabriel                       </t>
  </si>
  <si>
    <t>B LIEBENBERG</t>
  </si>
  <si>
    <t xml:space="preserve">stamp                         </t>
  </si>
  <si>
    <t>KERESHA</t>
  </si>
  <si>
    <t>QUINTON</t>
  </si>
  <si>
    <t xml:space="preserve">siy                           </t>
  </si>
  <si>
    <t>S KATZKE</t>
  </si>
  <si>
    <t>vincent</t>
  </si>
  <si>
    <t>LEZANA</t>
  </si>
  <si>
    <t xml:space="preserve">MONIER ROOFING PTY LTD             </t>
  </si>
  <si>
    <t>MOHAMMAD SINGH</t>
  </si>
  <si>
    <t>PIETER</t>
  </si>
  <si>
    <t>COL</t>
  </si>
  <si>
    <t xml:space="preserve">SELAGO INDUSTRIES (PTY) LTD        </t>
  </si>
  <si>
    <t>b ottermann</t>
  </si>
  <si>
    <t>CHRIS   DERICK</t>
  </si>
  <si>
    <t xml:space="preserve">MOLAN PINO SOUTH AFRICA (PTY)      </t>
  </si>
  <si>
    <t xml:space="preserve">LQANDE                        </t>
  </si>
  <si>
    <t>brendon</t>
  </si>
  <si>
    <t xml:space="preserve">carriston                     </t>
  </si>
  <si>
    <t>MEYER</t>
  </si>
  <si>
    <t xml:space="preserve">sandisile                     </t>
  </si>
  <si>
    <t xml:space="preserve">MONDELEZ PE FACTORY INC            </t>
  </si>
  <si>
    <t>SWANNIE</t>
  </si>
  <si>
    <t xml:space="preserve">m paton                       </t>
  </si>
  <si>
    <t xml:space="preserve">MALITHI                       </t>
  </si>
  <si>
    <t xml:space="preserve">suraya                        </t>
  </si>
  <si>
    <t>A WITBOOI</t>
  </si>
  <si>
    <t>CHRISTINE</t>
  </si>
  <si>
    <t xml:space="preserve">dwain                         </t>
  </si>
  <si>
    <t>brandon</t>
  </si>
  <si>
    <t xml:space="preserve">BLAIZEPOINT TRADING 274 CC         </t>
  </si>
  <si>
    <t>NICOLE</t>
  </si>
  <si>
    <t>LESTER</t>
  </si>
  <si>
    <t>claudia</t>
  </si>
  <si>
    <t>UMTAT</t>
  </si>
  <si>
    <t>UMTATA</t>
  </si>
  <si>
    <t xml:space="preserve">PREMIER FMCG PTY LTD               </t>
  </si>
  <si>
    <t>NONZWAKAZI</t>
  </si>
  <si>
    <t xml:space="preserve">CONSUPAQ (PTY) LTD                 </t>
  </si>
  <si>
    <t>PREAN</t>
  </si>
  <si>
    <t>amina</t>
  </si>
  <si>
    <t>kathleen</t>
  </si>
  <si>
    <t xml:space="preserve">sharla                        </t>
  </si>
  <si>
    <t xml:space="preserve">P FOUIRE                      </t>
  </si>
  <si>
    <t>RTS-pfes1162506362 0001</t>
  </si>
  <si>
    <t xml:space="preserve">SEECOR BLOW MOULDERS               </t>
  </si>
  <si>
    <t>C BOTHA</t>
  </si>
  <si>
    <t xml:space="preserve">KIMBERLEY-CLARK S.A                </t>
  </si>
  <si>
    <t>JOSEPH   CEPHES</t>
  </si>
  <si>
    <t>NATALIE</t>
  </si>
  <si>
    <t>RIEG</t>
  </si>
  <si>
    <t>LWV</t>
  </si>
  <si>
    <t>theuns</t>
  </si>
  <si>
    <t xml:space="preserve">KURT                          </t>
  </si>
  <si>
    <t>aphiwe</t>
  </si>
  <si>
    <t xml:space="preserve">DIVFOOD   NAMPAK                   </t>
  </si>
  <si>
    <t>sean adams</t>
  </si>
  <si>
    <t>pamela</t>
  </si>
  <si>
    <t xml:space="preserve">HONEYDEW DAIRIES                   </t>
  </si>
  <si>
    <t>LEE</t>
  </si>
  <si>
    <t>vanessan</t>
  </si>
  <si>
    <t xml:space="preserve">AFRICAN HERITAGE CONTRACT PACK     </t>
  </si>
  <si>
    <t>DEON</t>
  </si>
  <si>
    <t xml:space="preserve">deon                          </t>
  </si>
  <si>
    <t xml:space="preserve">FLUID SYSTEMS                      </t>
  </si>
  <si>
    <t>danielle</t>
  </si>
  <si>
    <t xml:space="preserve">A.P Green Sawills                  </t>
  </si>
  <si>
    <t>A GREEN</t>
  </si>
  <si>
    <t xml:space="preserve">CHW DESIGN CC                      </t>
  </si>
  <si>
    <t>NOLEEN</t>
  </si>
  <si>
    <t>vic</t>
  </si>
  <si>
    <t xml:space="preserve">SAFIKA CEMENT HOLDINGS (PTY) L     </t>
  </si>
  <si>
    <t>leonie</t>
  </si>
  <si>
    <t>LABIUS</t>
  </si>
  <si>
    <t>obie martinm</t>
  </si>
  <si>
    <t xml:space="preserve">MTHEMBU TISSUE CONVERTING PTY      </t>
  </si>
  <si>
    <t>sihle</t>
  </si>
  <si>
    <t xml:space="preserve">EAST COAST INSTRUMENTATION SAL     </t>
  </si>
  <si>
    <t xml:space="preserve">PAULINE                       </t>
  </si>
  <si>
    <t xml:space="preserve">patrick                       </t>
  </si>
  <si>
    <t xml:space="preserve">TRIDENT PRESS                      </t>
  </si>
  <si>
    <t>REHAN CLOETE</t>
  </si>
  <si>
    <t>mariam</t>
  </si>
  <si>
    <t>amgelique</t>
  </si>
  <si>
    <t>DOCUMENTS</t>
  </si>
  <si>
    <t>tahir</t>
  </si>
  <si>
    <t xml:space="preserve">SASOL COBALT CATALYST MNFR PTY     </t>
  </si>
  <si>
    <t>lebohang</t>
  </si>
  <si>
    <t xml:space="preserve">FISCHERS DAIRY                     </t>
  </si>
  <si>
    <t>RDY</t>
  </si>
  <si>
    <t xml:space="preserve">H GOEDA                       </t>
  </si>
  <si>
    <t>SUBESH</t>
  </si>
  <si>
    <t xml:space="preserve">TOSCANA ENOLOGICA MORI SA          </t>
  </si>
  <si>
    <t>JAMES MARX</t>
  </si>
  <si>
    <t>esta zandberg</t>
  </si>
  <si>
    <t>S LAMBERTS</t>
  </si>
  <si>
    <t>shanice</t>
  </si>
  <si>
    <t>gappie</t>
  </si>
  <si>
    <t xml:space="preserve">LAUB ENGIEERING PTY LTD            </t>
  </si>
  <si>
    <t>GERRAD</t>
  </si>
  <si>
    <t xml:space="preserve">P H D PTY LTD                      </t>
  </si>
  <si>
    <t>URGENT COLLECTION READY NOW CLOSING AT 16H00</t>
  </si>
  <si>
    <t>SHARLA</t>
  </si>
  <si>
    <t xml:space="preserve">CA MULLER FABRICATION CC           </t>
  </si>
  <si>
    <t xml:space="preserve">PAARL COLDSET PTY LTD              </t>
  </si>
  <si>
    <t>Solome</t>
  </si>
  <si>
    <t xml:space="preserve">HONEYDEW DAIRIES PTY LTD           </t>
  </si>
  <si>
    <t xml:space="preserve">TIGER BRANDS                       </t>
  </si>
  <si>
    <t>MAGLEN NAICKER</t>
  </si>
  <si>
    <t>sugesh</t>
  </si>
  <si>
    <t>MAHOMED</t>
  </si>
  <si>
    <t>sindiswa</t>
  </si>
  <si>
    <t>TREVOR Adams</t>
  </si>
  <si>
    <t>trevo</t>
  </si>
  <si>
    <t>trevor</t>
  </si>
  <si>
    <t xml:space="preserve">H.W.S INDUSTRIES (PTY) LTD         </t>
  </si>
  <si>
    <t>SHAMANE</t>
  </si>
  <si>
    <t xml:space="preserve">ANA - DIGI SYSTEMS CC              </t>
  </si>
  <si>
    <t>JERMAINE JAMES</t>
  </si>
  <si>
    <t>TAMMY TAMMY</t>
  </si>
  <si>
    <t>antionette</t>
  </si>
  <si>
    <t xml:space="preserve">PAARL PNEUMATICS CC                </t>
  </si>
  <si>
    <t>ruari</t>
  </si>
  <si>
    <t xml:space="preserve">METATE CONSTRUCTION                </t>
  </si>
  <si>
    <t>VIK</t>
  </si>
  <si>
    <t>thedi</t>
  </si>
  <si>
    <t>doreen</t>
  </si>
  <si>
    <t>nazeer</t>
  </si>
  <si>
    <t xml:space="preserve">GRUPO ANTOLIN (PTY) LTD            </t>
  </si>
  <si>
    <t>RENIER</t>
  </si>
  <si>
    <t>D CHARLES</t>
  </si>
  <si>
    <t xml:space="preserve">Theo                          </t>
  </si>
  <si>
    <t xml:space="preserve">POD received from cell 0829064652 M     </t>
  </si>
  <si>
    <t>DOMINIQUE</t>
  </si>
  <si>
    <t xml:space="preserve">BURHOSE (DIV OF ARWA PTY LTD)      </t>
  </si>
  <si>
    <t>ursula</t>
  </si>
  <si>
    <t>TONGA</t>
  </si>
  <si>
    <t>TONGAAT</t>
  </si>
  <si>
    <t xml:space="preserve">GALBORN PTY LTD T A MAIN PAK       </t>
  </si>
  <si>
    <t>JEN</t>
  </si>
  <si>
    <t xml:space="preserve">RICHMAN                       </t>
  </si>
  <si>
    <t>CHARNE</t>
  </si>
  <si>
    <t xml:space="preserve">RAINBOW FARMS                      </t>
  </si>
  <si>
    <t xml:space="preserve">jones                         </t>
  </si>
  <si>
    <t>rejoice</t>
  </si>
  <si>
    <t>elisha</t>
  </si>
  <si>
    <t>peter</t>
  </si>
  <si>
    <t>sheriff</t>
  </si>
  <si>
    <t>POD received from cell 0725491104 M</t>
  </si>
  <si>
    <t>VELILE</t>
  </si>
  <si>
    <t>TRAMIN</t>
  </si>
  <si>
    <t>thadi</t>
  </si>
  <si>
    <t xml:space="preserve">KR INDUSRIAL   AUTOMOTIVE SUPP     </t>
  </si>
  <si>
    <t>a singh</t>
  </si>
  <si>
    <t xml:space="preserve">BEIR SAFETY FOOTWEAR A DIVISIO     </t>
  </si>
  <si>
    <t xml:space="preserve">GOODMAN                       </t>
  </si>
  <si>
    <t xml:space="preserve">MEXAN PRODUCTS                     </t>
  </si>
  <si>
    <t xml:space="preserve">DANE                          </t>
  </si>
  <si>
    <t>githesh</t>
  </si>
  <si>
    <t>colbert</t>
  </si>
  <si>
    <t>nos</t>
  </si>
  <si>
    <t>m  viljoen</t>
  </si>
  <si>
    <t xml:space="preserve">THE SIMBA GROUP                    </t>
  </si>
  <si>
    <t>RANDI</t>
  </si>
  <si>
    <t xml:space="preserve">SHATTERPRUFE TRADING AS A          </t>
  </si>
  <si>
    <t>DANIE NAUDE</t>
  </si>
  <si>
    <t>Merryl Wynford</t>
  </si>
  <si>
    <t>SCHALK</t>
  </si>
  <si>
    <t xml:space="preserve">MW WHEELS SA (PTY) LTD             </t>
  </si>
  <si>
    <t>RALPH</t>
  </si>
  <si>
    <t>AC MEYER</t>
  </si>
  <si>
    <t>p nkululeko</t>
  </si>
  <si>
    <t>strini</t>
  </si>
  <si>
    <t>malan</t>
  </si>
  <si>
    <t>henry</t>
  </si>
  <si>
    <t>mamin</t>
  </si>
  <si>
    <t xml:space="preserve">TOPLINE TOOLING (PTY) LTD          </t>
  </si>
  <si>
    <t>krige</t>
  </si>
  <si>
    <t>STANG</t>
  </si>
  <si>
    <t>STANGER</t>
  </si>
  <si>
    <t>DAN</t>
  </si>
  <si>
    <t>eugene</t>
  </si>
  <si>
    <t>cindy</t>
  </si>
  <si>
    <t>s gounder</t>
  </si>
  <si>
    <t>CHRISTIE</t>
  </si>
  <si>
    <t xml:space="preserve">T MKHUNGO                     </t>
  </si>
  <si>
    <t xml:space="preserve">HYDRABERG HYDRAULICS CC            </t>
  </si>
  <si>
    <t>anita</t>
  </si>
  <si>
    <t>jakobus</t>
  </si>
  <si>
    <t xml:space="preserve">THE DATA FACTORY                   </t>
  </si>
  <si>
    <t>REF.101169573</t>
  </si>
  <si>
    <t>nashief</t>
  </si>
  <si>
    <t>URGENT COLLECTION READY NOW AND CLOSING AT 16H00</t>
  </si>
  <si>
    <t xml:space="preserve">BEKKER                        </t>
  </si>
  <si>
    <t>altus</t>
  </si>
  <si>
    <t xml:space="preserve">CLASSIC MEDICAL MOULDINGS          </t>
  </si>
  <si>
    <t>JEROME</t>
  </si>
  <si>
    <t xml:space="preserve">KWV CELLARS   DISTILLERY           </t>
  </si>
  <si>
    <t>g edu plessis</t>
  </si>
  <si>
    <t xml:space="preserve">INTAKA TECH PTY LTD                </t>
  </si>
  <si>
    <t>MARCELINO</t>
  </si>
  <si>
    <t>marceline</t>
  </si>
  <si>
    <t>SIGNED</t>
  </si>
  <si>
    <t>DANIELLE TRUTER</t>
  </si>
  <si>
    <t>DANIELLE</t>
  </si>
  <si>
    <t xml:space="preserve">SAGREN                        </t>
  </si>
  <si>
    <t xml:space="preserve">NEELA                         </t>
  </si>
  <si>
    <t xml:space="preserve">j j mathee                    </t>
  </si>
  <si>
    <t xml:space="preserve">SHARONA                       </t>
  </si>
  <si>
    <t xml:space="preserve">Dedisa Peaking Power               </t>
  </si>
  <si>
    <t>BRIAN</t>
  </si>
  <si>
    <t>COENRAAD BRANDT</t>
  </si>
  <si>
    <t xml:space="preserve">SHARIN                        </t>
  </si>
  <si>
    <t xml:space="preserve">alister                       </t>
  </si>
  <si>
    <t xml:space="preserve">vaness                        </t>
  </si>
  <si>
    <t xml:space="preserve">ntuthu                        </t>
  </si>
  <si>
    <t xml:space="preserve">FELTEX FEHRER                      </t>
  </si>
  <si>
    <t>MARIAM</t>
  </si>
  <si>
    <t xml:space="preserve">TS WATER PROJECTS                  </t>
  </si>
  <si>
    <t xml:space="preserve">tracey                        </t>
  </si>
  <si>
    <t xml:space="preserve">MUDI APPLIEDTECHNOLOGY             </t>
  </si>
  <si>
    <t>DAN VON BARGEN</t>
  </si>
  <si>
    <t>DELVIN</t>
  </si>
  <si>
    <t xml:space="preserve">tanya                         </t>
  </si>
  <si>
    <t>garth</t>
  </si>
  <si>
    <t>CONRUD</t>
  </si>
  <si>
    <t xml:space="preserve">C   M HYDRAULIC SERVICES           </t>
  </si>
  <si>
    <t>Receiving</t>
  </si>
  <si>
    <t xml:space="preserve">C WILSON                      </t>
  </si>
  <si>
    <t xml:space="preserve">PRIVATE RESIDENT                   </t>
  </si>
  <si>
    <t>PLS SATURDAY DELIVER CONTACT  Cor ON (084)-715-9446</t>
  </si>
  <si>
    <t>Cor</t>
  </si>
  <si>
    <t>COR RETIEF</t>
  </si>
  <si>
    <t>SAT</t>
  </si>
  <si>
    <t xml:space="preserve">janzdre                       </t>
  </si>
  <si>
    <t xml:space="preserve">WESTSIDE DISTILLERS (PTY) LTD      </t>
  </si>
  <si>
    <t>MIKE COOTE</t>
  </si>
  <si>
    <t>laureen</t>
  </si>
  <si>
    <t>DONOVAN</t>
  </si>
  <si>
    <t>liezel</t>
  </si>
  <si>
    <t xml:space="preserve">D CHARLES                     </t>
  </si>
  <si>
    <t>sherman</t>
  </si>
  <si>
    <t>karen</t>
  </si>
  <si>
    <t xml:space="preserve">LUMOTECH (PTY) LTD                 </t>
  </si>
  <si>
    <t>MALIBONGWE</t>
  </si>
  <si>
    <t xml:space="preserve">SHARLENE                      </t>
  </si>
  <si>
    <t>mopmbert</t>
  </si>
  <si>
    <t xml:space="preserve">DEEZ                          </t>
  </si>
  <si>
    <t>janet</t>
  </si>
  <si>
    <t xml:space="preserve">DARRYL                        </t>
  </si>
  <si>
    <t>gitesh</t>
  </si>
  <si>
    <t>VIVIAN</t>
  </si>
  <si>
    <t>PLS SATURDAY DELIVER CONTACT ARNEL ON 031 460 7627</t>
  </si>
  <si>
    <t>ARNEL RAMRAJ</t>
  </si>
  <si>
    <t>MDU</t>
  </si>
  <si>
    <t>domonic</t>
  </si>
  <si>
    <t>KOBUS</t>
  </si>
  <si>
    <t>NEVEN</t>
  </si>
  <si>
    <t xml:space="preserve">UNILEVER SA PTY LTD                </t>
  </si>
  <si>
    <t>MARLON PILLAY</t>
  </si>
  <si>
    <t xml:space="preserve">KEEGAN                        </t>
  </si>
  <si>
    <t>IMRAIN</t>
  </si>
  <si>
    <t xml:space="preserve">GELVENOR CONSOLIDATED FABRICS      </t>
  </si>
  <si>
    <t>sitho lozile</t>
  </si>
  <si>
    <t>TEDDY</t>
  </si>
  <si>
    <t xml:space="preserve">niki                          </t>
  </si>
  <si>
    <t xml:space="preserve">msrk                          </t>
  </si>
  <si>
    <t>DBC delivery requested by Enos   Festo</t>
  </si>
  <si>
    <t xml:space="preserve">J J MATTHEW                   </t>
  </si>
  <si>
    <t xml:space="preserve">HENDOK DISTRIBUTION (PTY) LTD      </t>
  </si>
  <si>
    <t>bradley</t>
  </si>
  <si>
    <t>sithozile</t>
  </si>
  <si>
    <t>keven</t>
  </si>
  <si>
    <t xml:space="preserve">TROPICAL PLASTICS   PACKAGING      </t>
  </si>
  <si>
    <t>CHANEL</t>
  </si>
  <si>
    <t>JOHANNESBURG</t>
  </si>
  <si>
    <t>ROBBY</t>
  </si>
  <si>
    <t>kerisha</t>
  </si>
  <si>
    <t xml:space="preserve">VINESSAN                      </t>
  </si>
  <si>
    <t>selwyn</t>
  </si>
  <si>
    <t xml:space="preserve">MONITOR DISTRIBUTORS CC            </t>
  </si>
  <si>
    <t>WALLY ALLEN</t>
  </si>
  <si>
    <t xml:space="preserve">PRECIOUS                      </t>
  </si>
  <si>
    <t xml:space="preserve">SIPHO                         </t>
  </si>
  <si>
    <t xml:space="preserve">TETRA PAK S.A (PTY) LTD            </t>
  </si>
  <si>
    <t>CECILIA</t>
  </si>
  <si>
    <t>LURCIANO</t>
  </si>
  <si>
    <t>POTCH</t>
  </si>
  <si>
    <t>POTCHEFSTROOM</t>
  </si>
  <si>
    <t xml:space="preserve">SCHOOL OF CHEMICAL   MINERALS      </t>
  </si>
  <si>
    <t>BENNI</t>
  </si>
  <si>
    <t>Geoge</t>
  </si>
  <si>
    <t>POD received from cell 0829780396 M</t>
  </si>
  <si>
    <t>MARGERET</t>
  </si>
  <si>
    <t>FAR</t>
  </si>
  <si>
    <t>CEDRIC</t>
  </si>
  <si>
    <t>MORNE</t>
  </si>
  <si>
    <t>GALLANT</t>
  </si>
  <si>
    <t xml:space="preserve">SHATTERPRUFE TRADING SA            </t>
  </si>
  <si>
    <t>DURVESH</t>
  </si>
  <si>
    <t>ASHWIN</t>
  </si>
  <si>
    <t>Split shipment</t>
  </si>
  <si>
    <t>SHM</t>
  </si>
  <si>
    <t>DOMONIC</t>
  </si>
  <si>
    <t xml:space="preserve">DU TIOT                       </t>
  </si>
  <si>
    <t xml:space="preserve">MIX TELEMATICS INTERNATIONAL P     </t>
  </si>
  <si>
    <t>BONITA BEINING</t>
  </si>
  <si>
    <t>LANCE</t>
  </si>
  <si>
    <t xml:space="preserve">MARK                          </t>
  </si>
  <si>
    <t xml:space="preserve">EEZY TRACK SYTEMS CC               </t>
  </si>
  <si>
    <t xml:space="preserve">NAEEM                         </t>
  </si>
  <si>
    <t>ZAHID</t>
  </si>
  <si>
    <t>sam</t>
  </si>
  <si>
    <t>audrey</t>
  </si>
  <si>
    <t xml:space="preserve">VOLKSWAGEN SA                      </t>
  </si>
  <si>
    <t>SHAMILE JOHNSON</t>
  </si>
  <si>
    <t xml:space="preserve">NESTLE SOUTH AFRICA PTY LTD        </t>
  </si>
  <si>
    <t>l t naiker</t>
  </si>
  <si>
    <t xml:space="preserve">VIP PLASTICS                       </t>
  </si>
  <si>
    <t>SAM WATERSON</t>
  </si>
  <si>
    <t>keri</t>
  </si>
  <si>
    <t>randacci</t>
  </si>
  <si>
    <t>randay</t>
  </si>
  <si>
    <t xml:space="preserve">ELVIN GROUP PTY LTD                </t>
  </si>
  <si>
    <t>linda</t>
  </si>
  <si>
    <t>nandipha</t>
  </si>
  <si>
    <t>SUE</t>
  </si>
  <si>
    <t>clive</t>
  </si>
  <si>
    <t xml:space="preserve">STATELINE PRESSED METAL            </t>
  </si>
  <si>
    <t>YOLAND</t>
  </si>
  <si>
    <t>neil</t>
  </si>
  <si>
    <t xml:space="preserve">MEGA - PAK                         </t>
  </si>
  <si>
    <t>zintle</t>
  </si>
  <si>
    <t xml:space="preserve">ALASTOR INVESTMENTS PTY LTD        </t>
  </si>
  <si>
    <t>tasha</t>
  </si>
  <si>
    <t xml:space="preserve">AFRIPACK CONSUMER FLEXIBLES PT     </t>
  </si>
  <si>
    <t>SITHEMBISO MADIDA</t>
  </si>
  <si>
    <t>WILSON</t>
  </si>
  <si>
    <t xml:space="preserve">MALESELA TAIHAN ELECTRIC CABLE     </t>
  </si>
  <si>
    <t>mazibuko</t>
  </si>
  <si>
    <t xml:space="preserve">GUTH NDE SOUTH AFRICA              </t>
  </si>
  <si>
    <t>ROMEO VAN DER BERG</t>
  </si>
  <si>
    <t>SHAWN</t>
  </si>
  <si>
    <t xml:space="preserve">CHAVDA FREIGHT PTY LTD             </t>
  </si>
  <si>
    <t>ABDURASHID DELIE</t>
  </si>
  <si>
    <t>fuzlin</t>
  </si>
  <si>
    <t>e jacobs</t>
  </si>
  <si>
    <t>POD received from cell 0829776131 M</t>
  </si>
  <si>
    <t xml:space="preserve">UMGENI WATER PINETOWN              </t>
  </si>
  <si>
    <t>olga</t>
  </si>
  <si>
    <t xml:space="preserve">FISHWICK PRINTERS                  </t>
  </si>
  <si>
    <t xml:space="preserve">PRINISHA                      </t>
  </si>
  <si>
    <t>RICKY</t>
  </si>
  <si>
    <t xml:space="preserve">SWIFT ENGINEERING SA               </t>
  </si>
  <si>
    <t>C DYERS</t>
  </si>
  <si>
    <t xml:space="preserve">RCL FOOD CONSUMER PTY LTD          </t>
  </si>
  <si>
    <t>DANRE</t>
  </si>
  <si>
    <t>cara</t>
  </si>
  <si>
    <t>DELINE</t>
  </si>
  <si>
    <t xml:space="preserve">CASH ACCOUNT XLB ENGINEERING       </t>
  </si>
  <si>
    <t>roan</t>
  </si>
  <si>
    <t>sharlan</t>
  </si>
  <si>
    <t>M MBAMBO</t>
  </si>
  <si>
    <t xml:space="preserve">DURR SOUTH AFRICA                  </t>
  </si>
  <si>
    <t>Archie</t>
  </si>
  <si>
    <t xml:space="preserve">JANINE                        </t>
  </si>
  <si>
    <t>MYEZA</t>
  </si>
  <si>
    <t>KELVIN</t>
  </si>
  <si>
    <t>LE RICHSE</t>
  </si>
  <si>
    <t xml:space="preserve">NATIONAL PARKAGING SYSTEM          </t>
  </si>
  <si>
    <t xml:space="preserve">JACOB                         </t>
  </si>
  <si>
    <t>KEEGAN</t>
  </si>
  <si>
    <t xml:space="preserve">AFRISAM SA                         </t>
  </si>
  <si>
    <t>ELTON NORMAN</t>
  </si>
  <si>
    <t>SBU</t>
  </si>
  <si>
    <t>NEELA</t>
  </si>
  <si>
    <t>SHANICE</t>
  </si>
  <si>
    <t xml:space="preserve">SENIOR FLEXONICS (SA) (PTY) LT     </t>
  </si>
  <si>
    <t>RUDEWAAN</t>
  </si>
  <si>
    <t>GAPPIE</t>
  </si>
  <si>
    <t>eric</t>
  </si>
  <si>
    <t>GPPIE</t>
  </si>
  <si>
    <t xml:space="preserve">Aldren </t>
  </si>
  <si>
    <t>TANYA</t>
  </si>
  <si>
    <t>SENIOR FLEXONICS  SA   PTY  LT</t>
  </si>
  <si>
    <t xml:space="preserve">ACAP HYDRO PNEUMATIC SUPPLY CC     </t>
  </si>
  <si>
    <t>LISA</t>
  </si>
  <si>
    <t xml:space="preserve">SASOL INFRACHEM                    </t>
  </si>
  <si>
    <t>MARKUS NOERTEMANN</t>
  </si>
  <si>
    <t>BABALWA</t>
  </si>
  <si>
    <t>THADI</t>
  </si>
  <si>
    <t xml:space="preserve">JANDRE                        </t>
  </si>
  <si>
    <t>taryyn</t>
  </si>
  <si>
    <t>RETURNED SAMPLE</t>
  </si>
  <si>
    <t>nicole</t>
  </si>
  <si>
    <t>nicholas</t>
  </si>
  <si>
    <t>SARGE</t>
  </si>
  <si>
    <t>ZINHLE</t>
  </si>
  <si>
    <t>ANZIO</t>
  </si>
  <si>
    <t>JARROD</t>
  </si>
  <si>
    <t>Mark</t>
  </si>
  <si>
    <t>GOODMAN</t>
  </si>
  <si>
    <t xml:space="preserve">GURTECH PTY LTD                    </t>
  </si>
  <si>
    <t xml:space="preserve">mcraigie                      </t>
  </si>
  <si>
    <t>SANDY (WAREHOUSE) NEVILLE</t>
  </si>
  <si>
    <t>CANDY</t>
  </si>
  <si>
    <t xml:space="preserve">PORCHIA                       </t>
  </si>
  <si>
    <t xml:space="preserve">S SURAKSHA                    </t>
  </si>
  <si>
    <t>C LINDALL</t>
  </si>
  <si>
    <t>CONRAD</t>
  </si>
  <si>
    <t xml:space="preserve">ROCHELEL PLATICS                   </t>
  </si>
  <si>
    <t xml:space="preserve">KUDZIE                        </t>
  </si>
  <si>
    <t>NOLUVUYO</t>
  </si>
  <si>
    <t>USED PART RETURNED</t>
  </si>
  <si>
    <t>MATTHEW KIDGELL</t>
  </si>
  <si>
    <t>DEEN</t>
  </si>
  <si>
    <t xml:space="preserve">R STRYDOM                     </t>
  </si>
  <si>
    <t>ruwan</t>
  </si>
  <si>
    <t>Lynette</t>
  </si>
  <si>
    <t>JWJF100000291</t>
  </si>
  <si>
    <t xml:space="preserve">SUPERIOR PACKAGING INDUSTRIES      </t>
  </si>
  <si>
    <t>RAVESH</t>
  </si>
  <si>
    <t xml:space="preserve">nwabisa                       </t>
  </si>
  <si>
    <t xml:space="preserve">RCL FOODS SUGAR   MILLING PTY      </t>
  </si>
  <si>
    <t>D ARNOLD</t>
  </si>
  <si>
    <t>TREVINO</t>
  </si>
  <si>
    <t xml:space="preserve">BAGSHAW GIBAUD (FOOTWEAR) PTY      </t>
  </si>
  <si>
    <t>GAIL</t>
  </si>
  <si>
    <t>hardy</t>
  </si>
  <si>
    <t xml:space="preserve">INTERMARKET PTY LTD                </t>
  </si>
  <si>
    <t>JEANIE</t>
  </si>
  <si>
    <t>JEANINE</t>
  </si>
  <si>
    <t xml:space="preserve">alex                          </t>
  </si>
  <si>
    <t>David Visagie</t>
  </si>
  <si>
    <t xml:space="preserve">LOMBARD                       </t>
  </si>
  <si>
    <t>enca</t>
  </si>
  <si>
    <t xml:space="preserve">FABRINOX CC                        </t>
  </si>
  <si>
    <t>ANGELIQUE GOOSEN</t>
  </si>
  <si>
    <t xml:space="preserve">WAYNE                         </t>
  </si>
  <si>
    <t xml:space="preserve">I JOSHUA                      </t>
  </si>
  <si>
    <t>H GASKIN</t>
  </si>
  <si>
    <t>sheldon</t>
  </si>
  <si>
    <t>george</t>
  </si>
  <si>
    <t>KEENAN COVERLY</t>
  </si>
  <si>
    <t xml:space="preserve">HOSAF FIBRES (PTY) LTD             </t>
  </si>
  <si>
    <t>rolan</t>
  </si>
  <si>
    <t>NWABISA</t>
  </si>
  <si>
    <t>DBC DELIVERY REQUESTED BY ENOS   TONY</t>
  </si>
  <si>
    <t xml:space="preserve">WERNER                        </t>
  </si>
  <si>
    <t>AKHONA</t>
  </si>
  <si>
    <t>KAIZER</t>
  </si>
  <si>
    <t>steve</t>
  </si>
  <si>
    <t>nqoba</t>
  </si>
  <si>
    <t xml:space="preserve">GRY                           </t>
  </si>
  <si>
    <t>ashwin</t>
  </si>
  <si>
    <t xml:space="preserve">MAIN STREET 1310 PTY LTD           </t>
  </si>
  <si>
    <t>NOEL KING</t>
  </si>
  <si>
    <t>ROSLYN</t>
  </si>
  <si>
    <t>candy</t>
  </si>
  <si>
    <t xml:space="preserve">JANRE                         </t>
  </si>
  <si>
    <t>BONGIWE</t>
  </si>
  <si>
    <t>SHARLENE</t>
  </si>
  <si>
    <t>BOUWER</t>
  </si>
  <si>
    <t>c emser</t>
  </si>
  <si>
    <t>nahtan</t>
  </si>
  <si>
    <t xml:space="preserve">CASH ACCOUNT -RUBICON ELECTRIC     </t>
  </si>
  <si>
    <t>NADIA</t>
  </si>
  <si>
    <t>nkululeko</t>
  </si>
  <si>
    <t xml:space="preserve">GARTH                         </t>
  </si>
  <si>
    <t xml:space="preserve">GUALA CLOSURES S.A                 </t>
  </si>
  <si>
    <t xml:space="preserve">LYNN DAVIDS                   </t>
  </si>
  <si>
    <t>JAKO</t>
  </si>
  <si>
    <t>DOMINIC</t>
  </si>
  <si>
    <t xml:space="preserve">MOEGAMAT                      </t>
  </si>
  <si>
    <t>E VN WYK</t>
  </si>
  <si>
    <t>NOLVUYO</t>
  </si>
  <si>
    <t>WILIAM</t>
  </si>
  <si>
    <t xml:space="preserve">CAPE OIL   MARGARINE (PTY) LTD     </t>
  </si>
  <si>
    <t>AZGAR MAHTHOO</t>
  </si>
  <si>
    <t>AZGAR</t>
  </si>
  <si>
    <t xml:space="preserve">E VN WYK                      </t>
  </si>
  <si>
    <t xml:space="preserve">PROCHIA                       </t>
  </si>
  <si>
    <t>LOAN</t>
  </si>
  <si>
    <t>ryno</t>
  </si>
  <si>
    <t xml:space="preserve">REAL PNEUMATICS                    </t>
  </si>
  <si>
    <t>.</t>
  </si>
  <si>
    <t>RODNEY</t>
  </si>
  <si>
    <t>PCL</t>
  </si>
  <si>
    <t>URGENT OLLECTION READY NOW CLOSING BOFORE 16H30</t>
  </si>
  <si>
    <t>COENRAAD</t>
  </si>
  <si>
    <t xml:space="preserve">TIGER CONSUMER BRANDS LTD T A      </t>
  </si>
  <si>
    <t xml:space="preserve">rabi                          </t>
  </si>
  <si>
    <t>NIKI</t>
  </si>
  <si>
    <t>JORDRE</t>
  </si>
  <si>
    <t xml:space="preserve">jarro                         </t>
  </si>
  <si>
    <t xml:space="preserve">ille                          </t>
  </si>
  <si>
    <t xml:space="preserve">g                                       </t>
  </si>
  <si>
    <t>rum</t>
  </si>
  <si>
    <t>TRAMAN</t>
  </si>
  <si>
    <t xml:space="preserve">CHRIS                         </t>
  </si>
  <si>
    <t>s rossouw</t>
  </si>
  <si>
    <t xml:space="preserve">ashraf                        </t>
  </si>
  <si>
    <t xml:space="preserve">RAINBOW FARMS (PTY) LTD            </t>
  </si>
  <si>
    <t>m zum</t>
  </si>
  <si>
    <t xml:space="preserve">DE BEERS GROUP SERVICES            </t>
  </si>
  <si>
    <t xml:space="preserve">abe                           </t>
  </si>
  <si>
    <t xml:space="preserve">PIONEER FOODS PTY LTD              </t>
  </si>
  <si>
    <t>ritesh</t>
  </si>
  <si>
    <t>marvin</t>
  </si>
  <si>
    <t>sema</t>
  </si>
  <si>
    <t>zinhle</t>
  </si>
  <si>
    <t>M HENS</t>
  </si>
  <si>
    <t xml:space="preserve">EAST BALT SA                       </t>
  </si>
  <si>
    <t>nicolette</t>
  </si>
  <si>
    <t>CHASE</t>
  </si>
  <si>
    <t xml:space="preserve">naomi                         </t>
  </si>
  <si>
    <t xml:space="preserve">LEAR SEWING PTY LTD                </t>
  </si>
  <si>
    <t>ntombikayiso</t>
  </si>
  <si>
    <t xml:space="preserve">bongani                       </t>
  </si>
  <si>
    <t xml:space="preserve">HOQALA PROJECTS                    </t>
  </si>
  <si>
    <t>JONDRE</t>
  </si>
  <si>
    <t>neli</t>
  </si>
  <si>
    <t>dorren</t>
  </si>
  <si>
    <t xml:space="preserve">m hadebe                      </t>
  </si>
  <si>
    <t xml:space="preserve">quinto                        </t>
  </si>
  <si>
    <t xml:space="preserve">ravesh                        </t>
  </si>
  <si>
    <t>fikile</t>
  </si>
  <si>
    <t xml:space="preserve">WILLOWTON OIL   CAKE MILLS         </t>
  </si>
  <si>
    <t xml:space="preserve">shaheed                       </t>
  </si>
  <si>
    <t xml:space="preserve">PE HYDRAULIC   PNEUMATICS          </t>
  </si>
  <si>
    <t>RAKESH</t>
  </si>
  <si>
    <t>LAMLA</t>
  </si>
  <si>
    <t xml:space="preserve">ALBANY BAKERIES A DIVISION OF      </t>
  </si>
  <si>
    <t xml:space="preserve">vijay                         </t>
  </si>
  <si>
    <t>BRENDA</t>
  </si>
  <si>
    <t xml:space="preserve">jeff                          </t>
  </si>
  <si>
    <t>ETTIENNE</t>
  </si>
  <si>
    <t>buyile</t>
  </si>
  <si>
    <t>ntuthu</t>
  </si>
  <si>
    <t xml:space="preserve">LN AUTOMATION                      </t>
  </si>
  <si>
    <t>SHANAAZ</t>
  </si>
  <si>
    <t xml:space="preserve">MORNAY                        </t>
  </si>
  <si>
    <t>SOLOMON</t>
  </si>
  <si>
    <t xml:space="preserve">nokubonga                     </t>
  </si>
  <si>
    <t xml:space="preserve">vikhash                       </t>
  </si>
  <si>
    <t xml:space="preserve">riaan                         </t>
  </si>
  <si>
    <t>MALCOM</t>
  </si>
  <si>
    <t>nany</t>
  </si>
  <si>
    <t xml:space="preserve">HITECH SAFETY GLASS SA PTY LTD     </t>
  </si>
  <si>
    <t>RONICA</t>
  </si>
  <si>
    <t xml:space="preserve">aiden                         </t>
  </si>
  <si>
    <t xml:space="preserve">prem                          </t>
  </si>
  <si>
    <t xml:space="preserve">keegan                        </t>
  </si>
  <si>
    <t>dhaya</t>
  </si>
  <si>
    <t>SHAKILI</t>
  </si>
  <si>
    <t>ALDIETTE</t>
  </si>
  <si>
    <t xml:space="preserve">KEITH                         </t>
  </si>
  <si>
    <t xml:space="preserve">AMS BEARING CC                     </t>
  </si>
  <si>
    <t>LENNY</t>
  </si>
  <si>
    <t xml:space="preserve">lenny                         </t>
  </si>
  <si>
    <t>thushini</t>
  </si>
  <si>
    <t xml:space="preserve">HYGIENIC TISSUE MILL               </t>
  </si>
  <si>
    <t>IMTIAZ HOOSEN</t>
  </si>
  <si>
    <t xml:space="preserve">zakia                         </t>
  </si>
  <si>
    <t>werenr</t>
  </si>
  <si>
    <t>PORT4</t>
  </si>
  <si>
    <t>PORT SHEPSTONE</t>
  </si>
  <si>
    <t xml:space="preserve">HYDROMATIC ENTERPRISES PTY LTD     </t>
  </si>
  <si>
    <t>dheroshan</t>
  </si>
  <si>
    <t>VERMON</t>
  </si>
  <si>
    <t>ZUM</t>
  </si>
  <si>
    <t xml:space="preserve">subesh                        </t>
  </si>
  <si>
    <t xml:space="preserve">CO STAMP                      </t>
  </si>
  <si>
    <t xml:space="preserve">DBN GENERAL APOSTOLIDES            </t>
  </si>
  <si>
    <t>TAHLO</t>
  </si>
  <si>
    <t>juanita</t>
  </si>
  <si>
    <t xml:space="preserve">norman                        </t>
  </si>
  <si>
    <t xml:space="preserve">CLOVER S.A                         </t>
  </si>
  <si>
    <t>MABOY</t>
  </si>
  <si>
    <t xml:space="preserve">tyran                         </t>
  </si>
  <si>
    <t>l opperman</t>
  </si>
  <si>
    <t>ON1 DELIVERY REQUESTED BY RAMESH PILLAY</t>
  </si>
  <si>
    <t xml:space="preserve">B BELL                        </t>
  </si>
  <si>
    <t xml:space="preserve">VERULAM HYDRAULICS                 </t>
  </si>
  <si>
    <t>ON2</t>
  </si>
  <si>
    <t>AVI</t>
  </si>
  <si>
    <t xml:space="preserve">XOLANI                        </t>
  </si>
  <si>
    <t xml:space="preserve">GRIDNIC AGENCIES CC                </t>
  </si>
  <si>
    <t>GORDON NIEMAND</t>
  </si>
  <si>
    <t>GORDON</t>
  </si>
  <si>
    <t xml:space="preserve">EME SYSTEMS                        </t>
  </si>
  <si>
    <t>YOLANDI</t>
  </si>
  <si>
    <t>Sharishna</t>
  </si>
  <si>
    <t>HARRI</t>
  </si>
  <si>
    <t>HARRISMITH</t>
  </si>
  <si>
    <t xml:space="preserve">NESTLE SA                          </t>
  </si>
  <si>
    <t>JACO VAN NIEKERK</t>
  </si>
  <si>
    <t xml:space="preserve">MICHAEL                       </t>
  </si>
  <si>
    <t>masi</t>
  </si>
  <si>
    <t>JANDRE</t>
  </si>
  <si>
    <t>HENRY</t>
  </si>
  <si>
    <t>BRADLEY</t>
  </si>
  <si>
    <t>ashley</t>
  </si>
  <si>
    <t xml:space="preserve">NEWSHELF 1167 PTY LTD              </t>
  </si>
  <si>
    <t>ALEX NTANZI</t>
  </si>
  <si>
    <t>r naidoo</t>
  </si>
  <si>
    <t xml:space="preserve">TRUDA SNACKS CAPE CC               </t>
  </si>
  <si>
    <t>DEEN - AMIR GEORGE</t>
  </si>
  <si>
    <t>reggie</t>
  </si>
  <si>
    <t xml:space="preserve">ERNEST                        </t>
  </si>
  <si>
    <t>SIGN</t>
  </si>
  <si>
    <t xml:space="preserve">doreen                        </t>
  </si>
  <si>
    <t>pooven</t>
  </si>
  <si>
    <t>kari</t>
  </si>
  <si>
    <t>devan</t>
  </si>
  <si>
    <t>JOLENE</t>
  </si>
  <si>
    <t xml:space="preserve">RENIER                        </t>
  </si>
  <si>
    <t>MOSES MRARA</t>
  </si>
  <si>
    <t xml:space="preserve">SARGE                         </t>
  </si>
  <si>
    <t xml:space="preserve">ALL ROUND ENGINEERING              </t>
  </si>
  <si>
    <t>Anthony</t>
  </si>
  <si>
    <t>B KRITZINGER</t>
  </si>
  <si>
    <t>SIPHIWE GWAMBE</t>
  </si>
  <si>
    <t>IELG</t>
  </si>
  <si>
    <t>nomfundo</t>
  </si>
  <si>
    <t xml:space="preserve">ernest                        </t>
  </si>
  <si>
    <t xml:space="preserve">JARROD                        </t>
  </si>
  <si>
    <t xml:space="preserve">BJORN                         </t>
  </si>
  <si>
    <t>c b zuke</t>
  </si>
  <si>
    <t>zuke</t>
  </si>
  <si>
    <t>SHARIA</t>
  </si>
  <si>
    <t xml:space="preserve">TRELLICOR (PTY) LTD                </t>
  </si>
  <si>
    <t xml:space="preserve">thobile                       </t>
  </si>
  <si>
    <t>gay</t>
  </si>
  <si>
    <t>HENNE</t>
  </si>
  <si>
    <t>HENNENMAN</t>
  </si>
  <si>
    <t xml:space="preserve">TIGER CONSUMER BRANDS LTD          </t>
  </si>
  <si>
    <t>ASHLEY</t>
  </si>
  <si>
    <t xml:space="preserve">JLINC T A TAMASA TRADING 213 C     </t>
  </si>
  <si>
    <t>JURGEN LUTZELER</t>
  </si>
  <si>
    <t>j lutzeler</t>
  </si>
  <si>
    <t>l walters</t>
  </si>
  <si>
    <t>SIBEL OMER</t>
  </si>
  <si>
    <t>shamaine</t>
  </si>
  <si>
    <t>dan</t>
  </si>
  <si>
    <t>RICH2</t>
  </si>
  <si>
    <t>RICHMOND (NATAL)</t>
  </si>
  <si>
    <t xml:space="preserve">CHANTILLY WATER PTY LTD            </t>
  </si>
  <si>
    <t>MADELYNE</t>
  </si>
  <si>
    <t>anil</t>
  </si>
  <si>
    <t xml:space="preserve">SPEC TOOL   DIE   GENERAL ENGI     </t>
  </si>
  <si>
    <t>jarrett</t>
  </si>
  <si>
    <t xml:space="preserve">PAARMAN FOODS (PTY) LTD            </t>
  </si>
  <si>
    <t>sarAH</t>
  </si>
  <si>
    <t>STIX</t>
  </si>
  <si>
    <t>COMP STAMP</t>
  </si>
  <si>
    <t>CINDY</t>
  </si>
  <si>
    <t>BELINDA</t>
  </si>
  <si>
    <t xml:space="preserve">BJOERN                        </t>
  </si>
  <si>
    <t>MBONOMTSHA</t>
  </si>
  <si>
    <t xml:space="preserve">WESLEY                        </t>
  </si>
  <si>
    <t>CANDICE</t>
  </si>
  <si>
    <t>shahid</t>
  </si>
  <si>
    <t>loyisa</t>
  </si>
  <si>
    <t>JUDY</t>
  </si>
  <si>
    <t>CHUME</t>
  </si>
  <si>
    <t>NOZETHU</t>
  </si>
  <si>
    <t xml:space="preserve">CASH ACCOUNT -AZA ELECTRICAL C     </t>
  </si>
  <si>
    <t>SIGNATURE</t>
  </si>
  <si>
    <t>Company Closed</t>
  </si>
  <si>
    <t>ans</t>
  </si>
  <si>
    <t xml:space="preserve">G.U.D HOLDINGS                     </t>
  </si>
  <si>
    <t>Ramona Naidoo</t>
  </si>
  <si>
    <t>m blunt</t>
  </si>
  <si>
    <t>SHORT SUPLYER</t>
  </si>
  <si>
    <t>T SMITH</t>
  </si>
  <si>
    <t>MICHELLE   WESLEY</t>
  </si>
  <si>
    <t>ayena</t>
  </si>
  <si>
    <t xml:space="preserve">BACK BONE                          </t>
  </si>
  <si>
    <t>QUINTUS BURGER</t>
  </si>
  <si>
    <t>DANIE</t>
  </si>
  <si>
    <t>Marcel</t>
  </si>
  <si>
    <t>niren</t>
  </si>
  <si>
    <t>NERINA</t>
  </si>
  <si>
    <t>STHEL</t>
  </si>
  <si>
    <t>ST HELENABAAI</t>
  </si>
  <si>
    <t xml:space="preserve">WEST PIONT PROCESSORS              </t>
  </si>
  <si>
    <t>ESHRILL</t>
  </si>
  <si>
    <t xml:space="preserve">BEVCAN A DIVISION OF NAMPAK        </t>
  </si>
  <si>
    <t>ANDRE CRONJE</t>
  </si>
  <si>
    <t>SERENE</t>
  </si>
  <si>
    <t>Driver late</t>
  </si>
  <si>
    <t xml:space="preserve">SEDIBENG BREWERIES                 </t>
  </si>
  <si>
    <t xml:space="preserve">lusani                        </t>
  </si>
  <si>
    <t>FESTO PTY LTD</t>
  </si>
  <si>
    <t xml:space="preserve">JENDARMAARK AUTOMATION PTY LTD     </t>
  </si>
  <si>
    <t>SHUKELA TRAINING CENTRE ( THE FESTO</t>
  </si>
  <si>
    <t>URGENT COLLECTION READY TOMORROW THE 20-10-2016 AT 9H00 PLEA</t>
  </si>
  <si>
    <t>SAMMY</t>
  </si>
  <si>
    <t>uilleg</t>
  </si>
  <si>
    <t>URGENT COLLECTION  READY NOW CLOSING AT 16H00</t>
  </si>
  <si>
    <t>TSE</t>
  </si>
  <si>
    <t xml:space="preserve">ISLAND VIEW STORAGE                </t>
  </si>
  <si>
    <t>mandla</t>
  </si>
  <si>
    <t>URGENT COLLECTOIN REDAY NOW CLOSING 16H00</t>
  </si>
  <si>
    <t>ROLINE</t>
  </si>
  <si>
    <t>m zuma</t>
  </si>
  <si>
    <t xml:space="preserve">linde   wiemann                    </t>
  </si>
  <si>
    <t xml:space="preserve">festo                              </t>
  </si>
  <si>
    <t>tarrtyn</t>
  </si>
  <si>
    <t xml:space="preserve">KAREN                         </t>
  </si>
  <si>
    <t xml:space="preserve">CAMIN                         </t>
  </si>
  <si>
    <t>morne</t>
  </si>
  <si>
    <t xml:space="preserve">DNH MANUFACTURING (PTY) LTD        </t>
  </si>
  <si>
    <t>uiellg</t>
  </si>
  <si>
    <t>IELLG</t>
  </si>
  <si>
    <t xml:space="preserve">FRESENIUS KABI MANUFACTURING       </t>
  </si>
  <si>
    <t>luthando</t>
  </si>
  <si>
    <t xml:space="preserve">ndiko                         </t>
  </si>
  <si>
    <t xml:space="preserve">cindy                         </t>
  </si>
  <si>
    <t>iekllg</t>
  </si>
  <si>
    <t>clinton</t>
  </si>
  <si>
    <t xml:space="preserve">CERES FRUIT PROCESSORS LTD         </t>
  </si>
  <si>
    <t>CALLIE JACOBS</t>
  </si>
  <si>
    <t xml:space="preserve">Signature unclear </t>
  </si>
  <si>
    <t xml:space="preserve">WEELA A                       </t>
  </si>
  <si>
    <t>tartryn</t>
  </si>
  <si>
    <t>verona</t>
  </si>
  <si>
    <t>RANDY</t>
  </si>
  <si>
    <t xml:space="preserve">G.U.D. HOLDINGS                    </t>
  </si>
  <si>
    <t>DIDACTIC SHIPMENTS REQUESTED BY SAMMY FESTO</t>
  </si>
  <si>
    <t>DEREK ALLEN</t>
  </si>
  <si>
    <t xml:space="preserve">SHELDON                       </t>
  </si>
  <si>
    <t>LUTHANDO</t>
  </si>
  <si>
    <t>tarryn</t>
  </si>
  <si>
    <t xml:space="preserve">CBI ELECTRIC AFRICAN CABLES        </t>
  </si>
  <si>
    <t>CLIFFORD</t>
  </si>
  <si>
    <t>NELLY</t>
  </si>
  <si>
    <t>GARY</t>
  </si>
  <si>
    <t>CANNON</t>
  </si>
  <si>
    <t>TOM</t>
  </si>
  <si>
    <t>AUBREY</t>
  </si>
  <si>
    <t xml:space="preserve">LITTLE GREEN BEVERAGES             </t>
  </si>
  <si>
    <t>GERALDENEP</t>
  </si>
  <si>
    <t xml:space="preserve">geraldene                     </t>
  </si>
  <si>
    <t xml:space="preserve">hardus                        </t>
  </si>
  <si>
    <t>sandisile</t>
  </si>
  <si>
    <t xml:space="preserve">DEDISA PEAKING POWER PTY LTD       </t>
  </si>
  <si>
    <t>YOLANDA ZWANE</t>
  </si>
  <si>
    <t>SHANE</t>
  </si>
  <si>
    <t>J LAKAY</t>
  </si>
  <si>
    <t>M KIDGELL</t>
  </si>
  <si>
    <t>JALENE</t>
  </si>
  <si>
    <t xml:space="preserve">LEGACY MARINE (PTY) LTD            </t>
  </si>
  <si>
    <t>NICOLETTE</t>
  </si>
  <si>
    <t xml:space="preserve">CIRCUIT DISTR                      </t>
  </si>
  <si>
    <t>AISLYNN</t>
  </si>
  <si>
    <t>TRACY</t>
  </si>
  <si>
    <t>LINCOLN</t>
  </si>
  <si>
    <t>GRABO</t>
  </si>
  <si>
    <t>GRABOUW</t>
  </si>
  <si>
    <t xml:space="preserve">APPLETISER sa (PTY) LTD            </t>
  </si>
  <si>
    <t>denver</t>
  </si>
  <si>
    <t>anneline</t>
  </si>
  <si>
    <t>SANDILE</t>
  </si>
  <si>
    <t>daphne</t>
  </si>
  <si>
    <t>stephanie</t>
  </si>
  <si>
    <t>prooven</t>
  </si>
  <si>
    <t>DANNY</t>
  </si>
  <si>
    <t>nwabisa</t>
  </si>
  <si>
    <t xml:space="preserve">L RANA                        </t>
  </si>
  <si>
    <t>HILTO</t>
  </si>
  <si>
    <t>HILTON</t>
  </si>
  <si>
    <t xml:space="preserve">BAILEYS PEGS 2000 PTY LTD          </t>
  </si>
  <si>
    <t>MIKE ALLEN</t>
  </si>
  <si>
    <t>mcallen</t>
  </si>
  <si>
    <t xml:space="preserve">GENERAL PNEUMATICS NATAL PTY L     </t>
  </si>
  <si>
    <t>ISABEL UNGERER</t>
  </si>
  <si>
    <t xml:space="preserve">SYLKO PAPER COMPANY PTY LTD        </t>
  </si>
  <si>
    <t>MAUREEN</t>
  </si>
  <si>
    <t xml:space="preserve">PAIL PAC PTY LTD                   </t>
  </si>
  <si>
    <t>ZOLILE MTHEMBU</t>
  </si>
  <si>
    <t>sham</t>
  </si>
  <si>
    <t>ALEXIA</t>
  </si>
  <si>
    <t xml:space="preserve">S.A. LITHO PRINTINGS   PACK. (     </t>
  </si>
  <si>
    <t xml:space="preserve">a walters                     </t>
  </si>
  <si>
    <t>tersia</t>
  </si>
  <si>
    <t xml:space="preserve">ARNSCHELL HYDRAULICS CC            </t>
  </si>
  <si>
    <t>CONDRAD</t>
  </si>
  <si>
    <t>Box Box</t>
  </si>
  <si>
    <t xml:space="preserve">BEN TELLER                         </t>
  </si>
  <si>
    <t>PHIL LESOALO</t>
  </si>
  <si>
    <t>pulchaels</t>
  </si>
  <si>
    <t>ROWENA</t>
  </si>
  <si>
    <t>PAM</t>
  </si>
  <si>
    <t>nokubonga</t>
  </si>
  <si>
    <t xml:space="preserve">MASONITE AFRICA LTD                </t>
  </si>
  <si>
    <t>DBN STORES</t>
  </si>
  <si>
    <t xml:space="preserve">magda                         </t>
  </si>
  <si>
    <t xml:space="preserve">MARLEY SA PTY LTD                  </t>
  </si>
  <si>
    <t>JERRY   DANIE</t>
  </si>
  <si>
    <t>KERUSHA</t>
  </si>
  <si>
    <t>SIFISO</t>
  </si>
  <si>
    <t>wesley</t>
  </si>
  <si>
    <t>BETULA</t>
  </si>
  <si>
    <t>mcraiger</t>
  </si>
  <si>
    <t>baid</t>
  </si>
  <si>
    <t xml:space="preserve">CONSOL GLASS (PTY) LTD             </t>
  </si>
  <si>
    <t xml:space="preserve">LIDNEY                        </t>
  </si>
  <si>
    <t>SURAYA</t>
  </si>
  <si>
    <t xml:space="preserve">PARMALAT SA (PTY) LTD              </t>
  </si>
  <si>
    <t>ivan</t>
  </si>
  <si>
    <t xml:space="preserve">MARIO                         </t>
  </si>
  <si>
    <t xml:space="preserve">marcelino                     </t>
  </si>
  <si>
    <t xml:space="preserve">DGB PTY LTD                        </t>
  </si>
  <si>
    <t>donique</t>
  </si>
  <si>
    <t xml:space="preserve">thadi                         </t>
  </si>
  <si>
    <t xml:space="preserve">VICTORY ELECTRICAL CC              </t>
  </si>
  <si>
    <t>LEON CHRISTIANS</t>
  </si>
  <si>
    <t>tracey</t>
  </si>
  <si>
    <t>D LUYT</t>
  </si>
  <si>
    <t>ilel g</t>
  </si>
  <si>
    <t xml:space="preserve">INDUSTRIAL CONTROL AUTOMATION      </t>
  </si>
  <si>
    <t>nhlanhla</t>
  </si>
  <si>
    <t>LINDANI</t>
  </si>
  <si>
    <t>CHARLES</t>
  </si>
  <si>
    <t>rosemary</t>
  </si>
  <si>
    <t>meela</t>
  </si>
  <si>
    <t xml:space="preserve">sthembiso zondi               </t>
  </si>
  <si>
    <t>SAVY</t>
  </si>
  <si>
    <t>Appointment required</t>
  </si>
  <si>
    <t xml:space="preserve">RANDALL                       </t>
  </si>
  <si>
    <t>iel lg</t>
  </si>
  <si>
    <t>ADRIAN</t>
  </si>
  <si>
    <t>UMBOG</t>
  </si>
  <si>
    <t>UMBOGINTWINI</t>
  </si>
  <si>
    <t xml:space="preserve">RAPID AIRTOOL REPAIRS CC           </t>
  </si>
  <si>
    <t>joey</t>
  </si>
  <si>
    <t>buuyile</t>
  </si>
  <si>
    <t>graham</t>
  </si>
  <si>
    <t xml:space="preserve">NATIONAL BIOPRODUCTS INST          </t>
  </si>
  <si>
    <t>NIKI DEELEY-BARNARD</t>
  </si>
  <si>
    <t>khumbz</t>
  </si>
  <si>
    <t>r v nzama</t>
  </si>
  <si>
    <t>g lundall</t>
  </si>
  <si>
    <t xml:space="preserve">J.J PRECISION PLASTICS             </t>
  </si>
  <si>
    <t xml:space="preserve">ryan                          </t>
  </si>
  <si>
    <t xml:space="preserve">litty                         </t>
  </si>
  <si>
    <t>GOVIN</t>
  </si>
  <si>
    <t>ANDISON</t>
  </si>
  <si>
    <t>j lacey</t>
  </si>
  <si>
    <t>CAL</t>
  </si>
  <si>
    <t>g linday</t>
  </si>
  <si>
    <t>JEANDRE DREYER</t>
  </si>
  <si>
    <t xml:space="preserve">SAFRIPOL (PTY) LTD                 </t>
  </si>
  <si>
    <t xml:space="preserve">CLOVER SA (PTY) LTD                </t>
  </si>
  <si>
    <t xml:space="preserve">sanjay                        </t>
  </si>
  <si>
    <t xml:space="preserve">JANIEN                        </t>
  </si>
  <si>
    <t xml:space="preserve">METIER MIXED CONCRETE              </t>
  </si>
  <si>
    <t>KELVIN PADAYACHEE</t>
  </si>
  <si>
    <t xml:space="preserve">FELTEX AUTOMOTIVE TRIM             </t>
  </si>
  <si>
    <t xml:space="preserve">joe                           </t>
  </si>
  <si>
    <t>ADRIAAN</t>
  </si>
  <si>
    <t xml:space="preserve">anandi                        </t>
  </si>
  <si>
    <t>JO-ANN</t>
  </si>
  <si>
    <t>aphize</t>
  </si>
  <si>
    <t xml:space="preserve">ALISTER                       </t>
  </si>
  <si>
    <t>maruis</t>
  </si>
  <si>
    <t xml:space="preserve">GASCON PTY LTD                     </t>
  </si>
  <si>
    <t>PRISCILLA</t>
  </si>
  <si>
    <t>jean</t>
  </si>
  <si>
    <t>POD received from cell 0837646764 M</t>
  </si>
  <si>
    <t>g ermer</t>
  </si>
  <si>
    <t>HARDUS COETZEE</t>
  </si>
  <si>
    <t xml:space="preserve">HARDUS                        </t>
  </si>
  <si>
    <t xml:space="preserve">ALPHA HYDRAULICS                   </t>
  </si>
  <si>
    <t>andrein</t>
  </si>
  <si>
    <t xml:space="preserve">FILTECH AUTOMATION CC              </t>
  </si>
  <si>
    <t xml:space="preserve">PLANET C1                          </t>
  </si>
  <si>
    <t>LINDE WIEMANN</t>
  </si>
  <si>
    <t>VANNESA</t>
  </si>
  <si>
    <t>RD1</t>
  </si>
  <si>
    <t>ADAM</t>
  </si>
  <si>
    <t>URGENT COLLECTION READY NOW AND CLOSING 16H00</t>
  </si>
  <si>
    <t>URGENT COLLECTION READY NOW CLOSING BEFOR 17H00</t>
  </si>
  <si>
    <t xml:space="preserve">ILELG                         </t>
  </si>
  <si>
    <t>LOBIUS</t>
  </si>
  <si>
    <t>ruan</t>
  </si>
  <si>
    <t xml:space="preserve">INDEPENDENT NEWSPAPER PTY LTD      </t>
  </si>
  <si>
    <t>DAVE NOAKES</t>
  </si>
  <si>
    <t>chantal</t>
  </si>
  <si>
    <t>CONNIE</t>
  </si>
  <si>
    <t>ROZELLE SCOTSON</t>
  </si>
  <si>
    <t xml:space="preserve">NATIONAL BRAND                     </t>
  </si>
  <si>
    <t>LIZA</t>
  </si>
  <si>
    <t xml:space="preserve">ROBOTIC HANDLING SYSTEMS CC        </t>
  </si>
  <si>
    <t>Derek Albert</t>
  </si>
  <si>
    <t xml:space="preserve">debbie                        </t>
  </si>
  <si>
    <t>amitha</t>
  </si>
  <si>
    <t>conrud</t>
  </si>
  <si>
    <t>NONTOKOZO</t>
  </si>
  <si>
    <t>SHEILA</t>
  </si>
  <si>
    <t xml:space="preserve">L HAZAK                       </t>
  </si>
  <si>
    <t>kurt</t>
  </si>
  <si>
    <t>joham</t>
  </si>
  <si>
    <t xml:space="preserve">KEYSTONE HATCHERY                  </t>
  </si>
  <si>
    <t xml:space="preserve">roshni                        </t>
  </si>
  <si>
    <t xml:space="preserve">FFS REFINERS PTY LTD               </t>
  </si>
  <si>
    <t>SHARNA JO ANNE BRADY</t>
  </si>
  <si>
    <t xml:space="preserve">VENNESIA                      </t>
  </si>
  <si>
    <t>a lutzeler</t>
  </si>
  <si>
    <t>c rossouw</t>
  </si>
  <si>
    <t>BERNARD</t>
  </si>
  <si>
    <t>lance</t>
  </si>
  <si>
    <t xml:space="preserve">r s saroha                    </t>
  </si>
  <si>
    <t>zahiod</t>
  </si>
  <si>
    <t xml:space="preserve">nhlanhla                      </t>
  </si>
  <si>
    <t xml:space="preserve">LW TANK SYSTEMS CC                 </t>
  </si>
  <si>
    <t>gladys</t>
  </si>
  <si>
    <t>CARISTEN</t>
  </si>
  <si>
    <t xml:space="preserve">trevor                        </t>
  </si>
  <si>
    <t>alta</t>
  </si>
  <si>
    <t>NOZETH</t>
  </si>
  <si>
    <t xml:space="preserve">MARTIN   MARTIN  PTY LTD           </t>
  </si>
  <si>
    <t>SONJA</t>
  </si>
  <si>
    <t>v brooks</t>
  </si>
  <si>
    <t xml:space="preserve">GRAPETEK PTY LTD                   </t>
  </si>
  <si>
    <t>PAUL MOLT</t>
  </si>
  <si>
    <t>SDX DELIVERY URGENT ORDER</t>
  </si>
  <si>
    <t>D SPOONER</t>
  </si>
  <si>
    <t>tumie</t>
  </si>
  <si>
    <t>S MOMASTER</t>
  </si>
  <si>
    <t>B MICHAELS</t>
  </si>
  <si>
    <t>BINGLE</t>
  </si>
  <si>
    <t>BURGWER</t>
  </si>
  <si>
    <t>DANIEL</t>
  </si>
  <si>
    <t>h human</t>
  </si>
  <si>
    <t xml:space="preserve">IELLG                         </t>
  </si>
  <si>
    <t>CARISTON</t>
  </si>
  <si>
    <t>mizo</t>
  </si>
  <si>
    <t>JJ MEYER</t>
  </si>
  <si>
    <t>J MEYER</t>
  </si>
  <si>
    <t xml:space="preserve">TUNA MARINE FOODS (PTY) LTD        </t>
  </si>
  <si>
    <t>YVONNE</t>
  </si>
  <si>
    <t xml:space="preserve">GIZA TECHNOLOGIES                  </t>
  </si>
  <si>
    <t>MARK WHITTOCK</t>
  </si>
  <si>
    <t xml:space="preserve">JAKBUS                        </t>
  </si>
  <si>
    <t xml:space="preserve">VOLTEX PINETOWN PTY LTD            </t>
  </si>
  <si>
    <t xml:space="preserve">pat                           </t>
  </si>
  <si>
    <t>Eugene</t>
  </si>
  <si>
    <t xml:space="preserve">FRIMAX FOODS (PTY) LTD             </t>
  </si>
  <si>
    <t>TRACEY</t>
  </si>
  <si>
    <t xml:space="preserve">BEARING MAN GROUP PTY LTD          </t>
  </si>
  <si>
    <t>VUYO</t>
  </si>
  <si>
    <t xml:space="preserve">NATREF                             </t>
  </si>
  <si>
    <t>DIANA JANSE VAN RENSBURG</t>
  </si>
  <si>
    <t>isaac</t>
  </si>
  <si>
    <t>hanne</t>
  </si>
  <si>
    <t xml:space="preserve">PEX HYDRAULIC REPAIRS CC           </t>
  </si>
  <si>
    <t>NELSON CHURCHILLS</t>
  </si>
  <si>
    <t xml:space="preserve">karen                         </t>
  </si>
  <si>
    <t xml:space="preserve">prishen                       </t>
  </si>
  <si>
    <t>tladi</t>
  </si>
  <si>
    <t>monica</t>
  </si>
  <si>
    <t xml:space="preserve">SEALAKE INDUSTRIES                 </t>
  </si>
  <si>
    <t>daniel</t>
  </si>
  <si>
    <t xml:space="preserve">MAGDA                         </t>
  </si>
  <si>
    <t>joe ratombo</t>
  </si>
  <si>
    <t>WINCHED</t>
  </si>
  <si>
    <t>T NAIDOO</t>
  </si>
  <si>
    <t xml:space="preserve">SMJ BEVERAGES SA PTY LTD           </t>
  </si>
  <si>
    <t>LINDA</t>
  </si>
  <si>
    <t>UAT</t>
  </si>
  <si>
    <t>MANDLA</t>
  </si>
  <si>
    <t>Selvies</t>
  </si>
  <si>
    <t>colin</t>
  </si>
  <si>
    <t>barry</t>
  </si>
  <si>
    <t>L FOURIE</t>
  </si>
  <si>
    <t xml:space="preserve">EUROSHELF PTY LTD                  </t>
  </si>
  <si>
    <t>roefka</t>
  </si>
  <si>
    <t xml:space="preserve">ISITINI AMANDLA SUPPLIERS          </t>
  </si>
  <si>
    <t>NEVILLE</t>
  </si>
  <si>
    <t xml:space="preserve">STEPHENS VALVES                    </t>
  </si>
  <si>
    <t>kishole</t>
  </si>
  <si>
    <t>ramah</t>
  </si>
  <si>
    <t>VINESH</t>
  </si>
  <si>
    <t xml:space="preserve">FUSELINK CC                        </t>
  </si>
  <si>
    <t>WAYNE</t>
  </si>
  <si>
    <t>WAYLIN</t>
  </si>
  <si>
    <t>M UYS</t>
  </si>
  <si>
    <t>KARIMA</t>
  </si>
  <si>
    <t>NAZEEM</t>
  </si>
  <si>
    <t>bradleu</t>
  </si>
  <si>
    <t xml:space="preserve">GAS AT SITE PTY LTD                </t>
  </si>
  <si>
    <t>elzahn</t>
  </si>
  <si>
    <t>RIEDWAAN</t>
  </si>
  <si>
    <t xml:space="preserve">HP HOSE   FITTING SPECIALIST C     </t>
  </si>
  <si>
    <t>jay</t>
  </si>
  <si>
    <t>LUNDALL</t>
  </si>
  <si>
    <t>bradley smith</t>
  </si>
  <si>
    <t>vernizc</t>
  </si>
  <si>
    <t xml:space="preserve">SA OBSERVATORY PTY LTD             </t>
  </si>
  <si>
    <t>ANDRE PAULSE</t>
  </si>
  <si>
    <t>HELOISE</t>
  </si>
  <si>
    <t xml:space="preserve">R BAAK                             </t>
  </si>
  <si>
    <t>RUDI BAAK</t>
  </si>
  <si>
    <t>R BAAK</t>
  </si>
  <si>
    <t>KARAMENI</t>
  </si>
  <si>
    <t>PIEK</t>
  </si>
  <si>
    <t xml:space="preserve">UMKOMAAS LIGNIN                    </t>
  </si>
  <si>
    <t>ssh</t>
  </si>
  <si>
    <t xml:space="preserve">dl on the 28 10                         </t>
  </si>
  <si>
    <t xml:space="preserve">FAIR PLASTIC PACKARING             </t>
  </si>
  <si>
    <t>YATISH MAHARAJ</t>
  </si>
  <si>
    <t xml:space="preserve">AFRICAN OXYGEN LTD                 </t>
  </si>
  <si>
    <t>abe</t>
  </si>
  <si>
    <t>ANNELINE</t>
  </si>
  <si>
    <t>NELE</t>
  </si>
  <si>
    <t>MARE</t>
  </si>
  <si>
    <t>CONWAY</t>
  </si>
  <si>
    <t>LAnce</t>
  </si>
  <si>
    <t>NKOSI</t>
  </si>
  <si>
    <t>LIFA</t>
  </si>
  <si>
    <t xml:space="preserve">GERTECH HANDLING SYSTEMS CC        </t>
  </si>
  <si>
    <t>WIHANN NEL</t>
  </si>
  <si>
    <t>G DE HOOG DE HOOG</t>
  </si>
  <si>
    <t>SUGEN</t>
  </si>
  <si>
    <t>Rudi Chris Banezi</t>
  </si>
  <si>
    <t xml:space="preserve">botterman                     </t>
  </si>
  <si>
    <t>QURISHA</t>
  </si>
  <si>
    <t>bradley smit</t>
  </si>
  <si>
    <t>bradmley</t>
  </si>
  <si>
    <t xml:space="preserve">MYKAS PLASTICS CC                  </t>
  </si>
  <si>
    <t>NASEERA</t>
  </si>
  <si>
    <t>JUDITH CARSTENS</t>
  </si>
  <si>
    <t xml:space="preserve">TOGA ENGENIREERING                 </t>
  </si>
  <si>
    <t>DEBBIE</t>
  </si>
  <si>
    <t>TARREN SMITH</t>
  </si>
  <si>
    <t xml:space="preserve">NINI KINGS CC                      </t>
  </si>
  <si>
    <t>IAN</t>
  </si>
  <si>
    <t>DORCHAN</t>
  </si>
  <si>
    <t>KRISH</t>
  </si>
  <si>
    <t>BERNICE</t>
  </si>
  <si>
    <t>lincoln</t>
  </si>
  <si>
    <t>EDDIE</t>
  </si>
  <si>
    <t>KATHLEEN</t>
  </si>
  <si>
    <t>LUDALL</t>
  </si>
  <si>
    <t>HANS</t>
  </si>
  <si>
    <t xml:space="preserve">LEDA ENGINEERING SERV              </t>
  </si>
  <si>
    <t>RASHAAN</t>
  </si>
  <si>
    <t xml:space="preserve">ARCELOR MITTAL SA LTD              </t>
  </si>
  <si>
    <t>HANNES V H</t>
  </si>
  <si>
    <t>TEFF</t>
  </si>
  <si>
    <t>ROBIN</t>
  </si>
  <si>
    <t>s lietzeter</t>
  </si>
  <si>
    <t>latasha</t>
  </si>
  <si>
    <t>DAINE</t>
  </si>
  <si>
    <t>venice</t>
  </si>
  <si>
    <t>RTS-FES1162509575</t>
  </si>
  <si>
    <t>jose</t>
  </si>
  <si>
    <t>JACOB</t>
  </si>
  <si>
    <t>BONGS</t>
  </si>
  <si>
    <t>THANDI</t>
  </si>
  <si>
    <t xml:space="preserve">VAAL SANITARYWARE (PTY) LTD        </t>
  </si>
  <si>
    <t>moipone</t>
  </si>
  <si>
    <t>Angelique</t>
  </si>
  <si>
    <t>POD received from cell 0829776165 M</t>
  </si>
  <si>
    <t xml:space="preserve">KARAN BEEF FEEDLOT                 </t>
  </si>
  <si>
    <t xml:space="preserve">TONGAAT HULETTS GROUP LIMITED      </t>
  </si>
  <si>
    <t>PAT</t>
  </si>
  <si>
    <t xml:space="preserve">justin                        </t>
  </si>
  <si>
    <t xml:space="preserve">ELECTROWARE INDUSTRIAL SUPPLIE     </t>
  </si>
  <si>
    <t>SHEREEN</t>
  </si>
  <si>
    <t xml:space="preserve">PALS CLOTHIING PTY LTD             </t>
  </si>
  <si>
    <t>FARIEDA</t>
  </si>
  <si>
    <t xml:space="preserve">TURAN                         </t>
  </si>
  <si>
    <t xml:space="preserve">COROBRICK (PTY) LTD                </t>
  </si>
  <si>
    <t>k rem</t>
  </si>
  <si>
    <t xml:space="preserve">PAUL MOELLER   CO. NATAL PTY L     </t>
  </si>
  <si>
    <t>STEVEN</t>
  </si>
  <si>
    <t xml:space="preserve">s momberg                     </t>
  </si>
  <si>
    <t xml:space="preserve">MA AUTOMOTIVE                      </t>
  </si>
  <si>
    <t>madi</t>
  </si>
  <si>
    <t xml:space="preserve">ALTEC UEC SA PTY LTD               </t>
  </si>
  <si>
    <t>DEON NAIDOO</t>
  </si>
  <si>
    <t xml:space="preserve">ZANDI                         </t>
  </si>
  <si>
    <t xml:space="preserve">TONGAAT HULLETTS GROUP LTD         </t>
  </si>
  <si>
    <t>NITA</t>
  </si>
  <si>
    <t>ANDREY</t>
  </si>
  <si>
    <t xml:space="preserve">l walters                     </t>
  </si>
  <si>
    <t>ANDREW</t>
  </si>
  <si>
    <t>Hayley</t>
  </si>
  <si>
    <t>STRYDOM</t>
  </si>
  <si>
    <t>VOYO</t>
  </si>
  <si>
    <t xml:space="preserve">FEDERAL MOGUL SEALING SYSTEMS      </t>
  </si>
  <si>
    <t>QUINTIN</t>
  </si>
  <si>
    <t xml:space="preserve">les                           </t>
  </si>
  <si>
    <t xml:space="preserve">BORDER HAZMAT                      </t>
  </si>
  <si>
    <t>HAYDEN MCLAREN</t>
  </si>
  <si>
    <t xml:space="preserve">CROSSLEY HOLDINGS                  </t>
  </si>
  <si>
    <t>VENOLA PILLAI</t>
  </si>
  <si>
    <t>maggie</t>
  </si>
  <si>
    <t>bni</t>
  </si>
  <si>
    <t>SOGAN</t>
  </si>
  <si>
    <t xml:space="preserve">c b luke                      </t>
  </si>
  <si>
    <t>Nizam Ismail</t>
  </si>
  <si>
    <t>MAGDA</t>
  </si>
  <si>
    <t xml:space="preserve">ILLOVO SUGAR LTD                   </t>
  </si>
  <si>
    <t>Reciver</t>
  </si>
  <si>
    <t>M PATON</t>
  </si>
  <si>
    <t xml:space="preserve">GENERAL MOTORS SOUTH AFRICA        </t>
  </si>
  <si>
    <t>Thiyigarajan</t>
  </si>
  <si>
    <t xml:space="preserve">bait                          </t>
  </si>
  <si>
    <t>CYRIL</t>
  </si>
  <si>
    <t>K PRINSLOO</t>
  </si>
  <si>
    <t xml:space="preserve">NOMSA                         </t>
  </si>
  <si>
    <t>NTOKOZO</t>
  </si>
  <si>
    <t>C BOSCH</t>
  </si>
  <si>
    <t>CARL</t>
  </si>
  <si>
    <t>J ERASMUS</t>
  </si>
  <si>
    <t>NLG</t>
  </si>
  <si>
    <t>C  LUNDALL</t>
  </si>
  <si>
    <t xml:space="preserve">KAVITHA                       </t>
  </si>
  <si>
    <t>ZAHEERA</t>
  </si>
  <si>
    <t>GRAHAM</t>
  </si>
  <si>
    <t>v posthumus</t>
  </si>
  <si>
    <t>lawrence</t>
  </si>
  <si>
    <t xml:space="preserve">MC LABEL PAARL SA PTY LTD          </t>
  </si>
  <si>
    <t>LUZANNE SNYMAN</t>
  </si>
  <si>
    <t xml:space="preserve">EWH ELELCTRICAL T A YES EELCTR     </t>
  </si>
  <si>
    <t>ELNOR TOYER</t>
  </si>
  <si>
    <t>jackson</t>
  </si>
  <si>
    <t>garuy</t>
  </si>
  <si>
    <t xml:space="preserve">CSIR CENTRAL PROCUREMENT           </t>
  </si>
  <si>
    <t>GRAHAM F THORNE</t>
  </si>
  <si>
    <t>PETRUS</t>
  </si>
  <si>
    <t xml:space="preserve">CHILL BEVERAGES INTERNATIONAL      </t>
  </si>
  <si>
    <t>frauline</t>
  </si>
  <si>
    <t>NEWCA</t>
  </si>
  <si>
    <t>NEWCASTLE</t>
  </si>
  <si>
    <t xml:space="preserve">MITTAL STEEL SA                    </t>
  </si>
  <si>
    <t>LOMBARDT</t>
  </si>
  <si>
    <t>RITTA</t>
  </si>
  <si>
    <t>phr</t>
  </si>
  <si>
    <t xml:space="preserve">ARANDA TEXTILE MILLS (PTY) LTD     </t>
  </si>
  <si>
    <t>EMMANUEL</t>
  </si>
  <si>
    <t>meeshal</t>
  </si>
  <si>
    <t>DOREEN</t>
  </si>
  <si>
    <t xml:space="preserve">SASOL CHEMICALS SA                 </t>
  </si>
  <si>
    <t xml:space="preserve">martina                       </t>
  </si>
  <si>
    <t>S JASWIE</t>
  </si>
  <si>
    <t xml:space="preserve">P T SCALE SERVICES CC              </t>
  </si>
  <si>
    <t>MALINDA SAMUEL</t>
  </si>
  <si>
    <t>M SAMUEL</t>
  </si>
  <si>
    <t>randall</t>
  </si>
  <si>
    <t xml:space="preserve">DEVCOTECH ELECTRICAL ENG           </t>
  </si>
  <si>
    <t>JAN   FRANCES</t>
  </si>
  <si>
    <t>BRANDON</t>
  </si>
  <si>
    <t xml:space="preserve">ada                           </t>
  </si>
  <si>
    <t>j michreeals</t>
  </si>
  <si>
    <t>W OPPERMAN</t>
  </si>
  <si>
    <t xml:space="preserve">CAVALETTO 98                       </t>
  </si>
  <si>
    <t>SKYE</t>
  </si>
  <si>
    <t>siy</t>
  </si>
  <si>
    <t>PLS SATURDAY DELIVER CONTACT Pieter Henning ON  083 271 8528</t>
  </si>
  <si>
    <t>Pieter Henning</t>
  </si>
  <si>
    <t>RS SALDHIA</t>
  </si>
  <si>
    <t xml:space="preserve">SKYNET WORLWIDE EXP                </t>
  </si>
  <si>
    <t>HOLD FOR COLLECTION  SELWYN SAUNDER TO COLLECT 083 327 2022</t>
  </si>
  <si>
    <t>PREMIUM SERVICES</t>
  </si>
  <si>
    <t>RASHIED</t>
  </si>
  <si>
    <t xml:space="preserve">vukani                        </t>
  </si>
  <si>
    <t>ETTIENE</t>
  </si>
  <si>
    <t xml:space="preserve">WOODTECH                           </t>
  </si>
  <si>
    <t>MICHELLE</t>
  </si>
  <si>
    <t>G LUNDAL</t>
  </si>
  <si>
    <t>SIPHO</t>
  </si>
  <si>
    <t xml:space="preserve">CYBERNATICS                        </t>
  </si>
  <si>
    <t xml:space="preserve">m curtis                      </t>
  </si>
  <si>
    <t>REITER</t>
  </si>
  <si>
    <t xml:space="preserve">GKN SINTER METALS PTY LTD          </t>
  </si>
  <si>
    <t>HELEN</t>
  </si>
  <si>
    <t xml:space="preserve">jason                         </t>
  </si>
  <si>
    <t xml:space="preserve">NELI                          </t>
  </si>
  <si>
    <t xml:space="preserve">r strydom                     </t>
  </si>
  <si>
    <t xml:space="preserve">lucky                         </t>
  </si>
  <si>
    <t xml:space="preserve">F KRIENG                      </t>
  </si>
  <si>
    <t>le riche</t>
  </si>
  <si>
    <t>melanie</t>
  </si>
  <si>
    <t>z luizeler</t>
  </si>
  <si>
    <t xml:space="preserve">KOOGAN PLASTICS                    </t>
  </si>
  <si>
    <t>Muhammed Ismail</t>
  </si>
  <si>
    <t>ALVINO</t>
  </si>
  <si>
    <t>bjorn</t>
  </si>
  <si>
    <t xml:space="preserve">HYBRID AUTOMATION CC               </t>
  </si>
  <si>
    <t>REBEKAH</t>
  </si>
  <si>
    <t xml:space="preserve">mzo                           </t>
  </si>
  <si>
    <t>MATTHEW</t>
  </si>
  <si>
    <t xml:space="preserve">FAURECIA EXHAUST SYSTEMS (PTY)     </t>
  </si>
  <si>
    <t>AKHONA NGAKA</t>
  </si>
  <si>
    <t>christina</t>
  </si>
  <si>
    <t xml:space="preserve">VEENA                         </t>
  </si>
  <si>
    <t xml:space="preserve">REITECH S.A.                       </t>
  </si>
  <si>
    <t>ANNEGLIWE</t>
  </si>
  <si>
    <t>KARL</t>
  </si>
  <si>
    <t xml:space="preserve">GRAZO CC                           </t>
  </si>
  <si>
    <t>MADELYN DE VOS</t>
  </si>
  <si>
    <t>MARILIZE</t>
  </si>
  <si>
    <t>G LUNDALL</t>
  </si>
  <si>
    <t>azgar</t>
  </si>
  <si>
    <t>gideon</t>
  </si>
  <si>
    <t xml:space="preserve">EVERFLEX CAPE MANUF PTY LTD        </t>
  </si>
  <si>
    <t xml:space="preserve">steven                        </t>
  </si>
  <si>
    <t>farieda</t>
  </si>
  <si>
    <t xml:space="preserve">DOMONIQUE                     </t>
  </si>
  <si>
    <t>THANDEKA</t>
  </si>
  <si>
    <t xml:space="preserve">TRAX INTERCONNECT                  </t>
  </si>
  <si>
    <t>RODGER</t>
  </si>
  <si>
    <t xml:space="preserve">anthea                        </t>
  </si>
  <si>
    <t>V POSTHUMUS</t>
  </si>
  <si>
    <t xml:space="preserve">KEVIN                         </t>
  </si>
  <si>
    <t xml:space="preserve">LONGPAK PTY LTD                    </t>
  </si>
  <si>
    <t>ANDISWA</t>
  </si>
  <si>
    <t>wendell</t>
  </si>
  <si>
    <t>D PILLAY</t>
  </si>
  <si>
    <t>shnaice</t>
  </si>
  <si>
    <t>wener</t>
  </si>
  <si>
    <t xml:space="preserve">BLACK CAT                          </t>
  </si>
  <si>
    <t>LAWBAND</t>
  </si>
  <si>
    <t>FLYER</t>
  </si>
  <si>
    <t xml:space="preserve">CENTURY   ELEGANCE JOINT VENTU     </t>
  </si>
  <si>
    <t xml:space="preserve">HYDRA EQUIP                        </t>
  </si>
  <si>
    <t>VERY URGENT DRIVER TO LOGGED ON THE 10:15 CUT-OFF</t>
  </si>
  <si>
    <t>BECKER</t>
  </si>
  <si>
    <t>DS1 / FUE</t>
  </si>
  <si>
    <t>DL ON THE 28 10</t>
  </si>
  <si>
    <t>kerusha</t>
  </si>
  <si>
    <t xml:space="preserve">HULAMIN OPERATIONS PTY LTD         </t>
  </si>
  <si>
    <t>VIKASH SINGH</t>
  </si>
  <si>
    <t xml:space="preserve">KENZEL ENGINEERING TRUST           </t>
  </si>
  <si>
    <t xml:space="preserve">NICO                          </t>
  </si>
  <si>
    <t xml:space="preserve">WISE CRACKS                        </t>
  </si>
  <si>
    <t>MARK VAN ANTWERP</t>
  </si>
  <si>
    <t>ANESHU</t>
  </si>
  <si>
    <t xml:space="preserve">goodman                       </t>
  </si>
  <si>
    <t>anneliwe</t>
  </si>
  <si>
    <t>rakesh</t>
  </si>
  <si>
    <t>Clive</t>
  </si>
  <si>
    <t>POD received from cell 0792881349 M</t>
  </si>
  <si>
    <t>ROBYNNE</t>
  </si>
  <si>
    <t>BUYILE</t>
  </si>
  <si>
    <t>Flippie</t>
  </si>
  <si>
    <t>john</t>
  </si>
  <si>
    <t>MOMBERT</t>
  </si>
  <si>
    <t>ANNA</t>
  </si>
  <si>
    <t xml:space="preserve">ELZEA MANUFACTURING                </t>
  </si>
  <si>
    <t>lulama</t>
  </si>
  <si>
    <t>PUTUMILE</t>
  </si>
  <si>
    <t>ZULU N</t>
  </si>
  <si>
    <t xml:space="preserve">deez                          </t>
  </si>
  <si>
    <t xml:space="preserve">SMARTSTONE KZN DIV OF              </t>
  </si>
  <si>
    <t>BURGER</t>
  </si>
  <si>
    <t>S GOUNDER</t>
  </si>
  <si>
    <t>BRUCE</t>
  </si>
  <si>
    <t>CHANELLE</t>
  </si>
  <si>
    <t>skc009661496</t>
  </si>
  <si>
    <t>SUBASH</t>
  </si>
  <si>
    <t xml:space="preserve">VAAL FLUID SYSTEMS SA (PTY) LT     </t>
  </si>
  <si>
    <t xml:space="preserve">FESTO PZB                          </t>
  </si>
  <si>
    <t>LUMKA SKHOSANA</t>
  </si>
  <si>
    <t>k baldie</t>
  </si>
  <si>
    <t>BOX PARCEL PARCEL BOX BOX BOX PARCE</t>
  </si>
  <si>
    <t>REAGAN</t>
  </si>
  <si>
    <t>daminio</t>
  </si>
  <si>
    <t xml:space="preserve">MARTIN   MARTIN                    </t>
  </si>
  <si>
    <t>NCWANA</t>
  </si>
  <si>
    <t>DIDACTIC SHIPMENTS REQUESTED BY VILLY FESTO</t>
  </si>
  <si>
    <t xml:space="preserve">GARNET ENGINEERING                 </t>
  </si>
  <si>
    <t xml:space="preserve">dave                          </t>
  </si>
  <si>
    <t>J ERUSMUS</t>
  </si>
  <si>
    <t>samke</t>
  </si>
  <si>
    <t>FAUR1</t>
  </si>
  <si>
    <t>FAURE</t>
  </si>
  <si>
    <t xml:space="preserve">ITHEMBA LABS                       </t>
  </si>
  <si>
    <t>WAYNE KEARNS</t>
  </si>
  <si>
    <t>STEYN</t>
  </si>
  <si>
    <t>NICHOAS MSINDO</t>
  </si>
  <si>
    <t>MOMBER</t>
  </si>
  <si>
    <t xml:space="preserve">BEIER ENVIROTEC                    </t>
  </si>
  <si>
    <t>BRADLEY SMIT</t>
  </si>
  <si>
    <t xml:space="preserve">CAPE GATE                          </t>
  </si>
  <si>
    <t>THABANG</t>
  </si>
  <si>
    <t xml:space="preserve">KIM TAYLOR ENTEPRISE               </t>
  </si>
  <si>
    <t>bilkish</t>
  </si>
  <si>
    <t>martha</t>
  </si>
  <si>
    <t>andre</t>
  </si>
  <si>
    <t>WRONG SUPPLIED</t>
  </si>
  <si>
    <t>NASIN</t>
  </si>
  <si>
    <t>IELLGH</t>
  </si>
  <si>
    <t xml:space="preserve">AFROX                              </t>
  </si>
  <si>
    <t>MFUNDO NDLOVU   KERRY</t>
  </si>
  <si>
    <t>mfundo</t>
  </si>
  <si>
    <t>CEECE</t>
  </si>
  <si>
    <t xml:space="preserve">ISAAC                         </t>
  </si>
  <si>
    <t>TASNIM</t>
  </si>
  <si>
    <t>JARRO</t>
  </si>
  <si>
    <t>gail</t>
  </si>
  <si>
    <t>VC CARGO</t>
  </si>
  <si>
    <t xml:space="preserve">sleze                         </t>
  </si>
  <si>
    <t>arnold</t>
  </si>
  <si>
    <t xml:space="preserve">SONNENDAL DAIRIES PTY LTD          </t>
  </si>
  <si>
    <t>BEN JEFFERY</t>
  </si>
  <si>
    <t>astrid</t>
  </si>
  <si>
    <t xml:space="preserve">MARTIN   MARTIN PTY LTD            </t>
  </si>
  <si>
    <t>jansine</t>
  </si>
  <si>
    <t>Account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</si>
</sst>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>
    <font>
      <sz val="11"/>
      <color theme="1"/>
      <name val="Calibri"/>
      <family val="2"/>
      <scheme val="minor"/>
    </font>
    <font>
      <b/>
      <sz val="11"/>
      <color theme="1"/>
      <name val="Aharoni"/>
      <charset val="177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0" fillId="2" borderId="1" xfId="0" applyNumberFormat="1" applyFill="1" applyBorder="1"/>
    <xf numFmtId="20" fontId="0" fillId="0" borderId="1" xfId="0" applyNumberFormat="1" applyBorder="1"/>
    <xf numFmtId="14" fontId="0" fillId="0" borderId="1" xfId="0" applyNumberFormat="1" applyBorder="1"/>
    <xf numFmtId="0" fontId="0" fillId="2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3017"/>
  <sheetViews>
    <sheetView tabSelected="1" topLeftCell="AV3009" workbookViewId="0">
      <selection activeCell="BL3015" sqref="BL3015"/>
    </sheetView>
  </sheetViews>
  <sheetFormatPr defaultRowHeight="14.5"/>
  <cols>
    <col min="1" max="1" width="7.453125" bestFit="1" customWidth="1"/>
    <col min="2" max="2" width="31.453125" bestFit="1" customWidth="1"/>
    <col min="3" max="3" width="5.26953125" bestFit="1" customWidth="1"/>
    <col min="4" max="4" width="10.1796875" bestFit="1" customWidth="1"/>
    <col min="5" max="5" width="15.26953125" bestFit="1" customWidth="1"/>
    <col min="6" max="6" width="10.7265625" bestFit="1" customWidth="1"/>
    <col min="7" max="7" width="7" bestFit="1" customWidth="1"/>
    <col min="8" max="8" width="7.453125" bestFit="1" customWidth="1"/>
    <col min="9" max="9" width="18.7265625" bestFit="1" customWidth="1"/>
    <col min="10" max="10" width="36.7265625" bestFit="1" customWidth="1"/>
    <col min="11" max="11" width="16.1796875" bestFit="1" customWidth="1"/>
    <col min="12" max="12" width="8.26953125" bestFit="1" customWidth="1"/>
    <col min="13" max="13" width="20.1796875" bestFit="1" customWidth="1"/>
    <col min="14" max="14" width="38.26953125" bestFit="1" customWidth="1"/>
    <col min="15" max="15" width="4.81640625" bestFit="1" customWidth="1"/>
    <col min="16" max="16" width="33.26953125" bestFit="1" customWidth="1"/>
    <col min="17" max="17" width="4.26953125" bestFit="1" customWidth="1"/>
    <col min="18" max="18" width="4.54296875" bestFit="1" customWidth="1"/>
    <col min="19" max="19" width="5.1796875" bestFit="1" customWidth="1"/>
    <col min="20" max="22" width="4.54296875" bestFit="1" customWidth="1"/>
    <col min="23" max="23" width="4.26953125" bestFit="1" customWidth="1"/>
    <col min="24" max="24" width="4.54296875" bestFit="1" customWidth="1"/>
    <col min="25" max="25" width="4.453125" bestFit="1" customWidth="1"/>
    <col min="26" max="26" width="4.54296875" bestFit="1" customWidth="1"/>
    <col min="27" max="27" width="4" bestFit="1" customWidth="1"/>
    <col min="28" max="28" width="4.54296875" bestFit="1" customWidth="1"/>
    <col min="29" max="29" width="4.26953125" bestFit="1" customWidth="1"/>
    <col min="30" max="30" width="4.54296875" bestFit="1" customWidth="1"/>
    <col min="31" max="31" width="5" bestFit="1" customWidth="1"/>
    <col min="32" max="32" width="4.54296875" bestFit="1" customWidth="1"/>
    <col min="33" max="33" width="5" bestFit="1" customWidth="1"/>
    <col min="34" max="34" width="4.54296875" bestFit="1" customWidth="1"/>
    <col min="35" max="35" width="4.81640625" bestFit="1" customWidth="1"/>
    <col min="36" max="36" width="4.54296875" bestFit="1" customWidth="1"/>
    <col min="37" max="37" width="4.26953125" bestFit="1" customWidth="1"/>
    <col min="38" max="38" width="4.54296875" bestFit="1" customWidth="1"/>
    <col min="39" max="39" width="8" bestFit="1" customWidth="1"/>
    <col min="40" max="42" width="4.54296875" bestFit="1" customWidth="1"/>
    <col min="43" max="43" width="5" bestFit="1" customWidth="1"/>
    <col min="44" max="44" width="4.54296875" bestFit="1" customWidth="1"/>
    <col min="45" max="45" width="3.453125" bestFit="1" customWidth="1"/>
    <col min="46" max="46" width="4.54296875" bestFit="1" customWidth="1"/>
    <col min="47" max="47" width="4.26953125" bestFit="1" customWidth="1"/>
    <col min="48" max="48" width="4.54296875" bestFit="1" customWidth="1"/>
    <col min="49" max="49" width="4" bestFit="1" customWidth="1"/>
    <col min="50" max="50" width="4.54296875" bestFit="1" customWidth="1"/>
    <col min="51" max="51" width="3.81640625" bestFit="1" customWidth="1"/>
    <col min="52" max="52" width="4.54296875" bestFit="1" customWidth="1"/>
    <col min="53" max="53" width="4.81640625" bestFit="1" customWidth="1"/>
    <col min="54" max="54" width="4.54296875" bestFit="1" customWidth="1"/>
    <col min="55" max="55" width="4.7265625" bestFit="1" customWidth="1"/>
    <col min="56" max="56" width="4.54296875" bestFit="1" customWidth="1"/>
    <col min="57" max="57" width="5" bestFit="1" customWidth="1"/>
    <col min="58" max="58" width="4.54296875" bestFit="1" customWidth="1"/>
    <col min="59" max="59" width="13.7265625" bestFit="1" customWidth="1"/>
    <col min="60" max="60" width="6.81640625" bestFit="1" customWidth="1"/>
    <col min="61" max="61" width="8" bestFit="1" customWidth="1"/>
    <col min="62" max="62" width="7.26953125" bestFit="1" customWidth="1"/>
    <col min="63" max="63" width="6.26953125" bestFit="1" customWidth="1"/>
    <col min="64" max="64" width="10" bestFit="1" customWidth="1"/>
    <col min="65" max="65" width="9" bestFit="1" customWidth="1"/>
    <col min="66" max="66" width="10" bestFit="1" customWidth="1"/>
    <col min="68" max="68" width="64.7265625" bestFit="1" customWidth="1"/>
    <col min="69" max="69" width="30.7265625" bestFit="1" customWidth="1"/>
    <col min="70" max="70" width="21.81640625" bestFit="1" customWidth="1"/>
    <col min="71" max="71" width="10.7265625" bestFit="1" customWidth="1"/>
    <col min="72" max="72" width="12" bestFit="1" customWidth="1"/>
    <col min="73" max="73" width="31.1796875" bestFit="1" customWidth="1"/>
    <col min="74" max="74" width="8.54296875" bestFit="1" customWidth="1"/>
    <col min="75" max="75" width="24.26953125" bestFit="1" customWidth="1"/>
    <col min="76" max="76" width="16.1796875" bestFit="1" customWidth="1"/>
    <col min="77" max="77" width="13.81640625" bestFit="1" customWidth="1"/>
    <col min="78" max="78" width="9.54296875" bestFit="1" customWidth="1"/>
    <col min="79" max="79" width="39.7265625" bestFit="1" customWidth="1"/>
    <col min="80" max="80" width="9" bestFit="1" customWidth="1"/>
    <col min="81" max="81" width="20.1796875" bestFit="1" customWidth="1"/>
    <col min="82" max="82" width="16" bestFit="1" customWidth="1"/>
    <col min="83" max="83" width="51" bestFit="1" customWidth="1"/>
    <col min="84" max="84" width="14" bestFit="1" customWidth="1"/>
    <col min="85" max="85" width="6.453125" bestFit="1" customWidth="1"/>
    <col min="86" max="86" width="13.81640625" bestFit="1" customWidth="1"/>
    <col min="87" max="87" width="11.1796875" bestFit="1" customWidth="1"/>
    <col min="88" max="88" width="12" bestFit="1" customWidth="1"/>
    <col min="89" max="89" width="5" bestFit="1" customWidth="1"/>
    <col min="90" max="90" width="13.26953125" bestFit="1" customWidth="1"/>
    <col min="91" max="91" width="18.269531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"FES1162507493"</f>
        <v>FES1162507493</v>
      </c>
      <c r="F2" s="3">
        <v>42661</v>
      </c>
      <c r="G2" s="2">
        <v>201704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"2170528177                    "</f>
        <v xml:space="preserve">2170528177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6.58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2</v>
      </c>
      <c r="BI2" s="2">
        <v>20</v>
      </c>
      <c r="BJ2" s="2">
        <v>5.3</v>
      </c>
      <c r="BK2" s="2">
        <v>20</v>
      </c>
      <c r="BL2" s="2">
        <v>85.88</v>
      </c>
      <c r="BM2" s="2">
        <v>12.02</v>
      </c>
      <c r="BN2" s="2">
        <v>97.9</v>
      </c>
      <c r="BO2" s="2">
        <v>97.9</v>
      </c>
      <c r="BP2" s="2"/>
      <c r="BQ2" s="2" t="s">
        <v>82</v>
      </c>
      <c r="BR2" s="2" t="s">
        <v>83</v>
      </c>
      <c r="BS2" s="3">
        <v>42662</v>
      </c>
      <c r="BT2" s="4">
        <v>0.41666666666666669</v>
      </c>
      <c r="BU2" s="2" t="s">
        <v>84</v>
      </c>
      <c r="BV2" s="2" t="s">
        <v>85</v>
      </c>
      <c r="BW2" s="2"/>
      <c r="BX2" s="2"/>
      <c r="BY2" s="2">
        <v>26520</v>
      </c>
      <c r="BZ2" s="2"/>
      <c r="CA2" s="2"/>
      <c r="CB2" s="2"/>
      <c r="CC2" s="2" t="s">
        <v>79</v>
      </c>
      <c r="CD2" s="2">
        <v>1930</v>
      </c>
      <c r="CE2" s="2" t="s">
        <v>86</v>
      </c>
      <c r="CF2" s="5">
        <v>42664</v>
      </c>
      <c r="CG2" s="2"/>
      <c r="CH2" s="2"/>
      <c r="CI2" s="2">
        <v>1</v>
      </c>
      <c r="CJ2" s="2">
        <v>1</v>
      </c>
      <c r="CK2" s="2" t="s">
        <v>87</v>
      </c>
      <c r="CL2" s="2" t="s">
        <v>88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"FES1162504503"</f>
        <v>FES1162504503</v>
      </c>
      <c r="F3" s="3">
        <v>42647</v>
      </c>
      <c r="G3" s="2">
        <v>201704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78</v>
      </c>
      <c r="M3" s="2" t="s">
        <v>79</v>
      </c>
      <c r="N3" s="2" t="s">
        <v>89</v>
      </c>
      <c r="O3" s="2" t="s">
        <v>81</v>
      </c>
      <c r="P3" s="2" t="str">
        <f>"2170528170                    "</f>
        <v xml:space="preserve">2170528170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5.21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2</v>
      </c>
      <c r="BI3" s="2">
        <v>3</v>
      </c>
      <c r="BJ3" s="2">
        <v>2.7</v>
      </c>
      <c r="BK3" s="2">
        <v>3</v>
      </c>
      <c r="BL3" s="2">
        <v>74.56</v>
      </c>
      <c r="BM3" s="2">
        <v>10.44</v>
      </c>
      <c r="BN3" s="2">
        <v>85</v>
      </c>
      <c r="BO3" s="2">
        <v>85</v>
      </c>
      <c r="BP3" s="2" t="s">
        <v>90</v>
      </c>
      <c r="BQ3" s="2" t="s">
        <v>91</v>
      </c>
      <c r="BR3" s="2" t="s">
        <v>83</v>
      </c>
      <c r="BS3" s="3">
        <v>42648</v>
      </c>
      <c r="BT3" s="4">
        <v>0.41666666666666669</v>
      </c>
      <c r="BU3" s="2" t="s">
        <v>84</v>
      </c>
      <c r="BV3" s="2" t="s">
        <v>85</v>
      </c>
      <c r="BW3" s="2"/>
      <c r="BX3" s="2"/>
      <c r="BY3" s="2">
        <v>13446.34</v>
      </c>
      <c r="BZ3" s="2"/>
      <c r="CA3" s="2"/>
      <c r="CB3" s="2"/>
      <c r="CC3" s="2" t="s">
        <v>79</v>
      </c>
      <c r="CD3" s="2">
        <v>1873</v>
      </c>
      <c r="CE3" s="2" t="s">
        <v>92</v>
      </c>
      <c r="CF3" s="5">
        <v>42650</v>
      </c>
      <c r="CG3" s="2"/>
      <c r="CH3" s="2"/>
      <c r="CI3" s="2">
        <v>1</v>
      </c>
      <c r="CJ3" s="2">
        <v>1</v>
      </c>
      <c r="CK3" s="2" t="s">
        <v>87</v>
      </c>
      <c r="CL3" s="2" t="s">
        <v>88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"FES1162505606"</f>
        <v>FES1162505606</v>
      </c>
      <c r="F4" s="3">
        <v>42653</v>
      </c>
      <c r="G4" s="2">
        <v>201704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93</v>
      </c>
      <c r="M4" s="2" t="s">
        <v>94</v>
      </c>
      <c r="N4" s="2" t="s">
        <v>95</v>
      </c>
      <c r="O4" s="2" t="s">
        <v>96</v>
      </c>
      <c r="P4" s="2" t="str">
        <f>"2170528944                    "</f>
        <v xml:space="preserve">2170528944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44.78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26.7</v>
      </c>
      <c r="BJ4" s="2">
        <v>11.2</v>
      </c>
      <c r="BK4" s="2">
        <v>27</v>
      </c>
      <c r="BL4" s="2">
        <v>550.22</v>
      </c>
      <c r="BM4" s="2">
        <v>77.03</v>
      </c>
      <c r="BN4" s="2">
        <v>627.25</v>
      </c>
      <c r="BO4" s="2">
        <v>627.25</v>
      </c>
      <c r="BP4" s="2"/>
      <c r="BQ4" s="2" t="s">
        <v>82</v>
      </c>
      <c r="BR4" s="2" t="s">
        <v>83</v>
      </c>
      <c r="BS4" s="3">
        <v>42654</v>
      </c>
      <c r="BT4" s="4">
        <v>0.43888888888888888</v>
      </c>
      <c r="BU4" s="2" t="s">
        <v>97</v>
      </c>
      <c r="BV4" s="2" t="s">
        <v>85</v>
      </c>
      <c r="BW4" s="2"/>
      <c r="BX4" s="2"/>
      <c r="BY4" s="2">
        <v>56088</v>
      </c>
      <c r="BZ4" s="2"/>
      <c r="CA4" s="2"/>
      <c r="CB4" s="2"/>
      <c r="CC4" s="2" t="s">
        <v>94</v>
      </c>
      <c r="CD4" s="2">
        <v>4302</v>
      </c>
      <c r="CE4" s="2" t="s">
        <v>86</v>
      </c>
      <c r="CF4" s="5">
        <v>42655</v>
      </c>
      <c r="CG4" s="2"/>
      <c r="CH4" s="2"/>
      <c r="CI4" s="2">
        <v>1</v>
      </c>
      <c r="CJ4" s="2">
        <v>1</v>
      </c>
      <c r="CK4" s="2">
        <v>21</v>
      </c>
      <c r="CL4" s="2" t="s">
        <v>88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"RFES1162503271"</f>
        <v>RFES1162503271</v>
      </c>
      <c r="F5" s="3">
        <v>42646</v>
      </c>
      <c r="G5" s="2">
        <v>201704</v>
      </c>
      <c r="H5" s="2" t="s">
        <v>98</v>
      </c>
      <c r="I5" s="2" t="s">
        <v>99</v>
      </c>
      <c r="J5" s="2" t="s">
        <v>100</v>
      </c>
      <c r="K5" s="2" t="s">
        <v>77</v>
      </c>
      <c r="L5" s="2" t="s">
        <v>74</v>
      </c>
      <c r="M5" s="2" t="s">
        <v>75</v>
      </c>
      <c r="N5" s="2" t="s">
        <v>76</v>
      </c>
      <c r="O5" s="2" t="s">
        <v>96</v>
      </c>
      <c r="P5" s="2" t="str">
        <f>"2170527055                    "</f>
        <v xml:space="preserve">2170527055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3.03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1</v>
      </c>
      <c r="BJ5" s="2">
        <v>0.2</v>
      </c>
      <c r="BK5" s="2">
        <v>1</v>
      </c>
      <c r="BL5" s="2">
        <v>40.47</v>
      </c>
      <c r="BM5" s="2">
        <v>5.67</v>
      </c>
      <c r="BN5" s="2">
        <v>46.14</v>
      </c>
      <c r="BO5" s="2">
        <v>46.14</v>
      </c>
      <c r="BP5" s="2"/>
      <c r="BQ5" s="2" t="s">
        <v>83</v>
      </c>
      <c r="BR5" s="2" t="s">
        <v>101</v>
      </c>
      <c r="BS5" s="3">
        <v>42647</v>
      </c>
      <c r="BT5" s="4">
        <v>0.42708333333333331</v>
      </c>
      <c r="BU5" s="2" t="s">
        <v>102</v>
      </c>
      <c r="BV5" s="2" t="s">
        <v>85</v>
      </c>
      <c r="BW5" s="2"/>
      <c r="BX5" s="2"/>
      <c r="BY5" s="2">
        <v>1200</v>
      </c>
      <c r="BZ5" s="2" t="s">
        <v>27</v>
      </c>
      <c r="CA5" s="2"/>
      <c r="CB5" s="2"/>
      <c r="CC5" s="2" t="s">
        <v>75</v>
      </c>
      <c r="CD5" s="2">
        <v>1601</v>
      </c>
      <c r="CE5" s="2" t="s">
        <v>103</v>
      </c>
      <c r="CF5" s="5">
        <v>42648</v>
      </c>
      <c r="CG5" s="2"/>
      <c r="CH5" s="2"/>
      <c r="CI5" s="2">
        <v>1</v>
      </c>
      <c r="CJ5" s="2">
        <v>1</v>
      </c>
      <c r="CK5" s="2">
        <v>21</v>
      </c>
      <c r="CL5" s="2" t="s">
        <v>88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"FES1162503920"</f>
        <v>FES1162503920</v>
      </c>
      <c r="F6" s="3">
        <v>42646</v>
      </c>
      <c r="G6" s="2">
        <v>201704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98</v>
      </c>
      <c r="M6" s="2" t="s">
        <v>99</v>
      </c>
      <c r="N6" s="2" t="s">
        <v>104</v>
      </c>
      <c r="O6" s="2" t="s">
        <v>96</v>
      </c>
      <c r="P6" s="2" t="str">
        <f>"2170527687                    "</f>
        <v xml:space="preserve">2170527687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9.1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6</v>
      </c>
      <c r="BJ6" s="2">
        <v>0.2</v>
      </c>
      <c r="BK6" s="2">
        <v>6</v>
      </c>
      <c r="BL6" s="2">
        <v>121.42</v>
      </c>
      <c r="BM6" s="2">
        <v>17</v>
      </c>
      <c r="BN6" s="2">
        <v>138.41999999999999</v>
      </c>
      <c r="BO6" s="2">
        <v>138.41999999999999</v>
      </c>
      <c r="BP6" s="2"/>
      <c r="BQ6" s="2" t="s">
        <v>105</v>
      </c>
      <c r="BR6" s="2" t="s">
        <v>83</v>
      </c>
      <c r="BS6" s="3">
        <v>42647</v>
      </c>
      <c r="BT6" s="4">
        <v>0.39583333333333331</v>
      </c>
      <c r="BU6" s="2" t="s">
        <v>106</v>
      </c>
      <c r="BV6" s="2" t="s">
        <v>85</v>
      </c>
      <c r="BW6" s="2"/>
      <c r="BX6" s="2"/>
      <c r="BY6" s="2">
        <v>1200</v>
      </c>
      <c r="BZ6" s="2" t="s">
        <v>27</v>
      </c>
      <c r="CA6" s="2" t="s">
        <v>107</v>
      </c>
      <c r="CB6" s="2"/>
      <c r="CC6" s="2" t="s">
        <v>99</v>
      </c>
      <c r="CD6" s="2">
        <v>6001</v>
      </c>
      <c r="CE6" s="2" t="s">
        <v>108</v>
      </c>
      <c r="CF6" s="5">
        <v>42647</v>
      </c>
      <c r="CG6" s="2"/>
      <c r="CH6" s="2"/>
      <c r="CI6" s="2">
        <v>1</v>
      </c>
      <c r="CJ6" s="2">
        <v>1</v>
      </c>
      <c r="CK6" s="2">
        <v>21</v>
      </c>
      <c r="CL6" s="2" t="s">
        <v>88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"RFES1162503709"</f>
        <v>RFES1162503709</v>
      </c>
      <c r="F7" s="3">
        <v>42646</v>
      </c>
      <c r="G7" s="2">
        <v>201704</v>
      </c>
      <c r="H7" s="2" t="s">
        <v>98</v>
      </c>
      <c r="I7" s="2" t="s">
        <v>99</v>
      </c>
      <c r="J7" s="2" t="s">
        <v>100</v>
      </c>
      <c r="K7" s="2" t="s">
        <v>77</v>
      </c>
      <c r="L7" s="2" t="s">
        <v>74</v>
      </c>
      <c r="M7" s="2" t="s">
        <v>75</v>
      </c>
      <c r="N7" s="2" t="s">
        <v>76</v>
      </c>
      <c r="O7" s="2" t="s">
        <v>96</v>
      </c>
      <c r="P7" s="2" t="str">
        <f>"2170525876                    "</f>
        <v xml:space="preserve">2170525876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3.03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1</v>
      </c>
      <c r="BJ7" s="2">
        <v>1.7</v>
      </c>
      <c r="BK7" s="2">
        <v>2</v>
      </c>
      <c r="BL7" s="2">
        <v>40.47</v>
      </c>
      <c r="BM7" s="2">
        <v>5.67</v>
      </c>
      <c r="BN7" s="2">
        <v>46.14</v>
      </c>
      <c r="BO7" s="2">
        <v>46.14</v>
      </c>
      <c r="BP7" s="2"/>
      <c r="BQ7" s="2" t="s">
        <v>83</v>
      </c>
      <c r="BR7" s="2" t="s">
        <v>101</v>
      </c>
      <c r="BS7" s="3">
        <v>42647</v>
      </c>
      <c r="BT7" s="4">
        <v>0.42708333333333331</v>
      </c>
      <c r="BU7" s="2" t="s">
        <v>102</v>
      </c>
      <c r="BV7" s="2" t="s">
        <v>85</v>
      </c>
      <c r="BW7" s="2"/>
      <c r="BX7" s="2"/>
      <c r="BY7" s="2">
        <v>8288.5499999999993</v>
      </c>
      <c r="BZ7" s="2" t="s">
        <v>27</v>
      </c>
      <c r="CA7" s="2"/>
      <c r="CB7" s="2"/>
      <c r="CC7" s="2" t="s">
        <v>75</v>
      </c>
      <c r="CD7" s="2">
        <v>1600</v>
      </c>
      <c r="CE7" s="2" t="s">
        <v>108</v>
      </c>
      <c r="CF7" s="5">
        <v>42648</v>
      </c>
      <c r="CG7" s="2"/>
      <c r="CH7" s="2"/>
      <c r="CI7" s="2">
        <v>1</v>
      </c>
      <c r="CJ7" s="2">
        <v>1</v>
      </c>
      <c r="CK7" s="2">
        <v>21</v>
      </c>
      <c r="CL7" s="2" t="s">
        <v>88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"FES1162503904"</f>
        <v>FES1162503904</v>
      </c>
      <c r="F8" s="3">
        <v>42646</v>
      </c>
      <c r="G8" s="2">
        <v>201704</v>
      </c>
      <c r="H8" s="2" t="s">
        <v>74</v>
      </c>
      <c r="I8" s="2" t="s">
        <v>75</v>
      </c>
      <c r="J8" s="2" t="s">
        <v>76</v>
      </c>
      <c r="K8" s="2" t="s">
        <v>77</v>
      </c>
      <c r="L8" s="2" t="s">
        <v>98</v>
      </c>
      <c r="M8" s="2" t="s">
        <v>99</v>
      </c>
      <c r="N8" s="2" t="s">
        <v>109</v>
      </c>
      <c r="O8" s="2" t="s">
        <v>96</v>
      </c>
      <c r="P8" s="2" t="str">
        <f>"2170527675                    "</f>
        <v xml:space="preserve">2170527675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3.79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2.2000000000000002</v>
      </c>
      <c r="BJ8" s="2">
        <v>0.2</v>
      </c>
      <c r="BK8" s="2">
        <v>2.5</v>
      </c>
      <c r="BL8" s="2">
        <v>50.59</v>
      </c>
      <c r="BM8" s="2">
        <v>7.08</v>
      </c>
      <c r="BN8" s="2">
        <v>57.67</v>
      </c>
      <c r="BO8" s="2">
        <v>57.67</v>
      </c>
      <c r="BP8" s="2"/>
      <c r="BQ8" s="2" t="s">
        <v>110</v>
      </c>
      <c r="BR8" s="2" t="s">
        <v>83</v>
      </c>
      <c r="BS8" s="3">
        <v>42647</v>
      </c>
      <c r="BT8" s="4">
        <v>0.37152777777777773</v>
      </c>
      <c r="BU8" s="2" t="s">
        <v>111</v>
      </c>
      <c r="BV8" s="2" t="s">
        <v>85</v>
      </c>
      <c r="BW8" s="2"/>
      <c r="BX8" s="2"/>
      <c r="BY8" s="2">
        <v>1200</v>
      </c>
      <c r="BZ8" s="2" t="s">
        <v>27</v>
      </c>
      <c r="CA8" s="2" t="s">
        <v>107</v>
      </c>
      <c r="CB8" s="2"/>
      <c r="CC8" s="2" t="s">
        <v>99</v>
      </c>
      <c r="CD8" s="2">
        <v>6001</v>
      </c>
      <c r="CE8" s="2" t="s">
        <v>108</v>
      </c>
      <c r="CF8" s="5">
        <v>42647</v>
      </c>
      <c r="CG8" s="2"/>
      <c r="CH8" s="2"/>
      <c r="CI8" s="2">
        <v>1</v>
      </c>
      <c r="CJ8" s="2">
        <v>1</v>
      </c>
      <c r="CK8" s="2">
        <v>21</v>
      </c>
      <c r="CL8" s="2" t="s">
        <v>88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"FES1162504141"</f>
        <v>FES1162504141</v>
      </c>
      <c r="F9" s="3">
        <v>42646</v>
      </c>
      <c r="G9" s="2">
        <v>201704</v>
      </c>
      <c r="H9" s="2" t="s">
        <v>74</v>
      </c>
      <c r="I9" s="2" t="s">
        <v>75</v>
      </c>
      <c r="J9" s="2" t="s">
        <v>76</v>
      </c>
      <c r="K9" s="2" t="s">
        <v>77</v>
      </c>
      <c r="L9" s="2" t="s">
        <v>98</v>
      </c>
      <c r="M9" s="2" t="s">
        <v>99</v>
      </c>
      <c r="N9" s="2" t="s">
        <v>104</v>
      </c>
      <c r="O9" s="2" t="s">
        <v>96</v>
      </c>
      <c r="P9" s="2" t="str">
        <f>"2170527677                    "</f>
        <v xml:space="preserve">2170527677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3.03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1</v>
      </c>
      <c r="BJ9" s="2">
        <v>0.2</v>
      </c>
      <c r="BK9" s="2">
        <v>1</v>
      </c>
      <c r="BL9" s="2">
        <v>40.47</v>
      </c>
      <c r="BM9" s="2">
        <v>5.67</v>
      </c>
      <c r="BN9" s="2">
        <v>46.14</v>
      </c>
      <c r="BO9" s="2">
        <v>46.14</v>
      </c>
      <c r="BP9" s="2"/>
      <c r="BQ9" s="2" t="s">
        <v>105</v>
      </c>
      <c r="BR9" s="2" t="s">
        <v>83</v>
      </c>
      <c r="BS9" s="3">
        <v>42647</v>
      </c>
      <c r="BT9" s="4">
        <v>0.39583333333333331</v>
      </c>
      <c r="BU9" s="2" t="s">
        <v>106</v>
      </c>
      <c r="BV9" s="2" t="s">
        <v>85</v>
      </c>
      <c r="BW9" s="2"/>
      <c r="BX9" s="2"/>
      <c r="BY9" s="2">
        <v>1200</v>
      </c>
      <c r="BZ9" s="2" t="s">
        <v>27</v>
      </c>
      <c r="CA9" s="2" t="s">
        <v>107</v>
      </c>
      <c r="CB9" s="2"/>
      <c r="CC9" s="2" t="s">
        <v>99</v>
      </c>
      <c r="CD9" s="2">
        <v>6001</v>
      </c>
      <c r="CE9" s="2" t="s">
        <v>108</v>
      </c>
      <c r="CF9" s="5">
        <v>42647</v>
      </c>
      <c r="CG9" s="2"/>
      <c r="CH9" s="2"/>
      <c r="CI9" s="2">
        <v>1</v>
      </c>
      <c r="CJ9" s="2">
        <v>1</v>
      </c>
      <c r="CK9" s="2">
        <v>21</v>
      </c>
      <c r="CL9" s="2" t="s">
        <v>88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"FES1162503903"</f>
        <v>FES1162503903</v>
      </c>
      <c r="F10" s="3">
        <v>42646</v>
      </c>
      <c r="G10" s="2">
        <v>201704</v>
      </c>
      <c r="H10" s="2" t="s">
        <v>74</v>
      </c>
      <c r="I10" s="2" t="s">
        <v>75</v>
      </c>
      <c r="J10" s="2" t="s">
        <v>76</v>
      </c>
      <c r="K10" s="2" t="s">
        <v>77</v>
      </c>
      <c r="L10" s="2" t="s">
        <v>98</v>
      </c>
      <c r="M10" s="2" t="s">
        <v>99</v>
      </c>
      <c r="N10" s="2" t="s">
        <v>109</v>
      </c>
      <c r="O10" s="2" t="s">
        <v>96</v>
      </c>
      <c r="P10" s="2" t="str">
        <f>"2170527674                    "</f>
        <v xml:space="preserve">2170527674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3.03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1</v>
      </c>
      <c r="BI10" s="2">
        <v>2</v>
      </c>
      <c r="BJ10" s="2">
        <v>0.2</v>
      </c>
      <c r="BK10" s="2">
        <v>2</v>
      </c>
      <c r="BL10" s="2">
        <v>40.47</v>
      </c>
      <c r="BM10" s="2">
        <v>5.67</v>
      </c>
      <c r="BN10" s="2">
        <v>46.14</v>
      </c>
      <c r="BO10" s="2">
        <v>46.14</v>
      </c>
      <c r="BP10" s="2"/>
      <c r="BQ10" s="2" t="s">
        <v>110</v>
      </c>
      <c r="BR10" s="2" t="s">
        <v>83</v>
      </c>
      <c r="BS10" s="3">
        <v>42647</v>
      </c>
      <c r="BT10" s="4">
        <v>0.37152777777777773</v>
      </c>
      <c r="BU10" s="2" t="s">
        <v>111</v>
      </c>
      <c r="BV10" s="2" t="s">
        <v>85</v>
      </c>
      <c r="BW10" s="2"/>
      <c r="BX10" s="2"/>
      <c r="BY10" s="2">
        <v>1200</v>
      </c>
      <c r="BZ10" s="2" t="s">
        <v>27</v>
      </c>
      <c r="CA10" s="2" t="s">
        <v>107</v>
      </c>
      <c r="CB10" s="2"/>
      <c r="CC10" s="2" t="s">
        <v>99</v>
      </c>
      <c r="CD10" s="2">
        <v>6001</v>
      </c>
      <c r="CE10" s="2" t="s">
        <v>108</v>
      </c>
      <c r="CF10" s="5">
        <v>42647</v>
      </c>
      <c r="CG10" s="2"/>
      <c r="CH10" s="2"/>
      <c r="CI10" s="2">
        <v>1</v>
      </c>
      <c r="CJ10" s="2">
        <v>1</v>
      </c>
      <c r="CK10" s="2">
        <v>21</v>
      </c>
      <c r="CL10" s="2" t="s">
        <v>88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"FES1162504124"</f>
        <v>FES1162504124</v>
      </c>
      <c r="F11" s="3">
        <v>42646</v>
      </c>
      <c r="G11" s="2">
        <v>201704</v>
      </c>
      <c r="H11" s="2" t="s">
        <v>74</v>
      </c>
      <c r="I11" s="2" t="s">
        <v>75</v>
      </c>
      <c r="J11" s="2" t="s">
        <v>76</v>
      </c>
      <c r="K11" s="2" t="s">
        <v>77</v>
      </c>
      <c r="L11" s="2" t="s">
        <v>98</v>
      </c>
      <c r="M11" s="2" t="s">
        <v>99</v>
      </c>
      <c r="N11" s="2" t="s">
        <v>112</v>
      </c>
      <c r="O11" s="2" t="s">
        <v>96</v>
      </c>
      <c r="P11" s="2" t="str">
        <f>"2170527911                    "</f>
        <v xml:space="preserve">2170527911                    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9.1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6</v>
      </c>
      <c r="BJ11" s="2">
        <v>4.0999999999999996</v>
      </c>
      <c r="BK11" s="2">
        <v>6</v>
      </c>
      <c r="BL11" s="2">
        <v>121.42</v>
      </c>
      <c r="BM11" s="2">
        <v>17</v>
      </c>
      <c r="BN11" s="2">
        <v>138.41999999999999</v>
      </c>
      <c r="BO11" s="2">
        <v>138.41999999999999</v>
      </c>
      <c r="BP11" s="2"/>
      <c r="BQ11" s="2" t="s">
        <v>82</v>
      </c>
      <c r="BR11" s="2" t="s">
        <v>83</v>
      </c>
      <c r="BS11" s="3">
        <v>42647</v>
      </c>
      <c r="BT11" s="4">
        <v>0.2986111111111111</v>
      </c>
      <c r="BU11" s="2" t="s">
        <v>113</v>
      </c>
      <c r="BV11" s="2" t="s">
        <v>85</v>
      </c>
      <c r="BW11" s="2"/>
      <c r="BX11" s="2"/>
      <c r="BY11" s="2">
        <v>20358</v>
      </c>
      <c r="BZ11" s="2" t="s">
        <v>27</v>
      </c>
      <c r="CA11" s="2" t="s">
        <v>107</v>
      </c>
      <c r="CB11" s="2"/>
      <c r="CC11" s="2" t="s">
        <v>99</v>
      </c>
      <c r="CD11" s="2">
        <v>6012</v>
      </c>
      <c r="CE11" s="2" t="s">
        <v>86</v>
      </c>
      <c r="CF11" s="5">
        <v>42647</v>
      </c>
      <c r="CG11" s="2"/>
      <c r="CH11" s="2"/>
      <c r="CI11" s="2">
        <v>1</v>
      </c>
      <c r="CJ11" s="2">
        <v>1</v>
      </c>
      <c r="CK11" s="2">
        <v>21</v>
      </c>
      <c r="CL11" s="2" t="s">
        <v>88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"FES1162503908"</f>
        <v>FES1162503908</v>
      </c>
      <c r="F12" s="3">
        <v>42646</v>
      </c>
      <c r="G12" s="2">
        <v>201704</v>
      </c>
      <c r="H12" s="2" t="s">
        <v>74</v>
      </c>
      <c r="I12" s="2" t="s">
        <v>75</v>
      </c>
      <c r="J12" s="2" t="s">
        <v>76</v>
      </c>
      <c r="K12" s="2" t="s">
        <v>77</v>
      </c>
      <c r="L12" s="2" t="s">
        <v>114</v>
      </c>
      <c r="M12" s="2" t="s">
        <v>115</v>
      </c>
      <c r="N12" s="2" t="s">
        <v>116</v>
      </c>
      <c r="O12" s="2" t="s">
        <v>96</v>
      </c>
      <c r="P12" s="2" t="str">
        <f>"2170527679                    "</f>
        <v xml:space="preserve">2170527679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5.88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1</v>
      </c>
      <c r="BJ12" s="2">
        <v>0.2</v>
      </c>
      <c r="BK12" s="2">
        <v>1</v>
      </c>
      <c r="BL12" s="2">
        <v>78.42</v>
      </c>
      <c r="BM12" s="2">
        <v>10.98</v>
      </c>
      <c r="BN12" s="2">
        <v>89.4</v>
      </c>
      <c r="BO12" s="2">
        <v>89.4</v>
      </c>
      <c r="BP12" s="2"/>
      <c r="BQ12" s="2" t="s">
        <v>117</v>
      </c>
      <c r="BR12" s="2" t="s">
        <v>83</v>
      </c>
      <c r="BS12" s="3">
        <v>42647</v>
      </c>
      <c r="BT12" s="4">
        <v>0.52777777777777779</v>
      </c>
      <c r="BU12" s="2" t="s">
        <v>118</v>
      </c>
      <c r="BV12" s="2" t="s">
        <v>85</v>
      </c>
      <c r="BW12" s="2"/>
      <c r="BX12" s="2"/>
      <c r="BY12" s="2">
        <v>1200</v>
      </c>
      <c r="BZ12" s="2"/>
      <c r="CA12" s="2"/>
      <c r="CB12" s="2"/>
      <c r="CC12" s="2" t="s">
        <v>115</v>
      </c>
      <c r="CD12" s="2">
        <v>5850</v>
      </c>
      <c r="CE12" s="2" t="s">
        <v>108</v>
      </c>
      <c r="CF12" s="5">
        <v>42649</v>
      </c>
      <c r="CG12" s="2"/>
      <c r="CH12" s="2"/>
      <c r="CI12" s="2">
        <v>3</v>
      </c>
      <c r="CJ12" s="2">
        <v>1</v>
      </c>
      <c r="CK12" s="2">
        <v>23</v>
      </c>
      <c r="CL12" s="2" t="s">
        <v>88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"FES1162504142"</f>
        <v>FES1162504142</v>
      </c>
      <c r="F13" s="3">
        <v>42646</v>
      </c>
      <c r="G13" s="2">
        <v>201704</v>
      </c>
      <c r="H13" s="2" t="s">
        <v>74</v>
      </c>
      <c r="I13" s="2" t="s">
        <v>75</v>
      </c>
      <c r="J13" s="2" t="s">
        <v>76</v>
      </c>
      <c r="K13" s="2" t="s">
        <v>77</v>
      </c>
      <c r="L13" s="2" t="s">
        <v>98</v>
      </c>
      <c r="M13" s="2" t="s">
        <v>99</v>
      </c>
      <c r="N13" s="2" t="s">
        <v>104</v>
      </c>
      <c r="O13" s="2" t="s">
        <v>96</v>
      </c>
      <c r="P13" s="2" t="str">
        <f>"2170527687                    "</f>
        <v xml:space="preserve">2170527687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3.03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1</v>
      </c>
      <c r="BJ13" s="2">
        <v>1.4</v>
      </c>
      <c r="BK13" s="2">
        <v>1.5</v>
      </c>
      <c r="BL13" s="2">
        <v>40.47</v>
      </c>
      <c r="BM13" s="2">
        <v>5.67</v>
      </c>
      <c r="BN13" s="2">
        <v>46.14</v>
      </c>
      <c r="BO13" s="2">
        <v>46.14</v>
      </c>
      <c r="BP13" s="2"/>
      <c r="BQ13" s="2" t="s">
        <v>105</v>
      </c>
      <c r="BR13" s="2" t="s">
        <v>83</v>
      </c>
      <c r="BS13" s="3">
        <v>42647</v>
      </c>
      <c r="BT13" s="4">
        <v>0.39583333333333331</v>
      </c>
      <c r="BU13" s="2" t="s">
        <v>106</v>
      </c>
      <c r="BV13" s="2" t="s">
        <v>85</v>
      </c>
      <c r="BW13" s="2"/>
      <c r="BX13" s="2"/>
      <c r="BY13" s="2">
        <v>6812.56</v>
      </c>
      <c r="BZ13" s="2" t="s">
        <v>27</v>
      </c>
      <c r="CA13" s="2" t="s">
        <v>107</v>
      </c>
      <c r="CB13" s="2"/>
      <c r="CC13" s="2" t="s">
        <v>99</v>
      </c>
      <c r="CD13" s="2">
        <v>6001</v>
      </c>
      <c r="CE13" s="2" t="s">
        <v>108</v>
      </c>
      <c r="CF13" s="5">
        <v>42647</v>
      </c>
      <c r="CG13" s="2"/>
      <c r="CH13" s="2"/>
      <c r="CI13" s="2">
        <v>1</v>
      </c>
      <c r="CJ13" s="2">
        <v>1</v>
      </c>
      <c r="CK13" s="2">
        <v>21</v>
      </c>
      <c r="CL13" s="2" t="s">
        <v>88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"FES1162503911"</f>
        <v>FES1162503911</v>
      </c>
      <c r="F14" s="3">
        <v>42646</v>
      </c>
      <c r="G14" s="2">
        <v>201704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119</v>
      </c>
      <c r="M14" s="2" t="s">
        <v>120</v>
      </c>
      <c r="N14" s="2" t="s">
        <v>121</v>
      </c>
      <c r="O14" s="2" t="s">
        <v>96</v>
      </c>
      <c r="P14" s="2" t="str">
        <f>"2170527680                    "</f>
        <v xml:space="preserve">2170527680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3.03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1</v>
      </c>
      <c r="BI14" s="2">
        <v>1</v>
      </c>
      <c r="BJ14" s="2">
        <v>0.2</v>
      </c>
      <c r="BK14" s="2">
        <v>1</v>
      </c>
      <c r="BL14" s="2">
        <v>40.47</v>
      </c>
      <c r="BM14" s="2">
        <v>5.67</v>
      </c>
      <c r="BN14" s="2">
        <v>46.14</v>
      </c>
      <c r="BO14" s="2">
        <v>46.14</v>
      </c>
      <c r="BP14" s="2"/>
      <c r="BQ14" s="2" t="s">
        <v>122</v>
      </c>
      <c r="BR14" s="2" t="s">
        <v>83</v>
      </c>
      <c r="BS14" s="3">
        <v>42647</v>
      </c>
      <c r="BT14" s="4">
        <v>0.32708333333333334</v>
      </c>
      <c r="BU14" s="2" t="s">
        <v>123</v>
      </c>
      <c r="BV14" s="2" t="s">
        <v>85</v>
      </c>
      <c r="BW14" s="2"/>
      <c r="BX14" s="2"/>
      <c r="BY14" s="2">
        <v>1200</v>
      </c>
      <c r="BZ14" s="2" t="s">
        <v>27</v>
      </c>
      <c r="CA14" s="2"/>
      <c r="CB14" s="2"/>
      <c r="CC14" s="2" t="s">
        <v>120</v>
      </c>
      <c r="CD14" s="2">
        <v>6229</v>
      </c>
      <c r="CE14" s="2" t="s">
        <v>108</v>
      </c>
      <c r="CF14" s="5">
        <v>42648</v>
      </c>
      <c r="CG14" s="2"/>
      <c r="CH14" s="2"/>
      <c r="CI14" s="2">
        <v>1</v>
      </c>
      <c r="CJ14" s="2">
        <v>1</v>
      </c>
      <c r="CK14" s="2">
        <v>21</v>
      </c>
      <c r="CL14" s="2" t="s">
        <v>88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"FES1162504150"</f>
        <v>FES1162504150</v>
      </c>
      <c r="F15" s="3">
        <v>42646</v>
      </c>
      <c r="G15" s="2">
        <v>201704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124</v>
      </c>
      <c r="M15" s="2" t="s">
        <v>125</v>
      </c>
      <c r="N15" s="2" t="s">
        <v>126</v>
      </c>
      <c r="O15" s="2" t="s">
        <v>96</v>
      </c>
      <c r="P15" s="2" t="str">
        <f>"2170527938                    "</f>
        <v xml:space="preserve">2170527938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3.03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1</v>
      </c>
      <c r="BJ15" s="2">
        <v>0.2</v>
      </c>
      <c r="BK15" s="2">
        <v>1</v>
      </c>
      <c r="BL15" s="2">
        <v>40.47</v>
      </c>
      <c r="BM15" s="2">
        <v>5.67</v>
      </c>
      <c r="BN15" s="2">
        <v>46.14</v>
      </c>
      <c r="BO15" s="2">
        <v>46.14</v>
      </c>
      <c r="BP15" s="2"/>
      <c r="BQ15" s="2" t="s">
        <v>127</v>
      </c>
      <c r="BR15" s="2" t="s">
        <v>83</v>
      </c>
      <c r="BS15" s="3">
        <v>42647</v>
      </c>
      <c r="BT15" s="4">
        <v>0.48472222222222222</v>
      </c>
      <c r="BU15" s="2" t="s">
        <v>128</v>
      </c>
      <c r="BV15" s="2" t="s">
        <v>85</v>
      </c>
      <c r="BW15" s="2"/>
      <c r="BX15" s="2"/>
      <c r="BY15" s="2">
        <v>1200</v>
      </c>
      <c r="BZ15" s="2" t="s">
        <v>27</v>
      </c>
      <c r="CA15" s="2" t="s">
        <v>129</v>
      </c>
      <c r="CB15" s="2"/>
      <c r="CC15" s="2" t="s">
        <v>125</v>
      </c>
      <c r="CD15" s="2">
        <v>7140</v>
      </c>
      <c r="CE15" s="2" t="s">
        <v>108</v>
      </c>
      <c r="CF15" s="5">
        <v>42648</v>
      </c>
      <c r="CG15" s="2"/>
      <c r="CH15" s="2"/>
      <c r="CI15" s="2">
        <v>1</v>
      </c>
      <c r="CJ15" s="2">
        <v>1</v>
      </c>
      <c r="CK15" s="2">
        <v>21</v>
      </c>
      <c r="CL15" s="2" t="s">
        <v>88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"FES1162503901"</f>
        <v>FES1162503901</v>
      </c>
      <c r="F16" s="3">
        <v>42646</v>
      </c>
      <c r="G16" s="2">
        <v>201704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98</v>
      </c>
      <c r="M16" s="2" t="s">
        <v>99</v>
      </c>
      <c r="N16" s="2" t="s">
        <v>109</v>
      </c>
      <c r="O16" s="2" t="s">
        <v>96</v>
      </c>
      <c r="P16" s="2" t="str">
        <f>"2170527672                    "</f>
        <v xml:space="preserve">2170527672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3.03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1</v>
      </c>
      <c r="BJ16" s="2">
        <v>0.2</v>
      </c>
      <c r="BK16" s="2">
        <v>1</v>
      </c>
      <c r="BL16" s="2">
        <v>40.47</v>
      </c>
      <c r="BM16" s="2">
        <v>5.67</v>
      </c>
      <c r="BN16" s="2">
        <v>46.14</v>
      </c>
      <c r="BO16" s="2">
        <v>46.14</v>
      </c>
      <c r="BP16" s="2"/>
      <c r="BQ16" s="2" t="s">
        <v>110</v>
      </c>
      <c r="BR16" s="2" t="s">
        <v>83</v>
      </c>
      <c r="BS16" s="3">
        <v>42647</v>
      </c>
      <c r="BT16" s="4">
        <v>0.37152777777777773</v>
      </c>
      <c r="BU16" s="2" t="s">
        <v>111</v>
      </c>
      <c r="BV16" s="2" t="s">
        <v>85</v>
      </c>
      <c r="BW16" s="2"/>
      <c r="BX16" s="2"/>
      <c r="BY16" s="2">
        <v>1200</v>
      </c>
      <c r="BZ16" s="2" t="s">
        <v>27</v>
      </c>
      <c r="CA16" s="2" t="s">
        <v>107</v>
      </c>
      <c r="CB16" s="2"/>
      <c r="CC16" s="2" t="s">
        <v>99</v>
      </c>
      <c r="CD16" s="2">
        <v>6001</v>
      </c>
      <c r="CE16" s="2" t="s">
        <v>108</v>
      </c>
      <c r="CF16" s="5">
        <v>42647</v>
      </c>
      <c r="CG16" s="2"/>
      <c r="CH16" s="2"/>
      <c r="CI16" s="2">
        <v>1</v>
      </c>
      <c r="CJ16" s="2">
        <v>1</v>
      </c>
      <c r="CK16" s="2">
        <v>21</v>
      </c>
      <c r="CL16" s="2" t="s">
        <v>88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"FES1162504151"</f>
        <v>FES1162504151</v>
      </c>
      <c r="F17" s="3">
        <v>42646</v>
      </c>
      <c r="G17" s="2">
        <v>201704</v>
      </c>
      <c r="H17" s="2" t="s">
        <v>74</v>
      </c>
      <c r="I17" s="2" t="s">
        <v>75</v>
      </c>
      <c r="J17" s="2" t="s">
        <v>76</v>
      </c>
      <c r="K17" s="2" t="s">
        <v>77</v>
      </c>
      <c r="L17" s="2" t="s">
        <v>93</v>
      </c>
      <c r="M17" s="2" t="s">
        <v>94</v>
      </c>
      <c r="N17" s="2" t="s">
        <v>130</v>
      </c>
      <c r="O17" s="2" t="s">
        <v>96</v>
      </c>
      <c r="P17" s="2" t="str">
        <f>"2170527940                    "</f>
        <v xml:space="preserve">2170527940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4.55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2</v>
      </c>
      <c r="BJ17" s="2">
        <v>2.7</v>
      </c>
      <c r="BK17" s="2">
        <v>3</v>
      </c>
      <c r="BL17" s="2">
        <v>60.71</v>
      </c>
      <c r="BM17" s="2">
        <v>8.5</v>
      </c>
      <c r="BN17" s="2">
        <v>69.209999999999994</v>
      </c>
      <c r="BO17" s="2">
        <v>69.209999999999994</v>
      </c>
      <c r="BP17" s="2"/>
      <c r="BQ17" s="2" t="s">
        <v>131</v>
      </c>
      <c r="BR17" s="2" t="s">
        <v>83</v>
      </c>
      <c r="BS17" s="3">
        <v>42647</v>
      </c>
      <c r="BT17" s="4">
        <v>0.34375</v>
      </c>
      <c r="BU17" s="2" t="s">
        <v>132</v>
      </c>
      <c r="BV17" s="2" t="s">
        <v>85</v>
      </c>
      <c r="BW17" s="2"/>
      <c r="BX17" s="2"/>
      <c r="BY17" s="2">
        <v>13464</v>
      </c>
      <c r="BZ17" s="2" t="s">
        <v>27</v>
      </c>
      <c r="CA17" s="2"/>
      <c r="CB17" s="2"/>
      <c r="CC17" s="2" t="s">
        <v>94</v>
      </c>
      <c r="CD17" s="2">
        <v>4302</v>
      </c>
      <c r="CE17" s="2" t="s">
        <v>86</v>
      </c>
      <c r="CF17" s="5">
        <v>42648</v>
      </c>
      <c r="CG17" s="2"/>
      <c r="CH17" s="2"/>
      <c r="CI17" s="2">
        <v>1</v>
      </c>
      <c r="CJ17" s="2">
        <v>1</v>
      </c>
      <c r="CK17" s="2">
        <v>21</v>
      </c>
      <c r="CL17" s="2" t="s">
        <v>88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"FES1162503888"</f>
        <v>FES1162503888</v>
      </c>
      <c r="F18" s="3">
        <v>42646</v>
      </c>
      <c r="G18" s="2">
        <v>201704</v>
      </c>
      <c r="H18" s="2" t="s">
        <v>74</v>
      </c>
      <c r="I18" s="2" t="s">
        <v>75</v>
      </c>
      <c r="J18" s="2" t="s">
        <v>76</v>
      </c>
      <c r="K18" s="2" t="s">
        <v>77</v>
      </c>
      <c r="L18" s="2" t="s">
        <v>98</v>
      </c>
      <c r="M18" s="2" t="s">
        <v>99</v>
      </c>
      <c r="N18" s="2" t="s">
        <v>133</v>
      </c>
      <c r="O18" s="2" t="s">
        <v>96</v>
      </c>
      <c r="P18" s="2" t="str">
        <f>"2170527650                    "</f>
        <v xml:space="preserve">2170527650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3.03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1</v>
      </c>
      <c r="BJ18" s="2">
        <v>0.2</v>
      </c>
      <c r="BK18" s="2">
        <v>1</v>
      </c>
      <c r="BL18" s="2">
        <v>40.47</v>
      </c>
      <c r="BM18" s="2">
        <v>5.67</v>
      </c>
      <c r="BN18" s="2">
        <v>46.14</v>
      </c>
      <c r="BO18" s="2">
        <v>46.14</v>
      </c>
      <c r="BP18" s="2"/>
      <c r="BQ18" s="2" t="s">
        <v>134</v>
      </c>
      <c r="BR18" s="2" t="s">
        <v>83</v>
      </c>
      <c r="BS18" s="3">
        <v>42647</v>
      </c>
      <c r="BT18" s="4">
        <v>0.3263888888888889</v>
      </c>
      <c r="BU18" s="2" t="s">
        <v>135</v>
      </c>
      <c r="BV18" s="2" t="s">
        <v>85</v>
      </c>
      <c r="BW18" s="2"/>
      <c r="BX18" s="2"/>
      <c r="BY18" s="2">
        <v>1200</v>
      </c>
      <c r="BZ18" s="2" t="s">
        <v>27</v>
      </c>
      <c r="CA18" s="2" t="s">
        <v>136</v>
      </c>
      <c r="CB18" s="2"/>
      <c r="CC18" s="2" t="s">
        <v>99</v>
      </c>
      <c r="CD18" s="2">
        <v>6001</v>
      </c>
      <c r="CE18" s="2" t="s">
        <v>108</v>
      </c>
      <c r="CF18" s="5">
        <v>42647</v>
      </c>
      <c r="CG18" s="2"/>
      <c r="CH18" s="2"/>
      <c r="CI18" s="2">
        <v>1</v>
      </c>
      <c r="CJ18" s="2">
        <v>1</v>
      </c>
      <c r="CK18" s="2">
        <v>21</v>
      </c>
      <c r="CL18" s="2" t="s">
        <v>88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"FES1162504100"</f>
        <v>FES1162504100</v>
      </c>
      <c r="F19" s="3">
        <v>42646</v>
      </c>
      <c r="G19" s="2">
        <v>201704</v>
      </c>
      <c r="H19" s="2" t="s">
        <v>74</v>
      </c>
      <c r="I19" s="2" t="s">
        <v>75</v>
      </c>
      <c r="J19" s="2" t="s">
        <v>76</v>
      </c>
      <c r="K19" s="2" t="s">
        <v>77</v>
      </c>
      <c r="L19" s="2" t="s">
        <v>137</v>
      </c>
      <c r="M19" s="2" t="s">
        <v>138</v>
      </c>
      <c r="N19" s="2" t="s">
        <v>139</v>
      </c>
      <c r="O19" s="2" t="s">
        <v>96</v>
      </c>
      <c r="P19" s="2" t="str">
        <f>"2170527886                    "</f>
        <v xml:space="preserve">2170527886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3.03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2</v>
      </c>
      <c r="BJ19" s="2">
        <v>0.5</v>
      </c>
      <c r="BK19" s="2">
        <v>2</v>
      </c>
      <c r="BL19" s="2">
        <v>40.47</v>
      </c>
      <c r="BM19" s="2">
        <v>5.67</v>
      </c>
      <c r="BN19" s="2">
        <v>46.14</v>
      </c>
      <c r="BO19" s="2">
        <v>46.14</v>
      </c>
      <c r="BP19" s="2"/>
      <c r="BQ19" s="2" t="s">
        <v>140</v>
      </c>
      <c r="BR19" s="2" t="s">
        <v>83</v>
      </c>
      <c r="BS19" s="3">
        <v>42647</v>
      </c>
      <c r="BT19" s="4">
        <v>0.34861111111111115</v>
      </c>
      <c r="BU19" s="2" t="s">
        <v>141</v>
      </c>
      <c r="BV19" s="2"/>
      <c r="BW19" s="2"/>
      <c r="BX19" s="2"/>
      <c r="BY19" s="2">
        <v>2736</v>
      </c>
      <c r="BZ19" s="2" t="s">
        <v>27</v>
      </c>
      <c r="CA19" s="2" t="s">
        <v>142</v>
      </c>
      <c r="CB19" s="2"/>
      <c r="CC19" s="2" t="s">
        <v>138</v>
      </c>
      <c r="CD19" s="2">
        <v>3201</v>
      </c>
      <c r="CE19" s="2" t="s">
        <v>86</v>
      </c>
      <c r="CF19" s="5">
        <v>42647</v>
      </c>
      <c r="CG19" s="2"/>
      <c r="CH19" s="2"/>
      <c r="CI19" s="2">
        <v>0</v>
      </c>
      <c r="CJ19" s="2">
        <v>0</v>
      </c>
      <c r="CK19" s="2">
        <v>21</v>
      </c>
      <c r="CL19" s="2" t="s">
        <v>88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"FES1162503954"</f>
        <v>FES1162503954</v>
      </c>
      <c r="F20" s="3">
        <v>42646</v>
      </c>
      <c r="G20" s="2">
        <v>201704</v>
      </c>
      <c r="H20" s="2" t="s">
        <v>74</v>
      </c>
      <c r="I20" s="2" t="s">
        <v>75</v>
      </c>
      <c r="J20" s="2" t="s">
        <v>76</v>
      </c>
      <c r="K20" s="2" t="s">
        <v>77</v>
      </c>
      <c r="L20" s="2" t="s">
        <v>143</v>
      </c>
      <c r="M20" s="2" t="s">
        <v>144</v>
      </c>
      <c r="N20" s="2" t="s">
        <v>145</v>
      </c>
      <c r="O20" s="2" t="s">
        <v>96</v>
      </c>
      <c r="P20" s="2" t="str">
        <f>"2170527725                    "</f>
        <v xml:space="preserve">2170527725                    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3.03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1</v>
      </c>
      <c r="BJ20" s="2">
        <v>0.2</v>
      </c>
      <c r="BK20" s="2">
        <v>1</v>
      </c>
      <c r="BL20" s="2">
        <v>40.47</v>
      </c>
      <c r="BM20" s="2">
        <v>5.67</v>
      </c>
      <c r="BN20" s="2">
        <v>46.14</v>
      </c>
      <c r="BO20" s="2">
        <v>46.14</v>
      </c>
      <c r="BP20" s="2"/>
      <c r="BQ20" s="2" t="s">
        <v>91</v>
      </c>
      <c r="BR20" s="2" t="s">
        <v>83</v>
      </c>
      <c r="BS20" s="3">
        <v>42647</v>
      </c>
      <c r="BT20" s="4">
        <v>0.39097222222222222</v>
      </c>
      <c r="BU20" s="2" t="s">
        <v>146</v>
      </c>
      <c r="BV20" s="2" t="s">
        <v>85</v>
      </c>
      <c r="BW20" s="2"/>
      <c r="BX20" s="2"/>
      <c r="BY20" s="2">
        <v>1200</v>
      </c>
      <c r="BZ20" s="2" t="s">
        <v>27</v>
      </c>
      <c r="CA20" s="2" t="s">
        <v>147</v>
      </c>
      <c r="CB20" s="2"/>
      <c r="CC20" s="2" t="s">
        <v>144</v>
      </c>
      <c r="CD20" s="2">
        <v>5201</v>
      </c>
      <c r="CE20" s="2" t="s">
        <v>108</v>
      </c>
      <c r="CF20" s="5">
        <v>42647</v>
      </c>
      <c r="CG20" s="2"/>
      <c r="CH20" s="2"/>
      <c r="CI20" s="2">
        <v>1</v>
      </c>
      <c r="CJ20" s="2">
        <v>1</v>
      </c>
      <c r="CK20" s="2">
        <v>21</v>
      </c>
      <c r="CL20" s="2" t="s">
        <v>88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"FES1162504086"</f>
        <v>FES1162504086</v>
      </c>
      <c r="F21" s="3">
        <v>42646</v>
      </c>
      <c r="G21" s="2">
        <v>201704</v>
      </c>
      <c r="H21" s="2" t="s">
        <v>74</v>
      </c>
      <c r="I21" s="2" t="s">
        <v>75</v>
      </c>
      <c r="J21" s="2" t="s">
        <v>76</v>
      </c>
      <c r="K21" s="2" t="s">
        <v>77</v>
      </c>
      <c r="L21" s="2" t="s">
        <v>148</v>
      </c>
      <c r="M21" s="2" t="s">
        <v>149</v>
      </c>
      <c r="N21" s="2" t="s">
        <v>150</v>
      </c>
      <c r="O21" s="2" t="s">
        <v>96</v>
      </c>
      <c r="P21" s="2" t="str">
        <f>"2170527866                    "</f>
        <v xml:space="preserve">2170527866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3.03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1.4</v>
      </c>
      <c r="BJ21" s="2">
        <v>1.6</v>
      </c>
      <c r="BK21" s="2">
        <v>2</v>
      </c>
      <c r="BL21" s="2">
        <v>40.47</v>
      </c>
      <c r="BM21" s="2">
        <v>5.67</v>
      </c>
      <c r="BN21" s="2">
        <v>46.14</v>
      </c>
      <c r="BO21" s="2">
        <v>46.14</v>
      </c>
      <c r="BP21" s="2"/>
      <c r="BQ21" s="2" t="s">
        <v>151</v>
      </c>
      <c r="BR21" s="2" t="s">
        <v>83</v>
      </c>
      <c r="BS21" s="3">
        <v>42647</v>
      </c>
      <c r="BT21" s="4">
        <v>0.4375</v>
      </c>
      <c r="BU21" s="2" t="s">
        <v>152</v>
      </c>
      <c r="BV21" s="2" t="s">
        <v>85</v>
      </c>
      <c r="BW21" s="2"/>
      <c r="BX21" s="2"/>
      <c r="BY21" s="2">
        <v>7846.96</v>
      </c>
      <c r="BZ21" s="2" t="s">
        <v>27</v>
      </c>
      <c r="CA21" s="2" t="s">
        <v>129</v>
      </c>
      <c r="CB21" s="2"/>
      <c r="CC21" s="2" t="s">
        <v>149</v>
      </c>
      <c r="CD21" s="2">
        <v>4052</v>
      </c>
      <c r="CE21" s="2" t="s">
        <v>86</v>
      </c>
      <c r="CF21" s="5">
        <v>42648</v>
      </c>
      <c r="CG21" s="2"/>
      <c r="CH21" s="2"/>
      <c r="CI21" s="2">
        <v>1</v>
      </c>
      <c r="CJ21" s="2">
        <v>1</v>
      </c>
      <c r="CK21" s="2">
        <v>21</v>
      </c>
      <c r="CL21" s="2" t="s">
        <v>88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"FES1162503905"</f>
        <v>FES1162503905</v>
      </c>
      <c r="F22" s="3">
        <v>42646</v>
      </c>
      <c r="G22" s="2">
        <v>201704</v>
      </c>
      <c r="H22" s="2" t="s">
        <v>74</v>
      </c>
      <c r="I22" s="2" t="s">
        <v>75</v>
      </c>
      <c r="J22" s="2" t="s">
        <v>76</v>
      </c>
      <c r="K22" s="2" t="s">
        <v>77</v>
      </c>
      <c r="L22" s="2" t="s">
        <v>98</v>
      </c>
      <c r="M22" s="2" t="s">
        <v>99</v>
      </c>
      <c r="N22" s="2" t="s">
        <v>109</v>
      </c>
      <c r="O22" s="2" t="s">
        <v>96</v>
      </c>
      <c r="P22" s="2" t="str">
        <f>"2170527676                    "</f>
        <v xml:space="preserve">2170527676  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3.03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1</v>
      </c>
      <c r="BJ22" s="2">
        <v>0.2</v>
      </c>
      <c r="BK22" s="2">
        <v>1</v>
      </c>
      <c r="BL22" s="2">
        <v>40.47</v>
      </c>
      <c r="BM22" s="2">
        <v>5.67</v>
      </c>
      <c r="BN22" s="2">
        <v>46.14</v>
      </c>
      <c r="BO22" s="2">
        <v>46.14</v>
      </c>
      <c r="BP22" s="2"/>
      <c r="BQ22" s="2" t="s">
        <v>110</v>
      </c>
      <c r="BR22" s="2" t="s">
        <v>83</v>
      </c>
      <c r="BS22" s="3">
        <v>42647</v>
      </c>
      <c r="BT22" s="4">
        <v>0.37152777777777773</v>
      </c>
      <c r="BU22" s="2" t="s">
        <v>111</v>
      </c>
      <c r="BV22" s="2" t="s">
        <v>85</v>
      </c>
      <c r="BW22" s="2"/>
      <c r="BX22" s="2"/>
      <c r="BY22" s="2">
        <v>1200</v>
      </c>
      <c r="BZ22" s="2" t="s">
        <v>27</v>
      </c>
      <c r="CA22" s="2" t="s">
        <v>107</v>
      </c>
      <c r="CB22" s="2"/>
      <c r="CC22" s="2" t="s">
        <v>99</v>
      </c>
      <c r="CD22" s="2">
        <v>6001</v>
      </c>
      <c r="CE22" s="2" t="s">
        <v>108</v>
      </c>
      <c r="CF22" s="5">
        <v>42647</v>
      </c>
      <c r="CG22" s="2"/>
      <c r="CH22" s="2"/>
      <c r="CI22" s="2">
        <v>1</v>
      </c>
      <c r="CJ22" s="2">
        <v>1</v>
      </c>
      <c r="CK22" s="2">
        <v>21</v>
      </c>
      <c r="CL22" s="2" t="s">
        <v>88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"FES1162504093"</f>
        <v>FES1162504093</v>
      </c>
      <c r="F23" s="3">
        <v>42646</v>
      </c>
      <c r="G23" s="2">
        <v>201704</v>
      </c>
      <c r="H23" s="2" t="s">
        <v>74</v>
      </c>
      <c r="I23" s="2" t="s">
        <v>75</v>
      </c>
      <c r="J23" s="2" t="s">
        <v>76</v>
      </c>
      <c r="K23" s="2" t="s">
        <v>77</v>
      </c>
      <c r="L23" s="2" t="s">
        <v>153</v>
      </c>
      <c r="M23" s="2" t="s">
        <v>153</v>
      </c>
      <c r="N23" s="2" t="s">
        <v>154</v>
      </c>
      <c r="O23" s="2" t="s">
        <v>96</v>
      </c>
      <c r="P23" s="2" t="str">
        <f>"2170527160                    "</f>
        <v xml:space="preserve">2170527160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13.65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6.1</v>
      </c>
      <c r="BJ23" s="2">
        <v>8.9</v>
      </c>
      <c r="BK23" s="2">
        <v>9</v>
      </c>
      <c r="BL23" s="2">
        <v>182.13</v>
      </c>
      <c r="BM23" s="2">
        <v>25.5</v>
      </c>
      <c r="BN23" s="2">
        <v>207.63</v>
      </c>
      <c r="BO23" s="2">
        <v>207.63</v>
      </c>
      <c r="BP23" s="2"/>
      <c r="BQ23" s="2" t="s">
        <v>117</v>
      </c>
      <c r="BR23" s="2" t="s">
        <v>83</v>
      </c>
      <c r="BS23" s="3">
        <v>42647</v>
      </c>
      <c r="BT23" s="4">
        <v>0.5625</v>
      </c>
      <c r="BU23" s="2" t="s">
        <v>155</v>
      </c>
      <c r="BV23" s="2" t="s">
        <v>85</v>
      </c>
      <c r="BW23" s="2"/>
      <c r="BX23" s="2"/>
      <c r="BY23" s="2">
        <v>44487.37</v>
      </c>
      <c r="BZ23" s="2" t="s">
        <v>27</v>
      </c>
      <c r="CA23" s="2"/>
      <c r="CB23" s="2"/>
      <c r="CC23" s="2" t="s">
        <v>153</v>
      </c>
      <c r="CD23" s="2">
        <v>7646</v>
      </c>
      <c r="CE23" s="2" t="s">
        <v>86</v>
      </c>
      <c r="CF23" s="5">
        <v>42648</v>
      </c>
      <c r="CG23" s="2"/>
      <c r="CH23" s="2"/>
      <c r="CI23" s="2">
        <v>1</v>
      </c>
      <c r="CJ23" s="2">
        <v>1</v>
      </c>
      <c r="CK23" s="2">
        <v>21</v>
      </c>
      <c r="CL23" s="2" t="s">
        <v>88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"FES1162503933"</f>
        <v>FES1162503933</v>
      </c>
      <c r="F24" s="3">
        <v>42646</v>
      </c>
      <c r="G24" s="2">
        <v>201704</v>
      </c>
      <c r="H24" s="2" t="s">
        <v>74</v>
      </c>
      <c r="I24" s="2" t="s">
        <v>75</v>
      </c>
      <c r="J24" s="2" t="s">
        <v>76</v>
      </c>
      <c r="K24" s="2" t="s">
        <v>77</v>
      </c>
      <c r="L24" s="2" t="s">
        <v>156</v>
      </c>
      <c r="M24" s="2" t="s">
        <v>157</v>
      </c>
      <c r="N24" s="2" t="s">
        <v>158</v>
      </c>
      <c r="O24" s="2" t="s">
        <v>96</v>
      </c>
      <c r="P24" s="2" t="str">
        <f>"2170527699                    "</f>
        <v xml:space="preserve">2170527699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3.03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</v>
      </c>
      <c r="BJ24" s="2">
        <v>0.2</v>
      </c>
      <c r="BK24" s="2">
        <v>1</v>
      </c>
      <c r="BL24" s="2">
        <v>40.47</v>
      </c>
      <c r="BM24" s="2">
        <v>5.67</v>
      </c>
      <c r="BN24" s="2">
        <v>46.14</v>
      </c>
      <c r="BO24" s="2">
        <v>46.14</v>
      </c>
      <c r="BP24" s="2"/>
      <c r="BQ24" s="2" t="s">
        <v>91</v>
      </c>
      <c r="BR24" s="2" t="s">
        <v>83</v>
      </c>
      <c r="BS24" s="3">
        <v>42647</v>
      </c>
      <c r="BT24" s="4">
        <v>0.41388888888888892</v>
      </c>
      <c r="BU24" s="2" t="s">
        <v>159</v>
      </c>
      <c r="BV24" s="2" t="s">
        <v>85</v>
      </c>
      <c r="BW24" s="2"/>
      <c r="BX24" s="2"/>
      <c r="BY24" s="2">
        <v>1200</v>
      </c>
      <c r="BZ24" s="2" t="s">
        <v>27</v>
      </c>
      <c r="CA24" s="2" t="s">
        <v>129</v>
      </c>
      <c r="CB24" s="2"/>
      <c r="CC24" s="2" t="s">
        <v>157</v>
      </c>
      <c r="CD24" s="2">
        <v>7130</v>
      </c>
      <c r="CE24" s="2" t="s">
        <v>108</v>
      </c>
      <c r="CF24" s="5">
        <v>42648</v>
      </c>
      <c r="CG24" s="2"/>
      <c r="CH24" s="2"/>
      <c r="CI24" s="2">
        <v>1</v>
      </c>
      <c r="CJ24" s="2">
        <v>1</v>
      </c>
      <c r="CK24" s="2">
        <v>21</v>
      </c>
      <c r="CL24" s="2" t="s">
        <v>88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"FES1162504133"</f>
        <v>FES1162504133</v>
      </c>
      <c r="F25" s="3">
        <v>42646</v>
      </c>
      <c r="G25" s="2">
        <v>201704</v>
      </c>
      <c r="H25" s="2" t="s">
        <v>74</v>
      </c>
      <c r="I25" s="2" t="s">
        <v>75</v>
      </c>
      <c r="J25" s="2" t="s">
        <v>76</v>
      </c>
      <c r="K25" s="2" t="s">
        <v>77</v>
      </c>
      <c r="L25" s="2" t="s">
        <v>160</v>
      </c>
      <c r="M25" s="2" t="s">
        <v>161</v>
      </c>
      <c r="N25" s="2" t="s">
        <v>162</v>
      </c>
      <c r="O25" s="2" t="s">
        <v>96</v>
      </c>
      <c r="P25" s="2" t="str">
        <f>"2170527920                    "</f>
        <v xml:space="preserve">2170527920  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3.03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1</v>
      </c>
      <c r="BJ25" s="2">
        <v>0.8</v>
      </c>
      <c r="BK25" s="2">
        <v>1</v>
      </c>
      <c r="BL25" s="2">
        <v>40.47</v>
      </c>
      <c r="BM25" s="2">
        <v>5.67</v>
      </c>
      <c r="BN25" s="2">
        <v>46.14</v>
      </c>
      <c r="BO25" s="2">
        <v>46.14</v>
      </c>
      <c r="BP25" s="2"/>
      <c r="BQ25" s="2" t="s">
        <v>163</v>
      </c>
      <c r="BR25" s="2" t="s">
        <v>83</v>
      </c>
      <c r="BS25" s="3">
        <v>42647</v>
      </c>
      <c r="BT25" s="4">
        <v>0.65347222222222223</v>
      </c>
      <c r="BU25" s="2" t="s">
        <v>164</v>
      </c>
      <c r="BV25" s="2" t="s">
        <v>88</v>
      </c>
      <c r="BW25" s="2" t="s">
        <v>165</v>
      </c>
      <c r="BX25" s="2" t="s">
        <v>166</v>
      </c>
      <c r="BY25" s="2">
        <v>3775.68</v>
      </c>
      <c r="BZ25" s="2" t="s">
        <v>27</v>
      </c>
      <c r="CA25" s="2"/>
      <c r="CB25" s="2"/>
      <c r="CC25" s="2" t="s">
        <v>161</v>
      </c>
      <c r="CD25" s="2">
        <v>7441</v>
      </c>
      <c r="CE25" s="2" t="s">
        <v>108</v>
      </c>
      <c r="CF25" s="5">
        <v>42648</v>
      </c>
      <c r="CG25" s="2"/>
      <c r="CH25" s="2"/>
      <c r="CI25" s="2">
        <v>1</v>
      </c>
      <c r="CJ25" s="2">
        <v>1</v>
      </c>
      <c r="CK25" s="2">
        <v>21</v>
      </c>
      <c r="CL25" s="2" t="s">
        <v>88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"FES1162503955"</f>
        <v>FES1162503955</v>
      </c>
      <c r="F26" s="3">
        <v>42646</v>
      </c>
      <c r="G26" s="2">
        <v>201704</v>
      </c>
      <c r="H26" s="2" t="s">
        <v>74</v>
      </c>
      <c r="I26" s="2" t="s">
        <v>75</v>
      </c>
      <c r="J26" s="2" t="s">
        <v>76</v>
      </c>
      <c r="K26" s="2" t="s">
        <v>77</v>
      </c>
      <c r="L26" s="2" t="s">
        <v>137</v>
      </c>
      <c r="M26" s="2" t="s">
        <v>138</v>
      </c>
      <c r="N26" s="2" t="s">
        <v>167</v>
      </c>
      <c r="O26" s="2" t="s">
        <v>96</v>
      </c>
      <c r="P26" s="2" t="str">
        <f>"2170527726                    "</f>
        <v xml:space="preserve">2170527726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3.03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1</v>
      </c>
      <c r="BJ26" s="2">
        <v>0.2</v>
      </c>
      <c r="BK26" s="2">
        <v>1</v>
      </c>
      <c r="BL26" s="2">
        <v>40.47</v>
      </c>
      <c r="BM26" s="2">
        <v>5.67</v>
      </c>
      <c r="BN26" s="2">
        <v>46.14</v>
      </c>
      <c r="BO26" s="2">
        <v>46.14</v>
      </c>
      <c r="BP26" s="2"/>
      <c r="BQ26" s="2" t="s">
        <v>168</v>
      </c>
      <c r="BR26" s="2" t="s">
        <v>83</v>
      </c>
      <c r="BS26" s="3">
        <v>42647</v>
      </c>
      <c r="BT26" s="4">
        <v>0.38055555555555554</v>
      </c>
      <c r="BU26" s="2" t="s">
        <v>169</v>
      </c>
      <c r="BV26" s="2" t="s">
        <v>85</v>
      </c>
      <c r="BW26" s="2"/>
      <c r="BX26" s="2"/>
      <c r="BY26" s="2">
        <v>1200</v>
      </c>
      <c r="BZ26" s="2" t="s">
        <v>27</v>
      </c>
      <c r="CA26" s="2" t="s">
        <v>170</v>
      </c>
      <c r="CB26" s="2"/>
      <c r="CC26" s="2" t="s">
        <v>138</v>
      </c>
      <c r="CD26" s="2">
        <v>3201</v>
      </c>
      <c r="CE26" s="2" t="s">
        <v>108</v>
      </c>
      <c r="CF26" s="5">
        <v>42647</v>
      </c>
      <c r="CG26" s="2"/>
      <c r="CH26" s="2"/>
      <c r="CI26" s="2">
        <v>1</v>
      </c>
      <c r="CJ26" s="2">
        <v>1</v>
      </c>
      <c r="CK26" s="2">
        <v>21</v>
      </c>
      <c r="CL26" s="2" t="s">
        <v>88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"FES1162504120"</f>
        <v>FES1162504120</v>
      </c>
      <c r="F27" s="3">
        <v>42646</v>
      </c>
      <c r="G27" s="2">
        <v>201704</v>
      </c>
      <c r="H27" s="2" t="s">
        <v>74</v>
      </c>
      <c r="I27" s="2" t="s">
        <v>75</v>
      </c>
      <c r="J27" s="2" t="s">
        <v>76</v>
      </c>
      <c r="K27" s="2" t="s">
        <v>77</v>
      </c>
      <c r="L27" s="2" t="s">
        <v>171</v>
      </c>
      <c r="M27" s="2" t="s">
        <v>172</v>
      </c>
      <c r="N27" s="2" t="s">
        <v>173</v>
      </c>
      <c r="O27" s="2" t="s">
        <v>96</v>
      </c>
      <c r="P27" s="2" t="str">
        <f>"2170527797                    "</f>
        <v xml:space="preserve">2170527797                    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3.03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</v>
      </c>
      <c r="BJ27" s="2">
        <v>0.2</v>
      </c>
      <c r="BK27" s="2">
        <v>1</v>
      </c>
      <c r="BL27" s="2">
        <v>40.47</v>
      </c>
      <c r="BM27" s="2">
        <v>5.67</v>
      </c>
      <c r="BN27" s="2">
        <v>46.14</v>
      </c>
      <c r="BO27" s="2">
        <v>46.14</v>
      </c>
      <c r="BP27" s="2"/>
      <c r="BQ27" s="2" t="s">
        <v>174</v>
      </c>
      <c r="BR27" s="2" t="s">
        <v>83</v>
      </c>
      <c r="BS27" s="3">
        <v>42647</v>
      </c>
      <c r="BT27" s="4">
        <v>0.3833333333333333</v>
      </c>
      <c r="BU27" s="2" t="s">
        <v>175</v>
      </c>
      <c r="BV27" s="2" t="s">
        <v>85</v>
      </c>
      <c r="BW27" s="2"/>
      <c r="BX27" s="2"/>
      <c r="BY27" s="2">
        <v>1200</v>
      </c>
      <c r="BZ27" s="2" t="s">
        <v>27</v>
      </c>
      <c r="CA27" s="2"/>
      <c r="CB27" s="2"/>
      <c r="CC27" s="2" t="s">
        <v>172</v>
      </c>
      <c r="CD27" s="2">
        <v>6220</v>
      </c>
      <c r="CE27" s="2" t="s">
        <v>108</v>
      </c>
      <c r="CF27" s="5">
        <v>42648</v>
      </c>
      <c r="CG27" s="2"/>
      <c r="CH27" s="2"/>
      <c r="CI27" s="2">
        <v>1</v>
      </c>
      <c r="CJ27" s="2">
        <v>1</v>
      </c>
      <c r="CK27" s="2">
        <v>21</v>
      </c>
      <c r="CL27" s="2" t="s">
        <v>88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"FES1162503902"</f>
        <v>FES1162503902</v>
      </c>
      <c r="F28" s="3">
        <v>42646</v>
      </c>
      <c r="G28" s="2">
        <v>201704</v>
      </c>
      <c r="H28" s="2" t="s">
        <v>74</v>
      </c>
      <c r="I28" s="2" t="s">
        <v>75</v>
      </c>
      <c r="J28" s="2" t="s">
        <v>76</v>
      </c>
      <c r="K28" s="2" t="s">
        <v>77</v>
      </c>
      <c r="L28" s="2" t="s">
        <v>98</v>
      </c>
      <c r="M28" s="2" t="s">
        <v>99</v>
      </c>
      <c r="N28" s="2" t="s">
        <v>109</v>
      </c>
      <c r="O28" s="2" t="s">
        <v>96</v>
      </c>
      <c r="P28" s="2" t="str">
        <f>"2170527673                    "</f>
        <v xml:space="preserve">2170527673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3.03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2</v>
      </c>
      <c r="BJ28" s="2">
        <v>0.2</v>
      </c>
      <c r="BK28" s="2">
        <v>2</v>
      </c>
      <c r="BL28" s="2">
        <v>40.47</v>
      </c>
      <c r="BM28" s="2">
        <v>5.67</v>
      </c>
      <c r="BN28" s="2">
        <v>46.14</v>
      </c>
      <c r="BO28" s="2">
        <v>46.14</v>
      </c>
      <c r="BP28" s="2"/>
      <c r="BQ28" s="2" t="s">
        <v>110</v>
      </c>
      <c r="BR28" s="2" t="s">
        <v>83</v>
      </c>
      <c r="BS28" s="3">
        <v>42647</v>
      </c>
      <c r="BT28" s="4">
        <v>0.37152777777777773</v>
      </c>
      <c r="BU28" s="2" t="s">
        <v>111</v>
      </c>
      <c r="BV28" s="2" t="s">
        <v>85</v>
      </c>
      <c r="BW28" s="2"/>
      <c r="BX28" s="2"/>
      <c r="BY28" s="2">
        <v>1200</v>
      </c>
      <c r="BZ28" s="2" t="s">
        <v>27</v>
      </c>
      <c r="CA28" s="2" t="s">
        <v>107</v>
      </c>
      <c r="CB28" s="2"/>
      <c r="CC28" s="2" t="s">
        <v>99</v>
      </c>
      <c r="CD28" s="2">
        <v>6001</v>
      </c>
      <c r="CE28" s="2" t="s">
        <v>108</v>
      </c>
      <c r="CF28" s="5">
        <v>42647</v>
      </c>
      <c r="CG28" s="2"/>
      <c r="CH28" s="2"/>
      <c r="CI28" s="2">
        <v>1</v>
      </c>
      <c r="CJ28" s="2">
        <v>1</v>
      </c>
      <c r="CK28" s="2">
        <v>21</v>
      </c>
      <c r="CL28" s="2" t="s">
        <v>88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"FES1162504109"</f>
        <v>FES1162504109</v>
      </c>
      <c r="F29" s="3">
        <v>42646</v>
      </c>
      <c r="G29" s="2">
        <v>201704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160</v>
      </c>
      <c r="M29" s="2" t="s">
        <v>161</v>
      </c>
      <c r="N29" s="2" t="s">
        <v>176</v>
      </c>
      <c r="O29" s="2" t="s">
        <v>96</v>
      </c>
      <c r="P29" s="2" t="str">
        <f>"2170527895                    "</f>
        <v xml:space="preserve">2170527895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3.03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1</v>
      </c>
      <c r="BJ29" s="2">
        <v>0.2</v>
      </c>
      <c r="BK29" s="2">
        <v>1</v>
      </c>
      <c r="BL29" s="2">
        <v>40.47</v>
      </c>
      <c r="BM29" s="2">
        <v>5.67</v>
      </c>
      <c r="BN29" s="2">
        <v>46.14</v>
      </c>
      <c r="BO29" s="2">
        <v>46.14</v>
      </c>
      <c r="BP29" s="2"/>
      <c r="BQ29" s="2" t="s">
        <v>177</v>
      </c>
      <c r="BR29" s="2" t="s">
        <v>83</v>
      </c>
      <c r="BS29" s="3">
        <v>42647</v>
      </c>
      <c r="BT29" s="4">
        <v>0.41666666666666669</v>
      </c>
      <c r="BU29" s="2" t="s">
        <v>178</v>
      </c>
      <c r="BV29" s="2" t="s">
        <v>85</v>
      </c>
      <c r="BW29" s="2"/>
      <c r="BX29" s="2"/>
      <c r="BY29" s="2">
        <v>1200</v>
      </c>
      <c r="BZ29" s="2" t="s">
        <v>27</v>
      </c>
      <c r="CA29" s="2"/>
      <c r="CB29" s="2"/>
      <c r="CC29" s="2" t="s">
        <v>161</v>
      </c>
      <c r="CD29" s="2">
        <v>7530</v>
      </c>
      <c r="CE29" s="2" t="s">
        <v>108</v>
      </c>
      <c r="CF29" s="5">
        <v>42648</v>
      </c>
      <c r="CG29" s="2"/>
      <c r="CH29" s="2"/>
      <c r="CI29" s="2">
        <v>1</v>
      </c>
      <c r="CJ29" s="2">
        <v>1</v>
      </c>
      <c r="CK29" s="2">
        <v>21</v>
      </c>
      <c r="CL29" s="2" t="s">
        <v>88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"FES1162503924"</f>
        <v>FES1162503924</v>
      </c>
      <c r="F30" s="3">
        <v>42646</v>
      </c>
      <c r="G30" s="2">
        <v>201704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160</v>
      </c>
      <c r="M30" s="2" t="s">
        <v>161</v>
      </c>
      <c r="N30" s="2" t="s">
        <v>179</v>
      </c>
      <c r="O30" s="2" t="s">
        <v>96</v>
      </c>
      <c r="P30" s="2" t="str">
        <f>"2170527691                    "</f>
        <v xml:space="preserve">2170527691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3.03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40.47</v>
      </c>
      <c r="BM30" s="2">
        <v>5.67</v>
      </c>
      <c r="BN30" s="2">
        <v>46.14</v>
      </c>
      <c r="BO30" s="2">
        <v>46.14</v>
      </c>
      <c r="BP30" s="2"/>
      <c r="BQ30" s="2" t="s">
        <v>180</v>
      </c>
      <c r="BR30" s="2" t="s">
        <v>83</v>
      </c>
      <c r="BS30" s="3">
        <v>42647</v>
      </c>
      <c r="BT30" s="4">
        <v>0.41666666666666669</v>
      </c>
      <c r="BU30" s="2" t="s">
        <v>181</v>
      </c>
      <c r="BV30" s="2" t="s">
        <v>85</v>
      </c>
      <c r="BW30" s="2"/>
      <c r="BX30" s="2"/>
      <c r="BY30" s="2">
        <v>1200</v>
      </c>
      <c r="BZ30" s="2" t="s">
        <v>27</v>
      </c>
      <c r="CA30" s="2"/>
      <c r="CB30" s="2"/>
      <c r="CC30" s="2" t="s">
        <v>161</v>
      </c>
      <c r="CD30" s="2">
        <v>7405</v>
      </c>
      <c r="CE30" s="2" t="s">
        <v>108</v>
      </c>
      <c r="CF30" s="5">
        <v>42648</v>
      </c>
      <c r="CG30" s="2"/>
      <c r="CH30" s="2"/>
      <c r="CI30" s="2">
        <v>1</v>
      </c>
      <c r="CJ30" s="2">
        <v>1</v>
      </c>
      <c r="CK30" s="2">
        <v>21</v>
      </c>
      <c r="CL30" s="2" t="s">
        <v>88</v>
      </c>
      <c r="CM30" s="2"/>
    </row>
    <row r="31" spans="1:91">
      <c r="A31" s="2" t="s">
        <v>71</v>
      </c>
      <c r="B31" s="2" t="s">
        <v>72</v>
      </c>
      <c r="C31" s="2" t="s">
        <v>73</v>
      </c>
      <c r="D31" s="2"/>
      <c r="E31" s="2" t="str">
        <f>"FES1162504137"</f>
        <v>FES1162504137</v>
      </c>
      <c r="F31" s="3">
        <v>42646</v>
      </c>
      <c r="G31" s="2">
        <v>201704</v>
      </c>
      <c r="H31" s="2" t="s">
        <v>74</v>
      </c>
      <c r="I31" s="2" t="s">
        <v>75</v>
      </c>
      <c r="J31" s="2" t="s">
        <v>76</v>
      </c>
      <c r="K31" s="2" t="s">
        <v>77</v>
      </c>
      <c r="L31" s="2" t="s">
        <v>160</v>
      </c>
      <c r="M31" s="2" t="s">
        <v>161</v>
      </c>
      <c r="N31" s="2" t="s">
        <v>182</v>
      </c>
      <c r="O31" s="2" t="s">
        <v>96</v>
      </c>
      <c r="P31" s="2" t="str">
        <f>"2170527923                    "</f>
        <v xml:space="preserve">2170527923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3.03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2</v>
      </c>
      <c r="BJ31" s="2">
        <v>1</v>
      </c>
      <c r="BK31" s="2">
        <v>2</v>
      </c>
      <c r="BL31" s="2">
        <v>40.47</v>
      </c>
      <c r="BM31" s="2">
        <v>5.67</v>
      </c>
      <c r="BN31" s="2">
        <v>46.14</v>
      </c>
      <c r="BO31" s="2">
        <v>46.14</v>
      </c>
      <c r="BP31" s="2"/>
      <c r="BQ31" s="2" t="s">
        <v>91</v>
      </c>
      <c r="BR31" s="2" t="s">
        <v>83</v>
      </c>
      <c r="BS31" s="3">
        <v>42647</v>
      </c>
      <c r="BT31" s="4">
        <v>0.45833333333333331</v>
      </c>
      <c r="BU31" s="2" t="s">
        <v>183</v>
      </c>
      <c r="BV31" s="2"/>
      <c r="BW31" s="2" t="s">
        <v>165</v>
      </c>
      <c r="BX31" s="2" t="s">
        <v>166</v>
      </c>
      <c r="BY31" s="2">
        <v>4979.5200000000004</v>
      </c>
      <c r="BZ31" s="2" t="s">
        <v>27</v>
      </c>
      <c r="CA31" s="2"/>
      <c r="CB31" s="2"/>
      <c r="CC31" s="2" t="s">
        <v>161</v>
      </c>
      <c r="CD31" s="2">
        <v>8001</v>
      </c>
      <c r="CE31" s="2" t="s">
        <v>86</v>
      </c>
      <c r="CF31" s="5">
        <v>42648</v>
      </c>
      <c r="CG31" s="2"/>
      <c r="CH31" s="2"/>
      <c r="CI31" s="2">
        <v>0</v>
      </c>
      <c r="CJ31" s="2">
        <v>0</v>
      </c>
      <c r="CK31" s="2">
        <v>21</v>
      </c>
      <c r="CL31" s="2" t="s">
        <v>88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"FES1162503982"</f>
        <v>FES1162503982</v>
      </c>
      <c r="F32" s="3">
        <v>42646</v>
      </c>
      <c r="G32" s="2">
        <v>201704</v>
      </c>
      <c r="H32" s="2" t="s">
        <v>74</v>
      </c>
      <c r="I32" s="2" t="s">
        <v>75</v>
      </c>
      <c r="J32" s="2" t="s">
        <v>76</v>
      </c>
      <c r="K32" s="2" t="s">
        <v>77</v>
      </c>
      <c r="L32" s="2" t="s">
        <v>160</v>
      </c>
      <c r="M32" s="2" t="s">
        <v>161</v>
      </c>
      <c r="N32" s="2" t="s">
        <v>184</v>
      </c>
      <c r="O32" s="2" t="s">
        <v>96</v>
      </c>
      <c r="P32" s="2" t="str">
        <f>"2170527759                    "</f>
        <v xml:space="preserve">2170527759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3.03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1</v>
      </c>
      <c r="BJ32" s="2">
        <v>0.2</v>
      </c>
      <c r="BK32" s="2">
        <v>1</v>
      </c>
      <c r="BL32" s="2">
        <v>40.47</v>
      </c>
      <c r="BM32" s="2">
        <v>5.67</v>
      </c>
      <c r="BN32" s="2">
        <v>46.14</v>
      </c>
      <c r="BO32" s="2">
        <v>46.14</v>
      </c>
      <c r="BP32" s="2"/>
      <c r="BQ32" s="2" t="s">
        <v>117</v>
      </c>
      <c r="BR32" s="2" t="s">
        <v>83</v>
      </c>
      <c r="BS32" s="3">
        <v>42647</v>
      </c>
      <c r="BT32" s="4">
        <v>0.46180555555555558</v>
      </c>
      <c r="BU32" s="2" t="s">
        <v>185</v>
      </c>
      <c r="BV32" s="2" t="s">
        <v>88</v>
      </c>
      <c r="BW32" s="2" t="s">
        <v>165</v>
      </c>
      <c r="BX32" s="2" t="s">
        <v>166</v>
      </c>
      <c r="BY32" s="2">
        <v>1200</v>
      </c>
      <c r="BZ32" s="2" t="s">
        <v>27</v>
      </c>
      <c r="CA32" s="2"/>
      <c r="CB32" s="2"/>
      <c r="CC32" s="2" t="s">
        <v>161</v>
      </c>
      <c r="CD32" s="2">
        <v>7441</v>
      </c>
      <c r="CE32" s="2" t="s">
        <v>108</v>
      </c>
      <c r="CF32" s="5">
        <v>42648</v>
      </c>
      <c r="CG32" s="2"/>
      <c r="CH32" s="2"/>
      <c r="CI32" s="2">
        <v>1</v>
      </c>
      <c r="CJ32" s="2">
        <v>1</v>
      </c>
      <c r="CK32" s="2">
        <v>21</v>
      </c>
      <c r="CL32" s="2" t="s">
        <v>88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"FES1162504121"</f>
        <v>FES1162504121</v>
      </c>
      <c r="F33" s="3">
        <v>42646</v>
      </c>
      <c r="G33" s="2">
        <v>201704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119</v>
      </c>
      <c r="M33" s="2" t="s">
        <v>120</v>
      </c>
      <c r="N33" s="2" t="s">
        <v>186</v>
      </c>
      <c r="O33" s="2" t="s">
        <v>96</v>
      </c>
      <c r="P33" s="2" t="str">
        <f>"2170527907                    "</f>
        <v xml:space="preserve">2170527907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3.03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1</v>
      </c>
      <c r="BJ33" s="2">
        <v>0.2</v>
      </c>
      <c r="BK33" s="2">
        <v>1</v>
      </c>
      <c r="BL33" s="2">
        <v>40.47</v>
      </c>
      <c r="BM33" s="2">
        <v>5.67</v>
      </c>
      <c r="BN33" s="2">
        <v>46.14</v>
      </c>
      <c r="BO33" s="2">
        <v>46.14</v>
      </c>
      <c r="BP33" s="2"/>
      <c r="BQ33" s="2" t="s">
        <v>187</v>
      </c>
      <c r="BR33" s="2" t="s">
        <v>83</v>
      </c>
      <c r="BS33" s="3">
        <v>42647</v>
      </c>
      <c r="BT33" s="4">
        <v>0.3298611111111111</v>
      </c>
      <c r="BU33" s="2" t="s">
        <v>188</v>
      </c>
      <c r="BV33" s="2" t="s">
        <v>85</v>
      </c>
      <c r="BW33" s="2"/>
      <c r="BX33" s="2"/>
      <c r="BY33" s="2">
        <v>1200</v>
      </c>
      <c r="BZ33" s="2" t="s">
        <v>27</v>
      </c>
      <c r="CA33" s="2"/>
      <c r="CB33" s="2"/>
      <c r="CC33" s="2" t="s">
        <v>120</v>
      </c>
      <c r="CD33" s="2">
        <v>6229</v>
      </c>
      <c r="CE33" s="2" t="s">
        <v>108</v>
      </c>
      <c r="CF33" s="5">
        <v>42648</v>
      </c>
      <c r="CG33" s="2"/>
      <c r="CH33" s="2"/>
      <c r="CI33" s="2">
        <v>1</v>
      </c>
      <c r="CJ33" s="2">
        <v>1</v>
      </c>
      <c r="CK33" s="2">
        <v>21</v>
      </c>
      <c r="CL33" s="2" t="s">
        <v>88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"FES1162504003"</f>
        <v>FES1162504003</v>
      </c>
      <c r="F34" s="3">
        <v>42646</v>
      </c>
      <c r="G34" s="2">
        <v>201704</v>
      </c>
      <c r="H34" s="2" t="s">
        <v>74</v>
      </c>
      <c r="I34" s="2" t="s">
        <v>75</v>
      </c>
      <c r="J34" s="2" t="s">
        <v>189</v>
      </c>
      <c r="K34" s="2" t="s">
        <v>77</v>
      </c>
      <c r="L34" s="2" t="s">
        <v>98</v>
      </c>
      <c r="M34" s="2" t="s">
        <v>99</v>
      </c>
      <c r="N34" s="2" t="s">
        <v>190</v>
      </c>
      <c r="O34" s="2" t="s">
        <v>191</v>
      </c>
      <c r="P34" s="2" t="str">
        <f>"2170527794                    "</f>
        <v xml:space="preserve">2170527794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351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31.46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1</v>
      </c>
      <c r="BJ34" s="2">
        <v>0.2</v>
      </c>
      <c r="BK34" s="2">
        <v>1</v>
      </c>
      <c r="BL34" s="2">
        <v>419.9</v>
      </c>
      <c r="BM34" s="2">
        <v>58.79</v>
      </c>
      <c r="BN34" s="2">
        <v>478.69</v>
      </c>
      <c r="BO34" s="2">
        <v>478.69</v>
      </c>
      <c r="BP34" s="2" t="s">
        <v>192</v>
      </c>
      <c r="BQ34" s="2" t="s">
        <v>193</v>
      </c>
      <c r="BR34" s="2" t="s">
        <v>194</v>
      </c>
      <c r="BS34" s="3">
        <v>42646</v>
      </c>
      <c r="BT34" s="4">
        <v>0.76041666666666663</v>
      </c>
      <c r="BU34" s="2" t="s">
        <v>195</v>
      </c>
      <c r="BV34" s="2" t="s">
        <v>85</v>
      </c>
      <c r="BW34" s="2"/>
      <c r="BX34" s="2"/>
      <c r="BY34" s="2">
        <v>1200</v>
      </c>
      <c r="BZ34" s="2" t="s">
        <v>196</v>
      </c>
      <c r="CA34" s="2" t="s">
        <v>129</v>
      </c>
      <c r="CB34" s="2"/>
      <c r="CC34" s="2" t="s">
        <v>99</v>
      </c>
      <c r="CD34" s="2">
        <v>6001</v>
      </c>
      <c r="CE34" s="2" t="s">
        <v>108</v>
      </c>
      <c r="CF34" s="5">
        <v>42647</v>
      </c>
      <c r="CG34" s="2"/>
      <c r="CH34" s="2"/>
      <c r="CI34" s="2">
        <v>0</v>
      </c>
      <c r="CJ34" s="2">
        <v>0</v>
      </c>
      <c r="CK34" s="2">
        <v>21</v>
      </c>
      <c r="CL34" s="2" t="s">
        <v>88</v>
      </c>
      <c r="CM34" s="2"/>
    </row>
    <row r="35" spans="1:91">
      <c r="A35" s="2" t="s">
        <v>71</v>
      </c>
      <c r="B35" s="2" t="s">
        <v>72</v>
      </c>
      <c r="C35" s="2" t="s">
        <v>73</v>
      </c>
      <c r="D35" s="2"/>
      <c r="E35" s="2" t="str">
        <f>"FES1162504128"</f>
        <v>FES1162504128</v>
      </c>
      <c r="F35" s="3">
        <v>42646</v>
      </c>
      <c r="G35" s="2">
        <v>201704</v>
      </c>
      <c r="H35" s="2" t="s">
        <v>74</v>
      </c>
      <c r="I35" s="2" t="s">
        <v>75</v>
      </c>
      <c r="J35" s="2" t="s">
        <v>76</v>
      </c>
      <c r="K35" s="2" t="s">
        <v>77</v>
      </c>
      <c r="L35" s="2" t="s">
        <v>98</v>
      </c>
      <c r="M35" s="2" t="s">
        <v>99</v>
      </c>
      <c r="N35" s="2" t="s">
        <v>109</v>
      </c>
      <c r="O35" s="2" t="s">
        <v>96</v>
      </c>
      <c r="P35" s="2" t="str">
        <f>"2170527674                    "</f>
        <v xml:space="preserve">2170527674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4.55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1</v>
      </c>
      <c r="BJ35" s="2">
        <v>2.6</v>
      </c>
      <c r="BK35" s="2">
        <v>3</v>
      </c>
      <c r="BL35" s="2">
        <v>60.71</v>
      </c>
      <c r="BM35" s="2">
        <v>8.5</v>
      </c>
      <c r="BN35" s="2">
        <v>69.209999999999994</v>
      </c>
      <c r="BO35" s="2">
        <v>69.209999999999994</v>
      </c>
      <c r="BP35" s="2"/>
      <c r="BQ35" s="2" t="s">
        <v>110</v>
      </c>
      <c r="BR35" s="2" t="s">
        <v>83</v>
      </c>
      <c r="BS35" s="3">
        <v>42647</v>
      </c>
      <c r="BT35" s="4">
        <v>0.37152777777777773</v>
      </c>
      <c r="BU35" s="2" t="s">
        <v>111</v>
      </c>
      <c r="BV35" s="2" t="s">
        <v>85</v>
      </c>
      <c r="BW35" s="2"/>
      <c r="BX35" s="2"/>
      <c r="BY35" s="2">
        <v>13008.27</v>
      </c>
      <c r="BZ35" s="2" t="s">
        <v>27</v>
      </c>
      <c r="CA35" s="2" t="s">
        <v>107</v>
      </c>
      <c r="CB35" s="2"/>
      <c r="CC35" s="2" t="s">
        <v>99</v>
      </c>
      <c r="CD35" s="2">
        <v>6001</v>
      </c>
      <c r="CE35" s="2" t="s">
        <v>108</v>
      </c>
      <c r="CF35" s="5">
        <v>42647</v>
      </c>
      <c r="CG35" s="2"/>
      <c r="CH35" s="2"/>
      <c r="CI35" s="2">
        <v>1</v>
      </c>
      <c r="CJ35" s="2">
        <v>1</v>
      </c>
      <c r="CK35" s="2">
        <v>21</v>
      </c>
      <c r="CL35" s="2" t="s">
        <v>88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"FES1162503991"</f>
        <v>FES1162503991</v>
      </c>
      <c r="F36" s="3">
        <v>42646</v>
      </c>
      <c r="G36" s="2">
        <v>201704</v>
      </c>
      <c r="H36" s="2" t="s">
        <v>74</v>
      </c>
      <c r="I36" s="2" t="s">
        <v>75</v>
      </c>
      <c r="J36" s="2" t="s">
        <v>76</v>
      </c>
      <c r="K36" s="2" t="s">
        <v>77</v>
      </c>
      <c r="L36" s="2" t="s">
        <v>148</v>
      </c>
      <c r="M36" s="2" t="s">
        <v>149</v>
      </c>
      <c r="N36" s="2" t="s">
        <v>197</v>
      </c>
      <c r="O36" s="2" t="s">
        <v>96</v>
      </c>
      <c r="P36" s="2" t="str">
        <f>"2170527780                    "</f>
        <v xml:space="preserve">2170527780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3.03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</v>
      </c>
      <c r="BJ36" s="2">
        <v>1.6</v>
      </c>
      <c r="BK36" s="2">
        <v>2</v>
      </c>
      <c r="BL36" s="2">
        <v>40.47</v>
      </c>
      <c r="BM36" s="2">
        <v>5.67</v>
      </c>
      <c r="BN36" s="2">
        <v>46.14</v>
      </c>
      <c r="BO36" s="2">
        <v>46.14</v>
      </c>
      <c r="BP36" s="2"/>
      <c r="BQ36" s="2" t="s">
        <v>198</v>
      </c>
      <c r="BR36" s="2" t="s">
        <v>83</v>
      </c>
      <c r="BS36" s="3">
        <v>42647</v>
      </c>
      <c r="BT36" s="4">
        <v>0.34027777777777773</v>
      </c>
      <c r="BU36" s="2" t="s">
        <v>199</v>
      </c>
      <c r="BV36" s="2" t="s">
        <v>85</v>
      </c>
      <c r="BW36" s="2"/>
      <c r="BX36" s="2"/>
      <c r="BY36" s="2">
        <v>8168.5</v>
      </c>
      <c r="BZ36" s="2" t="s">
        <v>27</v>
      </c>
      <c r="CA36" s="2"/>
      <c r="CB36" s="2"/>
      <c r="CC36" s="2" t="s">
        <v>149</v>
      </c>
      <c r="CD36" s="2">
        <v>4052</v>
      </c>
      <c r="CE36" s="2" t="s">
        <v>86</v>
      </c>
      <c r="CF36" s="5">
        <v>42648</v>
      </c>
      <c r="CG36" s="2"/>
      <c r="CH36" s="2"/>
      <c r="CI36" s="2">
        <v>1</v>
      </c>
      <c r="CJ36" s="2">
        <v>1</v>
      </c>
      <c r="CK36" s="2">
        <v>21</v>
      </c>
      <c r="CL36" s="2" t="s">
        <v>88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"FES1162504091"</f>
        <v>FES1162504091</v>
      </c>
      <c r="F37" s="3">
        <v>42646</v>
      </c>
      <c r="G37" s="2">
        <v>201704</v>
      </c>
      <c r="H37" s="2" t="s">
        <v>74</v>
      </c>
      <c r="I37" s="2" t="s">
        <v>75</v>
      </c>
      <c r="J37" s="2" t="s">
        <v>76</v>
      </c>
      <c r="K37" s="2" t="s">
        <v>77</v>
      </c>
      <c r="L37" s="2" t="s">
        <v>153</v>
      </c>
      <c r="M37" s="2" t="s">
        <v>153</v>
      </c>
      <c r="N37" s="2" t="s">
        <v>200</v>
      </c>
      <c r="O37" s="2" t="s">
        <v>96</v>
      </c>
      <c r="P37" s="2" t="str">
        <f>"2170527873                    "</f>
        <v xml:space="preserve">2170527873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3.03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1</v>
      </c>
      <c r="BJ37" s="2">
        <v>0.2</v>
      </c>
      <c r="BK37" s="2">
        <v>1</v>
      </c>
      <c r="BL37" s="2">
        <v>40.47</v>
      </c>
      <c r="BM37" s="2">
        <v>5.67</v>
      </c>
      <c r="BN37" s="2">
        <v>46.14</v>
      </c>
      <c r="BO37" s="2">
        <v>46.14</v>
      </c>
      <c r="BP37" s="2"/>
      <c r="BQ37" s="2" t="s">
        <v>201</v>
      </c>
      <c r="BR37" s="2" t="s">
        <v>83</v>
      </c>
      <c r="BS37" s="3">
        <v>42647</v>
      </c>
      <c r="BT37" s="4">
        <v>0.56736111111111109</v>
      </c>
      <c r="BU37" s="2" t="s">
        <v>202</v>
      </c>
      <c r="BV37" s="2" t="s">
        <v>85</v>
      </c>
      <c r="BW37" s="2"/>
      <c r="BX37" s="2"/>
      <c r="BY37" s="2">
        <v>1200</v>
      </c>
      <c r="BZ37" s="2" t="s">
        <v>27</v>
      </c>
      <c r="CA37" s="2"/>
      <c r="CB37" s="2"/>
      <c r="CC37" s="2" t="s">
        <v>153</v>
      </c>
      <c r="CD37" s="2">
        <v>7646</v>
      </c>
      <c r="CE37" s="2" t="s">
        <v>108</v>
      </c>
      <c r="CF37" s="5">
        <v>42648</v>
      </c>
      <c r="CG37" s="2"/>
      <c r="CH37" s="2"/>
      <c r="CI37" s="2">
        <v>1</v>
      </c>
      <c r="CJ37" s="2">
        <v>1</v>
      </c>
      <c r="CK37" s="2">
        <v>21</v>
      </c>
      <c r="CL37" s="2" t="s">
        <v>88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"FES1162503990"</f>
        <v>FES1162503990</v>
      </c>
      <c r="F38" s="3">
        <v>42646</v>
      </c>
      <c r="G38" s="2">
        <v>201704</v>
      </c>
      <c r="H38" s="2" t="s">
        <v>74</v>
      </c>
      <c r="I38" s="2" t="s">
        <v>75</v>
      </c>
      <c r="J38" s="2" t="s">
        <v>76</v>
      </c>
      <c r="K38" s="2" t="s">
        <v>77</v>
      </c>
      <c r="L38" s="2" t="s">
        <v>137</v>
      </c>
      <c r="M38" s="2" t="s">
        <v>138</v>
      </c>
      <c r="N38" s="2" t="s">
        <v>203</v>
      </c>
      <c r="O38" s="2" t="s">
        <v>96</v>
      </c>
      <c r="P38" s="2" t="str">
        <f>"2170527773                    "</f>
        <v xml:space="preserve">2170527773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3.79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2.2000000000000002</v>
      </c>
      <c r="BJ38" s="2">
        <v>1.7</v>
      </c>
      <c r="BK38" s="2">
        <v>2.5</v>
      </c>
      <c r="BL38" s="2">
        <v>50.59</v>
      </c>
      <c r="BM38" s="2">
        <v>7.08</v>
      </c>
      <c r="BN38" s="2">
        <v>57.67</v>
      </c>
      <c r="BO38" s="2">
        <v>57.67</v>
      </c>
      <c r="BP38" s="2"/>
      <c r="BQ38" s="2" t="s">
        <v>168</v>
      </c>
      <c r="BR38" s="2" t="s">
        <v>83</v>
      </c>
      <c r="BS38" s="3">
        <v>42647</v>
      </c>
      <c r="BT38" s="4">
        <v>0.4055555555555555</v>
      </c>
      <c r="BU38" s="2" t="s">
        <v>204</v>
      </c>
      <c r="BV38" s="2"/>
      <c r="BW38" s="2"/>
      <c r="BX38" s="2"/>
      <c r="BY38" s="2">
        <v>8500.7999999999993</v>
      </c>
      <c r="BZ38" s="2" t="s">
        <v>27</v>
      </c>
      <c r="CA38" s="2" t="s">
        <v>205</v>
      </c>
      <c r="CB38" s="2"/>
      <c r="CC38" s="2" t="s">
        <v>138</v>
      </c>
      <c r="CD38" s="2">
        <v>3201</v>
      </c>
      <c r="CE38" s="2" t="s">
        <v>86</v>
      </c>
      <c r="CF38" s="5">
        <v>42647</v>
      </c>
      <c r="CG38" s="2"/>
      <c r="CH38" s="2"/>
      <c r="CI38" s="2">
        <v>0</v>
      </c>
      <c r="CJ38" s="2">
        <v>0</v>
      </c>
      <c r="CK38" s="2">
        <v>21</v>
      </c>
      <c r="CL38" s="2" t="s">
        <v>88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"FES1162504101"</f>
        <v>FES1162504101</v>
      </c>
      <c r="F39" s="3">
        <v>42646</v>
      </c>
      <c r="G39" s="2">
        <v>201704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137</v>
      </c>
      <c r="M39" s="2" t="s">
        <v>138</v>
      </c>
      <c r="N39" s="2" t="s">
        <v>167</v>
      </c>
      <c r="O39" s="2" t="s">
        <v>96</v>
      </c>
      <c r="P39" s="2" t="str">
        <f>"2170527887                    "</f>
        <v xml:space="preserve">2170527887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3.03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0.2</v>
      </c>
      <c r="BK39" s="2">
        <v>1</v>
      </c>
      <c r="BL39" s="2">
        <v>40.47</v>
      </c>
      <c r="BM39" s="2">
        <v>5.67</v>
      </c>
      <c r="BN39" s="2">
        <v>46.14</v>
      </c>
      <c r="BO39" s="2">
        <v>46.14</v>
      </c>
      <c r="BP39" s="2"/>
      <c r="BQ39" s="2" t="s">
        <v>168</v>
      </c>
      <c r="BR39" s="2" t="s">
        <v>83</v>
      </c>
      <c r="BS39" s="3">
        <v>42647</v>
      </c>
      <c r="BT39" s="4">
        <v>0.37986111111111115</v>
      </c>
      <c r="BU39" s="2" t="s">
        <v>206</v>
      </c>
      <c r="BV39" s="2" t="s">
        <v>85</v>
      </c>
      <c r="BW39" s="2"/>
      <c r="BX39" s="2"/>
      <c r="BY39" s="2">
        <v>1200</v>
      </c>
      <c r="BZ39" s="2" t="s">
        <v>27</v>
      </c>
      <c r="CA39" s="2" t="s">
        <v>142</v>
      </c>
      <c r="CB39" s="2"/>
      <c r="CC39" s="2" t="s">
        <v>138</v>
      </c>
      <c r="CD39" s="2">
        <v>3201</v>
      </c>
      <c r="CE39" s="2" t="s">
        <v>108</v>
      </c>
      <c r="CF39" s="5">
        <v>42647</v>
      </c>
      <c r="CG39" s="2"/>
      <c r="CH39" s="2"/>
      <c r="CI39" s="2">
        <v>1</v>
      </c>
      <c r="CJ39" s="2">
        <v>1</v>
      </c>
      <c r="CK39" s="2">
        <v>21</v>
      </c>
      <c r="CL39" s="2" t="s">
        <v>88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"FES1162503997"</f>
        <v>FES1162503997</v>
      </c>
      <c r="F40" s="3">
        <v>42646</v>
      </c>
      <c r="G40" s="2">
        <v>201704</v>
      </c>
      <c r="H40" s="2" t="s">
        <v>74</v>
      </c>
      <c r="I40" s="2" t="s">
        <v>75</v>
      </c>
      <c r="J40" s="2" t="s">
        <v>76</v>
      </c>
      <c r="K40" s="2" t="s">
        <v>77</v>
      </c>
      <c r="L40" s="2" t="s">
        <v>207</v>
      </c>
      <c r="M40" s="2" t="s">
        <v>208</v>
      </c>
      <c r="N40" s="2" t="s">
        <v>209</v>
      </c>
      <c r="O40" s="2" t="s">
        <v>96</v>
      </c>
      <c r="P40" s="2" t="str">
        <f>"2170527789                    "</f>
        <v xml:space="preserve">2170527789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3.03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1</v>
      </c>
      <c r="BJ40" s="2">
        <v>0.2</v>
      </c>
      <c r="BK40" s="2">
        <v>1</v>
      </c>
      <c r="BL40" s="2">
        <v>40.47</v>
      </c>
      <c r="BM40" s="2">
        <v>5.67</v>
      </c>
      <c r="BN40" s="2">
        <v>46.14</v>
      </c>
      <c r="BO40" s="2">
        <v>46.14</v>
      </c>
      <c r="BP40" s="2"/>
      <c r="BQ40" s="2" t="s">
        <v>82</v>
      </c>
      <c r="BR40" s="2" t="s">
        <v>83</v>
      </c>
      <c r="BS40" s="3">
        <v>42646</v>
      </c>
      <c r="BT40" s="4">
        <v>0.4375</v>
      </c>
      <c r="BU40" s="2" t="s">
        <v>210</v>
      </c>
      <c r="BV40" s="2" t="s">
        <v>85</v>
      </c>
      <c r="BW40" s="2"/>
      <c r="BX40" s="2"/>
      <c r="BY40" s="2">
        <v>1200</v>
      </c>
      <c r="BZ40" s="2" t="s">
        <v>27</v>
      </c>
      <c r="CA40" s="2"/>
      <c r="CB40" s="2"/>
      <c r="CC40" s="2" t="s">
        <v>208</v>
      </c>
      <c r="CD40" s="2">
        <v>4133</v>
      </c>
      <c r="CE40" s="2" t="s">
        <v>108</v>
      </c>
      <c r="CF40" s="5">
        <v>42648</v>
      </c>
      <c r="CG40" s="2"/>
      <c r="CH40" s="2"/>
      <c r="CI40" s="2">
        <v>1</v>
      </c>
      <c r="CJ40" s="2">
        <v>0</v>
      </c>
      <c r="CK40" s="2">
        <v>21</v>
      </c>
      <c r="CL40" s="2" t="s">
        <v>88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"FES1162504102"</f>
        <v>FES1162504102</v>
      </c>
      <c r="F41" s="3">
        <v>42646</v>
      </c>
      <c r="G41" s="2">
        <v>201704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98</v>
      </c>
      <c r="M41" s="2" t="s">
        <v>99</v>
      </c>
      <c r="N41" s="2" t="s">
        <v>133</v>
      </c>
      <c r="O41" s="2" t="s">
        <v>96</v>
      </c>
      <c r="P41" s="2" t="str">
        <f>"2170527888                    "</f>
        <v xml:space="preserve">2170527888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3.03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1</v>
      </c>
      <c r="BJ41" s="2">
        <v>0.9</v>
      </c>
      <c r="BK41" s="2">
        <v>1</v>
      </c>
      <c r="BL41" s="2">
        <v>40.47</v>
      </c>
      <c r="BM41" s="2">
        <v>5.67</v>
      </c>
      <c r="BN41" s="2">
        <v>46.14</v>
      </c>
      <c r="BO41" s="2">
        <v>46.14</v>
      </c>
      <c r="BP41" s="2"/>
      <c r="BQ41" s="2" t="s">
        <v>134</v>
      </c>
      <c r="BR41" s="2" t="s">
        <v>83</v>
      </c>
      <c r="BS41" s="3">
        <v>42647</v>
      </c>
      <c r="BT41" s="4">
        <v>0.3263888888888889</v>
      </c>
      <c r="BU41" s="2" t="s">
        <v>135</v>
      </c>
      <c r="BV41" s="2" t="s">
        <v>85</v>
      </c>
      <c r="BW41" s="2"/>
      <c r="BX41" s="2"/>
      <c r="BY41" s="2">
        <v>4680.59</v>
      </c>
      <c r="BZ41" s="2" t="s">
        <v>27</v>
      </c>
      <c r="CA41" s="2" t="s">
        <v>136</v>
      </c>
      <c r="CB41" s="2"/>
      <c r="CC41" s="2" t="s">
        <v>99</v>
      </c>
      <c r="CD41" s="2">
        <v>6001</v>
      </c>
      <c r="CE41" s="2" t="s">
        <v>108</v>
      </c>
      <c r="CF41" s="5">
        <v>42647</v>
      </c>
      <c r="CG41" s="2"/>
      <c r="CH41" s="2"/>
      <c r="CI41" s="2">
        <v>1</v>
      </c>
      <c r="CJ41" s="2">
        <v>1</v>
      </c>
      <c r="CK41" s="2">
        <v>21</v>
      </c>
      <c r="CL41" s="2" t="s">
        <v>88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"FES1162503919"</f>
        <v>FES1162503919</v>
      </c>
      <c r="F42" s="3">
        <v>42646</v>
      </c>
      <c r="G42" s="2">
        <v>201704</v>
      </c>
      <c r="H42" s="2" t="s">
        <v>74</v>
      </c>
      <c r="I42" s="2" t="s">
        <v>75</v>
      </c>
      <c r="J42" s="2" t="s">
        <v>76</v>
      </c>
      <c r="K42" s="2" t="s">
        <v>77</v>
      </c>
      <c r="L42" s="2" t="s">
        <v>148</v>
      </c>
      <c r="M42" s="2" t="s">
        <v>149</v>
      </c>
      <c r="N42" s="2" t="s">
        <v>211</v>
      </c>
      <c r="O42" s="2" t="s">
        <v>96</v>
      </c>
      <c r="P42" s="2" t="str">
        <f>"2170527686                    "</f>
        <v xml:space="preserve">2170527686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3.03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1.6</v>
      </c>
      <c r="BJ42" s="2">
        <v>1</v>
      </c>
      <c r="BK42" s="2">
        <v>2</v>
      </c>
      <c r="BL42" s="2">
        <v>40.47</v>
      </c>
      <c r="BM42" s="2">
        <v>5.67</v>
      </c>
      <c r="BN42" s="2">
        <v>46.14</v>
      </c>
      <c r="BO42" s="2">
        <v>46.14</v>
      </c>
      <c r="BP42" s="2"/>
      <c r="BQ42" s="2" t="s">
        <v>91</v>
      </c>
      <c r="BR42" s="2" t="s">
        <v>83</v>
      </c>
      <c r="BS42" s="3">
        <v>42647</v>
      </c>
      <c r="BT42" s="4">
        <v>0.3611111111111111</v>
      </c>
      <c r="BU42" s="2" t="s">
        <v>212</v>
      </c>
      <c r="BV42" s="2" t="s">
        <v>85</v>
      </c>
      <c r="BW42" s="2"/>
      <c r="BX42" s="2"/>
      <c r="BY42" s="2">
        <v>5241.6000000000004</v>
      </c>
      <c r="BZ42" s="2" t="s">
        <v>27</v>
      </c>
      <c r="CA42" s="2"/>
      <c r="CB42" s="2"/>
      <c r="CC42" s="2" t="s">
        <v>149</v>
      </c>
      <c r="CD42" s="2">
        <v>4052</v>
      </c>
      <c r="CE42" s="2" t="s">
        <v>86</v>
      </c>
      <c r="CF42" s="5">
        <v>42648</v>
      </c>
      <c r="CG42" s="2"/>
      <c r="CH42" s="2"/>
      <c r="CI42" s="2">
        <v>1</v>
      </c>
      <c r="CJ42" s="2">
        <v>1</v>
      </c>
      <c r="CK42" s="2">
        <v>21</v>
      </c>
      <c r="CL42" s="2" t="s">
        <v>88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"FES1162504094"</f>
        <v>FES1162504094</v>
      </c>
      <c r="F43" s="3">
        <v>42646</v>
      </c>
      <c r="G43" s="2">
        <v>201704</v>
      </c>
      <c r="H43" s="2" t="s">
        <v>74</v>
      </c>
      <c r="I43" s="2" t="s">
        <v>75</v>
      </c>
      <c r="J43" s="2" t="s">
        <v>76</v>
      </c>
      <c r="K43" s="2" t="s">
        <v>77</v>
      </c>
      <c r="L43" s="2" t="s">
        <v>98</v>
      </c>
      <c r="M43" s="2" t="s">
        <v>99</v>
      </c>
      <c r="N43" s="2" t="s">
        <v>133</v>
      </c>
      <c r="O43" s="2" t="s">
        <v>96</v>
      </c>
      <c r="P43" s="2" t="str">
        <f>"2170527876                    "</f>
        <v xml:space="preserve">2170527876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12.13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7.6</v>
      </c>
      <c r="BJ43" s="2">
        <v>3.9</v>
      </c>
      <c r="BK43" s="2">
        <v>8</v>
      </c>
      <c r="BL43" s="2">
        <v>161.88999999999999</v>
      </c>
      <c r="BM43" s="2">
        <v>22.66</v>
      </c>
      <c r="BN43" s="2">
        <v>184.55</v>
      </c>
      <c r="BO43" s="2">
        <v>184.55</v>
      </c>
      <c r="BP43" s="2"/>
      <c r="BQ43" s="2" t="s">
        <v>134</v>
      </c>
      <c r="BR43" s="2" t="s">
        <v>83</v>
      </c>
      <c r="BS43" s="3">
        <v>42647</v>
      </c>
      <c r="BT43" s="4">
        <v>0.3263888888888889</v>
      </c>
      <c r="BU43" s="2" t="s">
        <v>135</v>
      </c>
      <c r="BV43" s="2" t="s">
        <v>85</v>
      </c>
      <c r="BW43" s="2"/>
      <c r="BX43" s="2"/>
      <c r="BY43" s="2">
        <v>19462.66</v>
      </c>
      <c r="BZ43" s="2" t="s">
        <v>27</v>
      </c>
      <c r="CA43" s="2" t="s">
        <v>136</v>
      </c>
      <c r="CB43" s="2"/>
      <c r="CC43" s="2" t="s">
        <v>99</v>
      </c>
      <c r="CD43" s="2">
        <v>6001</v>
      </c>
      <c r="CE43" s="2" t="s">
        <v>86</v>
      </c>
      <c r="CF43" s="5">
        <v>42647</v>
      </c>
      <c r="CG43" s="2"/>
      <c r="CH43" s="2"/>
      <c r="CI43" s="2">
        <v>1</v>
      </c>
      <c r="CJ43" s="2">
        <v>1</v>
      </c>
      <c r="CK43" s="2">
        <v>21</v>
      </c>
      <c r="CL43" s="2" t="s">
        <v>88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"FES1162503978"</f>
        <v>FES1162503978</v>
      </c>
      <c r="F44" s="3">
        <v>42646</v>
      </c>
      <c r="G44" s="2">
        <v>201704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98</v>
      </c>
      <c r="M44" s="2" t="s">
        <v>99</v>
      </c>
      <c r="N44" s="2" t="s">
        <v>213</v>
      </c>
      <c r="O44" s="2" t="s">
        <v>96</v>
      </c>
      <c r="P44" s="2" t="str">
        <f>"2170527766                    "</f>
        <v xml:space="preserve">2170527766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3.03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1</v>
      </c>
      <c r="BJ44" s="2">
        <v>0.2</v>
      </c>
      <c r="BK44" s="2">
        <v>1</v>
      </c>
      <c r="BL44" s="2">
        <v>40.47</v>
      </c>
      <c r="BM44" s="2">
        <v>5.67</v>
      </c>
      <c r="BN44" s="2">
        <v>46.14</v>
      </c>
      <c r="BO44" s="2">
        <v>46.14</v>
      </c>
      <c r="BP44" s="2"/>
      <c r="BQ44" s="2" t="s">
        <v>214</v>
      </c>
      <c r="BR44" s="2" t="s">
        <v>83</v>
      </c>
      <c r="BS44" s="3">
        <v>42647</v>
      </c>
      <c r="BT44" s="4">
        <v>0.39305555555555555</v>
      </c>
      <c r="BU44" s="2" t="s">
        <v>215</v>
      </c>
      <c r="BV44" s="2" t="s">
        <v>85</v>
      </c>
      <c r="BW44" s="2"/>
      <c r="BX44" s="2"/>
      <c r="BY44" s="2">
        <v>1200</v>
      </c>
      <c r="BZ44" s="2" t="s">
        <v>27</v>
      </c>
      <c r="CA44" s="2"/>
      <c r="CB44" s="2"/>
      <c r="CC44" s="2" t="s">
        <v>99</v>
      </c>
      <c r="CD44" s="2">
        <v>6045</v>
      </c>
      <c r="CE44" s="2" t="s">
        <v>108</v>
      </c>
      <c r="CF44" s="5">
        <v>42648</v>
      </c>
      <c r="CG44" s="2"/>
      <c r="CH44" s="2"/>
      <c r="CI44" s="2">
        <v>1</v>
      </c>
      <c r="CJ44" s="2">
        <v>1</v>
      </c>
      <c r="CK44" s="2">
        <v>21</v>
      </c>
      <c r="CL44" s="2" t="s">
        <v>88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"FES1162504009"</f>
        <v>FES1162504009</v>
      </c>
      <c r="F45" s="3">
        <v>42646</v>
      </c>
      <c r="G45" s="2">
        <v>201704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143</v>
      </c>
      <c r="M45" s="2" t="s">
        <v>144</v>
      </c>
      <c r="N45" s="2" t="s">
        <v>216</v>
      </c>
      <c r="O45" s="2" t="s">
        <v>96</v>
      </c>
      <c r="P45" s="2" t="str">
        <f>"2170526220                    "</f>
        <v xml:space="preserve">2170526220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7.58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5</v>
      </c>
      <c r="BJ45" s="2">
        <v>0.2</v>
      </c>
      <c r="BK45" s="2">
        <v>5</v>
      </c>
      <c r="BL45" s="2">
        <v>101.18</v>
      </c>
      <c r="BM45" s="2">
        <v>14.17</v>
      </c>
      <c r="BN45" s="2">
        <v>115.35</v>
      </c>
      <c r="BO45" s="2">
        <v>115.35</v>
      </c>
      <c r="BP45" s="2"/>
      <c r="BQ45" s="2" t="s">
        <v>91</v>
      </c>
      <c r="BR45" s="2" t="s">
        <v>83</v>
      </c>
      <c r="BS45" s="3">
        <v>42647</v>
      </c>
      <c r="BT45" s="4">
        <v>0.4375</v>
      </c>
      <c r="BU45" s="2" t="s">
        <v>217</v>
      </c>
      <c r="BV45" s="2" t="s">
        <v>85</v>
      </c>
      <c r="BW45" s="2"/>
      <c r="BX45" s="2"/>
      <c r="BY45" s="2">
        <v>1200</v>
      </c>
      <c r="BZ45" s="2" t="s">
        <v>27</v>
      </c>
      <c r="CA45" s="2"/>
      <c r="CB45" s="2"/>
      <c r="CC45" s="2" t="s">
        <v>144</v>
      </c>
      <c r="CD45" s="2">
        <v>5201</v>
      </c>
      <c r="CE45" s="2" t="s">
        <v>108</v>
      </c>
      <c r="CF45" s="5">
        <v>42649</v>
      </c>
      <c r="CG45" s="2"/>
      <c r="CH45" s="2"/>
      <c r="CI45" s="2">
        <v>1</v>
      </c>
      <c r="CJ45" s="2">
        <v>1</v>
      </c>
      <c r="CK45" s="2">
        <v>21</v>
      </c>
      <c r="CL45" s="2" t="s">
        <v>88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"FES1162503995"</f>
        <v>FES1162503995</v>
      </c>
      <c r="F46" s="3">
        <v>42646</v>
      </c>
      <c r="G46" s="2">
        <v>201704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218</v>
      </c>
      <c r="M46" s="2" t="s">
        <v>219</v>
      </c>
      <c r="N46" s="2" t="s">
        <v>220</v>
      </c>
      <c r="O46" s="2" t="s">
        <v>96</v>
      </c>
      <c r="P46" s="2" t="str">
        <f>"2170527359                    "</f>
        <v xml:space="preserve">2170527359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3.03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1</v>
      </c>
      <c r="BJ46" s="2">
        <v>0.2</v>
      </c>
      <c r="BK46" s="2">
        <v>1</v>
      </c>
      <c r="BL46" s="2">
        <v>40.47</v>
      </c>
      <c r="BM46" s="2">
        <v>5.67</v>
      </c>
      <c r="BN46" s="2">
        <v>46.14</v>
      </c>
      <c r="BO46" s="2">
        <v>46.14</v>
      </c>
      <c r="BP46" s="2"/>
      <c r="BQ46" s="2" t="s">
        <v>91</v>
      </c>
      <c r="BR46" s="2" t="s">
        <v>83</v>
      </c>
      <c r="BS46" s="3">
        <v>42647</v>
      </c>
      <c r="BT46" s="4">
        <v>0.71736111111111101</v>
      </c>
      <c r="BU46" s="2" t="s">
        <v>221</v>
      </c>
      <c r="BV46" s="2" t="s">
        <v>88</v>
      </c>
      <c r="BW46" s="2" t="s">
        <v>222</v>
      </c>
      <c r="BX46" s="2" t="s">
        <v>223</v>
      </c>
      <c r="BY46" s="2">
        <v>1200</v>
      </c>
      <c r="BZ46" s="2" t="s">
        <v>27</v>
      </c>
      <c r="CA46" s="2"/>
      <c r="CB46" s="2"/>
      <c r="CC46" s="2" t="s">
        <v>219</v>
      </c>
      <c r="CD46" s="2">
        <v>7600</v>
      </c>
      <c r="CE46" s="2" t="s">
        <v>108</v>
      </c>
      <c r="CF46" s="5">
        <v>42648</v>
      </c>
      <c r="CG46" s="2"/>
      <c r="CH46" s="2"/>
      <c r="CI46" s="2">
        <v>1</v>
      </c>
      <c r="CJ46" s="2">
        <v>1</v>
      </c>
      <c r="CK46" s="2">
        <v>21</v>
      </c>
      <c r="CL46" s="2" t="s">
        <v>88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"FES1162504097"</f>
        <v>FES1162504097</v>
      </c>
      <c r="F47" s="3">
        <v>42646</v>
      </c>
      <c r="G47" s="2">
        <v>201704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98</v>
      </c>
      <c r="M47" s="2" t="s">
        <v>99</v>
      </c>
      <c r="N47" s="2" t="s">
        <v>224</v>
      </c>
      <c r="O47" s="2" t="s">
        <v>96</v>
      </c>
      <c r="P47" s="2" t="str">
        <f>"2170527882                    "</f>
        <v xml:space="preserve">2170527882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3.03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</v>
      </c>
      <c r="BJ47" s="2">
        <v>0.2</v>
      </c>
      <c r="BK47" s="2">
        <v>1</v>
      </c>
      <c r="BL47" s="2">
        <v>40.47</v>
      </c>
      <c r="BM47" s="2">
        <v>5.67</v>
      </c>
      <c r="BN47" s="2">
        <v>46.14</v>
      </c>
      <c r="BO47" s="2">
        <v>46.14</v>
      </c>
      <c r="BP47" s="2"/>
      <c r="BQ47" s="2" t="s">
        <v>225</v>
      </c>
      <c r="BR47" s="2" t="s">
        <v>83</v>
      </c>
      <c r="BS47" s="3">
        <v>42647</v>
      </c>
      <c r="BT47" s="4">
        <v>0.31944444444444448</v>
      </c>
      <c r="BU47" s="2" t="s">
        <v>226</v>
      </c>
      <c r="BV47" s="2" t="s">
        <v>85</v>
      </c>
      <c r="BW47" s="2"/>
      <c r="BX47" s="2"/>
      <c r="BY47" s="2">
        <v>1200</v>
      </c>
      <c r="BZ47" s="2" t="s">
        <v>27</v>
      </c>
      <c r="CA47" s="2" t="s">
        <v>136</v>
      </c>
      <c r="CB47" s="2"/>
      <c r="CC47" s="2" t="s">
        <v>99</v>
      </c>
      <c r="CD47" s="2">
        <v>6001</v>
      </c>
      <c r="CE47" s="2" t="s">
        <v>108</v>
      </c>
      <c r="CF47" s="5">
        <v>42647</v>
      </c>
      <c r="CG47" s="2"/>
      <c r="CH47" s="2"/>
      <c r="CI47" s="2">
        <v>1</v>
      </c>
      <c r="CJ47" s="2">
        <v>1</v>
      </c>
      <c r="CK47" s="2">
        <v>21</v>
      </c>
      <c r="CL47" s="2" t="s">
        <v>88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"FES1162504004"</f>
        <v>FES1162504004</v>
      </c>
      <c r="F48" s="3">
        <v>42646</v>
      </c>
      <c r="G48" s="2">
        <v>201704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160</v>
      </c>
      <c r="M48" s="2" t="s">
        <v>161</v>
      </c>
      <c r="N48" s="2" t="s">
        <v>227</v>
      </c>
      <c r="O48" s="2" t="s">
        <v>96</v>
      </c>
      <c r="P48" s="2" t="str">
        <f>"2170527798                    "</f>
        <v xml:space="preserve">2170527798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3.03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1</v>
      </c>
      <c r="BJ48" s="2">
        <v>0.2</v>
      </c>
      <c r="BK48" s="2">
        <v>1</v>
      </c>
      <c r="BL48" s="2">
        <v>40.47</v>
      </c>
      <c r="BM48" s="2">
        <v>5.67</v>
      </c>
      <c r="BN48" s="2">
        <v>46.14</v>
      </c>
      <c r="BO48" s="2">
        <v>46.14</v>
      </c>
      <c r="BP48" s="2"/>
      <c r="BQ48" s="2" t="s">
        <v>91</v>
      </c>
      <c r="BR48" s="2" t="s">
        <v>83</v>
      </c>
      <c r="BS48" s="3">
        <v>42647</v>
      </c>
      <c r="BT48" s="4">
        <v>0.3520833333333333</v>
      </c>
      <c r="BU48" s="2" t="s">
        <v>228</v>
      </c>
      <c r="BV48" s="2" t="s">
        <v>85</v>
      </c>
      <c r="BW48" s="2"/>
      <c r="BX48" s="2"/>
      <c r="BY48" s="2">
        <v>1200</v>
      </c>
      <c r="BZ48" s="2" t="s">
        <v>27</v>
      </c>
      <c r="CA48" s="2" t="s">
        <v>229</v>
      </c>
      <c r="CB48" s="2"/>
      <c r="CC48" s="2" t="s">
        <v>161</v>
      </c>
      <c r="CD48" s="2">
        <v>7460</v>
      </c>
      <c r="CE48" s="2" t="s">
        <v>108</v>
      </c>
      <c r="CF48" s="5">
        <v>42647</v>
      </c>
      <c r="CG48" s="2"/>
      <c r="CH48" s="2"/>
      <c r="CI48" s="2">
        <v>1</v>
      </c>
      <c r="CJ48" s="2">
        <v>1</v>
      </c>
      <c r="CK48" s="2">
        <v>21</v>
      </c>
      <c r="CL48" s="2" t="s">
        <v>88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"FES1162504122"</f>
        <v>FES1162504122</v>
      </c>
      <c r="F49" s="3">
        <v>42646</v>
      </c>
      <c r="G49" s="2">
        <v>201704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98</v>
      </c>
      <c r="M49" s="2" t="s">
        <v>99</v>
      </c>
      <c r="N49" s="2" t="s">
        <v>104</v>
      </c>
      <c r="O49" s="2" t="s">
        <v>96</v>
      </c>
      <c r="P49" s="2" t="str">
        <f>"2170527677                    "</f>
        <v xml:space="preserve">2170527677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3.03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1.5</v>
      </c>
      <c r="BJ49" s="2">
        <v>0.2</v>
      </c>
      <c r="BK49" s="2">
        <v>1.5</v>
      </c>
      <c r="BL49" s="2">
        <v>40.47</v>
      </c>
      <c r="BM49" s="2">
        <v>5.67</v>
      </c>
      <c r="BN49" s="2">
        <v>46.14</v>
      </c>
      <c r="BO49" s="2">
        <v>46.14</v>
      </c>
      <c r="BP49" s="2"/>
      <c r="BQ49" s="2" t="s">
        <v>105</v>
      </c>
      <c r="BR49" s="2" t="s">
        <v>83</v>
      </c>
      <c r="BS49" s="3">
        <v>42647</v>
      </c>
      <c r="BT49" s="4">
        <v>0.39583333333333331</v>
      </c>
      <c r="BU49" s="2" t="s">
        <v>106</v>
      </c>
      <c r="BV49" s="2" t="s">
        <v>85</v>
      </c>
      <c r="BW49" s="2"/>
      <c r="BX49" s="2"/>
      <c r="BY49" s="2">
        <v>1200</v>
      </c>
      <c r="BZ49" s="2" t="s">
        <v>27</v>
      </c>
      <c r="CA49" s="2" t="s">
        <v>107</v>
      </c>
      <c r="CB49" s="2"/>
      <c r="CC49" s="2" t="s">
        <v>99</v>
      </c>
      <c r="CD49" s="2">
        <v>6001</v>
      </c>
      <c r="CE49" s="2" t="s">
        <v>108</v>
      </c>
      <c r="CF49" s="5">
        <v>42647</v>
      </c>
      <c r="CG49" s="2"/>
      <c r="CH49" s="2"/>
      <c r="CI49" s="2">
        <v>1</v>
      </c>
      <c r="CJ49" s="2">
        <v>1</v>
      </c>
      <c r="CK49" s="2">
        <v>21</v>
      </c>
      <c r="CL49" s="2" t="s">
        <v>88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"FES1162503988"</f>
        <v>FES1162503988</v>
      </c>
      <c r="F50" s="3">
        <v>42646</v>
      </c>
      <c r="G50" s="2">
        <v>201704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207</v>
      </c>
      <c r="M50" s="2" t="s">
        <v>208</v>
      </c>
      <c r="N50" s="2" t="s">
        <v>209</v>
      </c>
      <c r="O50" s="2" t="s">
        <v>96</v>
      </c>
      <c r="P50" s="2" t="str">
        <f>"2170527762                    "</f>
        <v xml:space="preserve">2170527762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3.03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1</v>
      </c>
      <c r="BJ50" s="2">
        <v>0.2</v>
      </c>
      <c r="BK50" s="2">
        <v>1</v>
      </c>
      <c r="BL50" s="2">
        <v>40.47</v>
      </c>
      <c r="BM50" s="2">
        <v>5.67</v>
      </c>
      <c r="BN50" s="2">
        <v>46.14</v>
      </c>
      <c r="BO50" s="2">
        <v>46.14</v>
      </c>
      <c r="BP50" s="2"/>
      <c r="BQ50" s="2" t="s">
        <v>82</v>
      </c>
      <c r="BR50" s="2" t="s">
        <v>83</v>
      </c>
      <c r="BS50" s="3">
        <v>42646</v>
      </c>
      <c r="BT50" s="4">
        <v>0.4375</v>
      </c>
      <c r="BU50" s="2" t="s">
        <v>210</v>
      </c>
      <c r="BV50" s="2" t="s">
        <v>85</v>
      </c>
      <c r="BW50" s="2"/>
      <c r="BX50" s="2"/>
      <c r="BY50" s="2">
        <v>1200</v>
      </c>
      <c r="BZ50" s="2" t="s">
        <v>27</v>
      </c>
      <c r="CA50" s="2"/>
      <c r="CB50" s="2"/>
      <c r="CC50" s="2" t="s">
        <v>208</v>
      </c>
      <c r="CD50" s="2">
        <v>4133</v>
      </c>
      <c r="CE50" s="2" t="s">
        <v>108</v>
      </c>
      <c r="CF50" s="5">
        <v>42648</v>
      </c>
      <c r="CG50" s="2"/>
      <c r="CH50" s="2"/>
      <c r="CI50" s="2">
        <v>1</v>
      </c>
      <c r="CJ50" s="2">
        <v>0</v>
      </c>
      <c r="CK50" s="2">
        <v>21</v>
      </c>
      <c r="CL50" s="2" t="s">
        <v>88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"009932186804"</f>
        <v>009932186804</v>
      </c>
      <c r="F51" s="3">
        <v>42646</v>
      </c>
      <c r="G51" s="2">
        <v>201704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148</v>
      </c>
      <c r="M51" s="2" t="s">
        <v>149</v>
      </c>
      <c r="N51" s="2" t="s">
        <v>230</v>
      </c>
      <c r="O51" s="2" t="s">
        <v>96</v>
      </c>
      <c r="P51" s="2" t="str">
        <f>"K MULLER                      "</f>
        <v xml:space="preserve">K MULLER  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3.03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1</v>
      </c>
      <c r="BJ51" s="2">
        <v>1.8</v>
      </c>
      <c r="BK51" s="2">
        <v>2</v>
      </c>
      <c r="BL51" s="2">
        <v>40.47</v>
      </c>
      <c r="BM51" s="2">
        <v>5.67</v>
      </c>
      <c r="BN51" s="2">
        <v>46.14</v>
      </c>
      <c r="BO51" s="2">
        <v>46.14</v>
      </c>
      <c r="BP51" s="2"/>
      <c r="BQ51" s="2" t="s">
        <v>231</v>
      </c>
      <c r="BR51" s="2" t="s">
        <v>83</v>
      </c>
      <c r="BS51" s="3">
        <v>42647</v>
      </c>
      <c r="BT51" s="4">
        <v>0.3125</v>
      </c>
      <c r="BU51" s="2" t="s">
        <v>232</v>
      </c>
      <c r="BV51" s="2"/>
      <c r="BW51" s="2"/>
      <c r="BX51" s="2"/>
      <c r="BY51" s="2">
        <v>9096.7800000000007</v>
      </c>
      <c r="BZ51" s="2" t="s">
        <v>27</v>
      </c>
      <c r="CA51" s="2"/>
      <c r="CB51" s="2"/>
      <c r="CC51" s="2" t="s">
        <v>149</v>
      </c>
      <c r="CD51" s="2">
        <v>4001</v>
      </c>
      <c r="CE51" s="2" t="s">
        <v>108</v>
      </c>
      <c r="CF51" s="5">
        <v>42647</v>
      </c>
      <c r="CG51" s="2"/>
      <c r="CH51" s="2"/>
      <c r="CI51" s="2">
        <v>0</v>
      </c>
      <c r="CJ51" s="2">
        <v>0</v>
      </c>
      <c r="CK51" s="2">
        <v>21</v>
      </c>
      <c r="CL51" s="2" t="s">
        <v>88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"FES1162503987"</f>
        <v>FES1162503987</v>
      </c>
      <c r="F52" s="3">
        <v>42646</v>
      </c>
      <c r="G52" s="2">
        <v>201704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148</v>
      </c>
      <c r="M52" s="2" t="s">
        <v>149</v>
      </c>
      <c r="N52" s="2" t="s">
        <v>233</v>
      </c>
      <c r="O52" s="2" t="s">
        <v>96</v>
      </c>
      <c r="P52" s="2" t="str">
        <f>"2170527715                    "</f>
        <v xml:space="preserve">2170527715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3.03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</v>
      </c>
      <c r="BJ52" s="2">
        <v>0.2</v>
      </c>
      <c r="BK52" s="2">
        <v>1</v>
      </c>
      <c r="BL52" s="2">
        <v>40.47</v>
      </c>
      <c r="BM52" s="2">
        <v>5.67</v>
      </c>
      <c r="BN52" s="2">
        <v>46.14</v>
      </c>
      <c r="BO52" s="2">
        <v>46.14</v>
      </c>
      <c r="BP52" s="2"/>
      <c r="BQ52" s="2" t="s">
        <v>234</v>
      </c>
      <c r="BR52" s="2" t="s">
        <v>83</v>
      </c>
      <c r="BS52" s="3">
        <v>42647</v>
      </c>
      <c r="BT52" s="4">
        <v>0.30555555555555552</v>
      </c>
      <c r="BU52" s="2" t="s">
        <v>235</v>
      </c>
      <c r="BV52" s="2"/>
      <c r="BW52" s="2"/>
      <c r="BX52" s="2"/>
      <c r="BY52" s="2">
        <v>1200</v>
      </c>
      <c r="BZ52" s="2" t="s">
        <v>27</v>
      </c>
      <c r="CA52" s="2"/>
      <c r="CB52" s="2"/>
      <c r="CC52" s="2" t="s">
        <v>149</v>
      </c>
      <c r="CD52" s="2">
        <v>4001</v>
      </c>
      <c r="CE52" s="2" t="s">
        <v>108</v>
      </c>
      <c r="CF52" s="5">
        <v>42648</v>
      </c>
      <c r="CG52" s="2"/>
      <c r="CH52" s="2"/>
      <c r="CI52" s="2">
        <v>0</v>
      </c>
      <c r="CJ52" s="2">
        <v>0</v>
      </c>
      <c r="CK52" s="2">
        <v>21</v>
      </c>
      <c r="CL52" s="2" t="s">
        <v>88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"FES1162503975"</f>
        <v>FES1162503975</v>
      </c>
      <c r="F53" s="3">
        <v>42646</v>
      </c>
      <c r="G53" s="2">
        <v>201704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160</v>
      </c>
      <c r="M53" s="2" t="s">
        <v>161</v>
      </c>
      <c r="N53" s="2" t="s">
        <v>236</v>
      </c>
      <c r="O53" s="2" t="s">
        <v>96</v>
      </c>
      <c r="P53" s="2" t="str">
        <f>"2170527760                    "</f>
        <v xml:space="preserve">2170527760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3.03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</v>
      </c>
      <c r="BJ53" s="2">
        <v>1.5</v>
      </c>
      <c r="BK53" s="2">
        <v>1.5</v>
      </c>
      <c r="BL53" s="2">
        <v>40.47</v>
      </c>
      <c r="BM53" s="2">
        <v>5.67</v>
      </c>
      <c r="BN53" s="2">
        <v>46.14</v>
      </c>
      <c r="BO53" s="2">
        <v>46.14</v>
      </c>
      <c r="BP53" s="2"/>
      <c r="BQ53" s="2" t="s">
        <v>237</v>
      </c>
      <c r="BR53" s="2" t="s">
        <v>83</v>
      </c>
      <c r="BS53" s="3">
        <v>42647</v>
      </c>
      <c r="BT53" s="4">
        <v>0.41666666666666669</v>
      </c>
      <c r="BU53" s="2" t="s">
        <v>238</v>
      </c>
      <c r="BV53" s="2" t="s">
        <v>85</v>
      </c>
      <c r="BW53" s="2"/>
      <c r="BX53" s="2"/>
      <c r="BY53" s="2">
        <v>7451.14</v>
      </c>
      <c r="BZ53" s="2" t="s">
        <v>27</v>
      </c>
      <c r="CA53" s="2"/>
      <c r="CB53" s="2"/>
      <c r="CC53" s="2" t="s">
        <v>161</v>
      </c>
      <c r="CD53" s="2">
        <v>7405</v>
      </c>
      <c r="CE53" s="2" t="s">
        <v>108</v>
      </c>
      <c r="CF53" s="5">
        <v>42648</v>
      </c>
      <c r="CG53" s="2"/>
      <c r="CH53" s="2"/>
      <c r="CI53" s="2">
        <v>1</v>
      </c>
      <c r="CJ53" s="2">
        <v>1</v>
      </c>
      <c r="CK53" s="2">
        <v>21</v>
      </c>
      <c r="CL53" s="2" t="s">
        <v>88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"FES1162503964"</f>
        <v>FES1162503964</v>
      </c>
      <c r="F54" s="3">
        <v>42646</v>
      </c>
      <c r="G54" s="2">
        <v>201704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98</v>
      </c>
      <c r="M54" s="2" t="s">
        <v>99</v>
      </c>
      <c r="N54" s="2" t="s">
        <v>239</v>
      </c>
      <c r="O54" s="2" t="s">
        <v>96</v>
      </c>
      <c r="P54" s="2" t="str">
        <f>"2170527743                    "</f>
        <v xml:space="preserve">2170527743             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3.03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1</v>
      </c>
      <c r="BJ54" s="2">
        <v>0.2</v>
      </c>
      <c r="BK54" s="2">
        <v>1</v>
      </c>
      <c r="BL54" s="2">
        <v>40.47</v>
      </c>
      <c r="BM54" s="2">
        <v>5.67</v>
      </c>
      <c r="BN54" s="2">
        <v>46.14</v>
      </c>
      <c r="BO54" s="2">
        <v>46.14</v>
      </c>
      <c r="BP54" s="2"/>
      <c r="BQ54" s="2" t="s">
        <v>240</v>
      </c>
      <c r="BR54" s="2" t="s">
        <v>83</v>
      </c>
      <c r="BS54" s="3">
        <v>42647</v>
      </c>
      <c r="BT54" s="4">
        <v>0.375</v>
      </c>
      <c r="BU54" s="2" t="s">
        <v>241</v>
      </c>
      <c r="BV54" s="2" t="s">
        <v>85</v>
      </c>
      <c r="BW54" s="2"/>
      <c r="BX54" s="2"/>
      <c r="BY54" s="2">
        <v>1200</v>
      </c>
      <c r="BZ54" s="2" t="s">
        <v>27</v>
      </c>
      <c r="CA54" s="2" t="s">
        <v>136</v>
      </c>
      <c r="CB54" s="2"/>
      <c r="CC54" s="2" t="s">
        <v>99</v>
      </c>
      <c r="CD54" s="2">
        <v>6001</v>
      </c>
      <c r="CE54" s="2" t="s">
        <v>108</v>
      </c>
      <c r="CF54" s="5">
        <v>42647</v>
      </c>
      <c r="CG54" s="2"/>
      <c r="CH54" s="2"/>
      <c r="CI54" s="2">
        <v>1</v>
      </c>
      <c r="CJ54" s="2">
        <v>1</v>
      </c>
      <c r="CK54" s="2">
        <v>21</v>
      </c>
      <c r="CL54" s="2" t="s">
        <v>88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"FES1162504152"</f>
        <v>FES1162504152</v>
      </c>
      <c r="F55" s="3">
        <v>42646</v>
      </c>
      <c r="G55" s="2">
        <v>201704</v>
      </c>
      <c r="H55" s="2" t="s">
        <v>74</v>
      </c>
      <c r="I55" s="2" t="s">
        <v>75</v>
      </c>
      <c r="J55" s="2" t="s">
        <v>76</v>
      </c>
      <c r="K55" s="2" t="s">
        <v>77</v>
      </c>
      <c r="L55" s="2" t="s">
        <v>148</v>
      </c>
      <c r="M55" s="2" t="s">
        <v>149</v>
      </c>
      <c r="N55" s="2" t="s">
        <v>242</v>
      </c>
      <c r="O55" s="2" t="s">
        <v>96</v>
      </c>
      <c r="P55" s="2" t="str">
        <f>"2170527941                    "</f>
        <v xml:space="preserve">2170527941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3.03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</v>
      </c>
      <c r="BJ55" s="2">
        <v>0.2</v>
      </c>
      <c r="BK55" s="2">
        <v>1</v>
      </c>
      <c r="BL55" s="2">
        <v>40.47</v>
      </c>
      <c r="BM55" s="2">
        <v>5.67</v>
      </c>
      <c r="BN55" s="2">
        <v>46.14</v>
      </c>
      <c r="BO55" s="2">
        <v>46.14</v>
      </c>
      <c r="BP55" s="2"/>
      <c r="BQ55" s="2" t="s">
        <v>91</v>
      </c>
      <c r="BR55" s="2" t="s">
        <v>83</v>
      </c>
      <c r="BS55" s="3">
        <v>42646</v>
      </c>
      <c r="BT55" s="4">
        <v>0.4375</v>
      </c>
      <c r="BU55" s="2" t="s">
        <v>243</v>
      </c>
      <c r="BV55" s="2"/>
      <c r="BW55" s="2"/>
      <c r="BX55" s="2"/>
      <c r="BY55" s="2">
        <v>1200</v>
      </c>
      <c r="BZ55" s="2" t="s">
        <v>27</v>
      </c>
      <c r="CA55" s="2"/>
      <c r="CB55" s="2"/>
      <c r="CC55" s="2" t="s">
        <v>149</v>
      </c>
      <c r="CD55" s="2">
        <v>4001</v>
      </c>
      <c r="CE55" s="2" t="s">
        <v>108</v>
      </c>
      <c r="CF55" s="5">
        <v>42648</v>
      </c>
      <c r="CG55" s="2"/>
      <c r="CH55" s="2"/>
      <c r="CI55" s="2">
        <v>0</v>
      </c>
      <c r="CJ55" s="2">
        <v>0</v>
      </c>
      <c r="CK55" s="2">
        <v>21</v>
      </c>
      <c r="CL55" s="2" t="s">
        <v>88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"FES1162504006"</f>
        <v>FES1162504006</v>
      </c>
      <c r="F56" s="3">
        <v>42646</v>
      </c>
      <c r="G56" s="2">
        <v>201704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98</v>
      </c>
      <c r="M56" s="2" t="s">
        <v>99</v>
      </c>
      <c r="N56" s="2" t="s">
        <v>224</v>
      </c>
      <c r="O56" s="2" t="s">
        <v>96</v>
      </c>
      <c r="P56" s="2" t="str">
        <f>"2170527801                    "</f>
        <v xml:space="preserve">2170527801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3.03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40.47</v>
      </c>
      <c r="BM56" s="2">
        <v>5.67</v>
      </c>
      <c r="BN56" s="2">
        <v>46.14</v>
      </c>
      <c r="BO56" s="2">
        <v>46.14</v>
      </c>
      <c r="BP56" s="2"/>
      <c r="BQ56" s="2" t="s">
        <v>225</v>
      </c>
      <c r="BR56" s="2" t="s">
        <v>83</v>
      </c>
      <c r="BS56" s="3">
        <v>42647</v>
      </c>
      <c r="BT56" s="4">
        <v>0.31944444444444448</v>
      </c>
      <c r="BU56" s="2" t="s">
        <v>226</v>
      </c>
      <c r="BV56" s="2" t="s">
        <v>85</v>
      </c>
      <c r="BW56" s="2"/>
      <c r="BX56" s="2"/>
      <c r="BY56" s="2">
        <v>1200</v>
      </c>
      <c r="BZ56" s="2" t="s">
        <v>27</v>
      </c>
      <c r="CA56" s="2" t="s">
        <v>136</v>
      </c>
      <c r="CB56" s="2"/>
      <c r="CC56" s="2" t="s">
        <v>99</v>
      </c>
      <c r="CD56" s="2">
        <v>6001</v>
      </c>
      <c r="CE56" s="2" t="s">
        <v>108</v>
      </c>
      <c r="CF56" s="5">
        <v>42647</v>
      </c>
      <c r="CG56" s="2"/>
      <c r="CH56" s="2"/>
      <c r="CI56" s="2">
        <v>1</v>
      </c>
      <c r="CJ56" s="2">
        <v>1</v>
      </c>
      <c r="CK56" s="2">
        <v>21</v>
      </c>
      <c r="CL56" s="2" t="s">
        <v>88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"FES1162504039"</f>
        <v>FES1162504039</v>
      </c>
      <c r="F57" s="3">
        <v>42646</v>
      </c>
      <c r="G57" s="2">
        <v>201704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160</v>
      </c>
      <c r="M57" s="2" t="s">
        <v>161</v>
      </c>
      <c r="N57" s="2" t="s">
        <v>244</v>
      </c>
      <c r="O57" s="2" t="s">
        <v>96</v>
      </c>
      <c r="P57" s="2" t="str">
        <f>"2170527540                    "</f>
        <v xml:space="preserve">2170527540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7.58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5</v>
      </c>
      <c r="BJ57" s="2">
        <v>3.3</v>
      </c>
      <c r="BK57" s="2">
        <v>5</v>
      </c>
      <c r="BL57" s="2">
        <v>101.18</v>
      </c>
      <c r="BM57" s="2">
        <v>14.17</v>
      </c>
      <c r="BN57" s="2">
        <v>115.35</v>
      </c>
      <c r="BO57" s="2">
        <v>115.35</v>
      </c>
      <c r="BP57" s="2"/>
      <c r="BQ57" s="2" t="s">
        <v>117</v>
      </c>
      <c r="BR57" s="2" t="s">
        <v>83</v>
      </c>
      <c r="BS57" s="3">
        <v>42647</v>
      </c>
      <c r="BT57" s="4">
        <v>0.4513888888888889</v>
      </c>
      <c r="BU57" s="2" t="s">
        <v>245</v>
      </c>
      <c r="BV57" s="2" t="s">
        <v>85</v>
      </c>
      <c r="BW57" s="2"/>
      <c r="BX57" s="2"/>
      <c r="BY57" s="2">
        <v>16296.28</v>
      </c>
      <c r="BZ57" s="2" t="s">
        <v>27</v>
      </c>
      <c r="CA57" s="2"/>
      <c r="CB57" s="2"/>
      <c r="CC57" s="2" t="s">
        <v>161</v>
      </c>
      <c r="CD57" s="2">
        <v>7800</v>
      </c>
      <c r="CE57" s="2" t="s">
        <v>86</v>
      </c>
      <c r="CF57" s="5">
        <v>42648</v>
      </c>
      <c r="CG57" s="2"/>
      <c r="CH57" s="2"/>
      <c r="CI57" s="2">
        <v>1</v>
      </c>
      <c r="CJ57" s="2">
        <v>1</v>
      </c>
      <c r="CK57" s="2">
        <v>21</v>
      </c>
      <c r="CL57" s="2" t="s">
        <v>88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"FES1162503958"</f>
        <v>FES1162503958</v>
      </c>
      <c r="F58" s="3">
        <v>42646</v>
      </c>
      <c r="G58" s="2">
        <v>201704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98</v>
      </c>
      <c r="M58" s="2" t="s">
        <v>99</v>
      </c>
      <c r="N58" s="2" t="s">
        <v>246</v>
      </c>
      <c r="O58" s="2" t="s">
        <v>96</v>
      </c>
      <c r="P58" s="2" t="str">
        <f>"2170527730                    "</f>
        <v xml:space="preserve">2170527730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3.03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1</v>
      </c>
      <c r="BJ58" s="2">
        <v>0.2</v>
      </c>
      <c r="BK58" s="2">
        <v>1</v>
      </c>
      <c r="BL58" s="2">
        <v>40.47</v>
      </c>
      <c r="BM58" s="2">
        <v>5.67</v>
      </c>
      <c r="BN58" s="2">
        <v>46.14</v>
      </c>
      <c r="BO58" s="2">
        <v>46.14</v>
      </c>
      <c r="BP58" s="2"/>
      <c r="BQ58" s="2" t="s">
        <v>247</v>
      </c>
      <c r="BR58" s="2" t="s">
        <v>83</v>
      </c>
      <c r="BS58" s="3">
        <v>42648</v>
      </c>
      <c r="BT58" s="4">
        <v>0.41666666666666669</v>
      </c>
      <c r="BU58" s="2" t="s">
        <v>248</v>
      </c>
      <c r="BV58" s="2"/>
      <c r="BW58" s="2" t="s">
        <v>249</v>
      </c>
      <c r="BX58" s="2" t="s">
        <v>250</v>
      </c>
      <c r="BY58" s="2">
        <v>1200</v>
      </c>
      <c r="BZ58" s="2"/>
      <c r="CA58" s="2"/>
      <c r="CB58" s="2"/>
      <c r="CC58" s="2" t="s">
        <v>99</v>
      </c>
      <c r="CD58" s="2">
        <v>6001</v>
      </c>
      <c r="CE58" s="2" t="s">
        <v>108</v>
      </c>
      <c r="CF58" s="5">
        <v>42649</v>
      </c>
      <c r="CG58" s="2"/>
      <c r="CH58" s="2"/>
      <c r="CI58" s="2">
        <v>0</v>
      </c>
      <c r="CJ58" s="2">
        <v>0</v>
      </c>
      <c r="CK58" s="2">
        <v>21</v>
      </c>
      <c r="CL58" s="2" t="s">
        <v>88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"FES1162504061"</f>
        <v>FES1162504061</v>
      </c>
      <c r="F59" s="3">
        <v>42646</v>
      </c>
      <c r="G59" s="2">
        <v>201704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160</v>
      </c>
      <c r="M59" s="2" t="s">
        <v>161</v>
      </c>
      <c r="N59" s="2" t="s">
        <v>251</v>
      </c>
      <c r="O59" s="2" t="s">
        <v>96</v>
      </c>
      <c r="P59" s="2" t="str">
        <f>"2170524146                    "</f>
        <v xml:space="preserve">2170524146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6.82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4.0999999999999996</v>
      </c>
      <c r="BJ59" s="2">
        <v>3.3</v>
      </c>
      <c r="BK59" s="2">
        <v>4.5</v>
      </c>
      <c r="BL59" s="2">
        <v>91.06</v>
      </c>
      <c r="BM59" s="2">
        <v>12.75</v>
      </c>
      <c r="BN59" s="2">
        <v>103.81</v>
      </c>
      <c r="BO59" s="2">
        <v>103.81</v>
      </c>
      <c r="BP59" s="2"/>
      <c r="BQ59" s="2" t="s">
        <v>91</v>
      </c>
      <c r="BR59" s="2" t="s">
        <v>83</v>
      </c>
      <c r="BS59" s="3">
        <v>42647</v>
      </c>
      <c r="BT59" s="4">
        <v>0.36736111111111108</v>
      </c>
      <c r="BU59" s="2" t="s">
        <v>252</v>
      </c>
      <c r="BV59" s="2" t="s">
        <v>85</v>
      </c>
      <c r="BW59" s="2"/>
      <c r="BX59" s="2"/>
      <c r="BY59" s="2">
        <v>16396.8</v>
      </c>
      <c r="BZ59" s="2" t="s">
        <v>27</v>
      </c>
      <c r="CA59" s="2"/>
      <c r="CB59" s="2"/>
      <c r="CC59" s="2" t="s">
        <v>161</v>
      </c>
      <c r="CD59" s="2">
        <v>7500</v>
      </c>
      <c r="CE59" s="2" t="s">
        <v>86</v>
      </c>
      <c r="CF59" s="5">
        <v>42647</v>
      </c>
      <c r="CG59" s="2"/>
      <c r="CH59" s="2"/>
      <c r="CI59" s="2">
        <v>1</v>
      </c>
      <c r="CJ59" s="2">
        <v>1</v>
      </c>
      <c r="CK59" s="2">
        <v>21</v>
      </c>
      <c r="CL59" s="2" t="s">
        <v>88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"FES1162504007"</f>
        <v>FES1162504007</v>
      </c>
      <c r="F60" s="3">
        <v>42646</v>
      </c>
      <c r="G60" s="2">
        <v>201704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253</v>
      </c>
      <c r="M60" s="2" t="s">
        <v>254</v>
      </c>
      <c r="N60" s="2" t="s">
        <v>255</v>
      </c>
      <c r="O60" s="2" t="s">
        <v>96</v>
      </c>
      <c r="P60" s="2" t="str">
        <f>"2170527803                    "</f>
        <v xml:space="preserve">2170527803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24.45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2</v>
      </c>
      <c r="BI60" s="2">
        <v>9</v>
      </c>
      <c r="BJ60" s="2">
        <v>2.9</v>
      </c>
      <c r="BK60" s="2">
        <v>9</v>
      </c>
      <c r="BL60" s="2">
        <v>326.31</v>
      </c>
      <c r="BM60" s="2">
        <v>45.68</v>
      </c>
      <c r="BN60" s="2">
        <v>371.99</v>
      </c>
      <c r="BO60" s="2">
        <v>371.99</v>
      </c>
      <c r="BP60" s="2"/>
      <c r="BQ60" s="2" t="s">
        <v>117</v>
      </c>
      <c r="BR60" s="2" t="s">
        <v>83</v>
      </c>
      <c r="BS60" s="3">
        <v>42647</v>
      </c>
      <c r="BT60" s="4">
        <v>0.59722222222222221</v>
      </c>
      <c r="BU60" s="2" t="s">
        <v>256</v>
      </c>
      <c r="BV60" s="2" t="s">
        <v>85</v>
      </c>
      <c r="BW60" s="2"/>
      <c r="BX60" s="2"/>
      <c r="BY60" s="2">
        <v>14651.56</v>
      </c>
      <c r="BZ60" s="2" t="s">
        <v>27</v>
      </c>
      <c r="CA60" s="2" t="s">
        <v>129</v>
      </c>
      <c r="CB60" s="2"/>
      <c r="CC60" s="2" t="s">
        <v>254</v>
      </c>
      <c r="CD60" s="2">
        <v>3370</v>
      </c>
      <c r="CE60" s="2" t="s">
        <v>257</v>
      </c>
      <c r="CF60" s="5">
        <v>42650</v>
      </c>
      <c r="CG60" s="2"/>
      <c r="CH60" s="2"/>
      <c r="CI60" s="2">
        <v>3</v>
      </c>
      <c r="CJ60" s="2">
        <v>1</v>
      </c>
      <c r="CK60" s="2">
        <v>23</v>
      </c>
      <c r="CL60" s="2" t="s">
        <v>88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"FES1162503999"</f>
        <v>FES1162503999</v>
      </c>
      <c r="F61" s="3">
        <v>42646</v>
      </c>
      <c r="G61" s="2">
        <v>201704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137</v>
      </c>
      <c r="M61" s="2" t="s">
        <v>138</v>
      </c>
      <c r="N61" s="2" t="s">
        <v>203</v>
      </c>
      <c r="O61" s="2" t="s">
        <v>96</v>
      </c>
      <c r="P61" s="2" t="str">
        <f>"2170527796                    "</f>
        <v xml:space="preserve">2170527796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45.49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2</v>
      </c>
      <c r="BI61" s="2">
        <v>30</v>
      </c>
      <c r="BJ61" s="2">
        <v>5.2</v>
      </c>
      <c r="BK61" s="2">
        <v>30</v>
      </c>
      <c r="BL61" s="2">
        <v>607.09</v>
      </c>
      <c r="BM61" s="2">
        <v>84.99</v>
      </c>
      <c r="BN61" s="2">
        <v>692.08</v>
      </c>
      <c r="BO61" s="2">
        <v>692.08</v>
      </c>
      <c r="BP61" s="2"/>
      <c r="BQ61" s="2" t="s">
        <v>168</v>
      </c>
      <c r="BR61" s="2" t="s">
        <v>83</v>
      </c>
      <c r="BS61" s="3">
        <v>42647</v>
      </c>
      <c r="BT61" s="4">
        <v>0.40625</v>
      </c>
      <c r="BU61" s="2" t="s">
        <v>204</v>
      </c>
      <c r="BV61" s="2"/>
      <c r="BW61" s="2"/>
      <c r="BX61" s="2"/>
      <c r="BY61" s="2">
        <v>26023.1</v>
      </c>
      <c r="BZ61" s="2" t="s">
        <v>27</v>
      </c>
      <c r="CA61" s="2" t="s">
        <v>205</v>
      </c>
      <c r="CB61" s="2"/>
      <c r="CC61" s="2" t="s">
        <v>138</v>
      </c>
      <c r="CD61" s="2">
        <v>3201</v>
      </c>
      <c r="CE61" s="2" t="s">
        <v>257</v>
      </c>
      <c r="CF61" s="5">
        <v>42647</v>
      </c>
      <c r="CG61" s="2"/>
      <c r="CH61" s="2"/>
      <c r="CI61" s="2">
        <v>0</v>
      </c>
      <c r="CJ61" s="2">
        <v>0</v>
      </c>
      <c r="CK61" s="2">
        <v>21</v>
      </c>
      <c r="CL61" s="2" t="s">
        <v>88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"FES1162503863"</f>
        <v>FES1162503863</v>
      </c>
      <c r="F62" s="3">
        <v>42646</v>
      </c>
      <c r="G62" s="2">
        <v>201704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160</v>
      </c>
      <c r="M62" s="2" t="s">
        <v>161</v>
      </c>
      <c r="N62" s="2" t="s">
        <v>162</v>
      </c>
      <c r="O62" s="2" t="s">
        <v>96</v>
      </c>
      <c r="P62" s="2" t="str">
        <f>"2170527395                    "</f>
        <v xml:space="preserve">2170527395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5.31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3.3</v>
      </c>
      <c r="BJ62" s="2">
        <v>3.5</v>
      </c>
      <c r="BK62" s="2">
        <v>3.5</v>
      </c>
      <c r="BL62" s="2">
        <v>70.83</v>
      </c>
      <c r="BM62" s="2">
        <v>9.92</v>
      </c>
      <c r="BN62" s="2">
        <v>80.75</v>
      </c>
      <c r="BO62" s="2">
        <v>80.75</v>
      </c>
      <c r="BP62" s="2"/>
      <c r="BQ62" s="2" t="s">
        <v>163</v>
      </c>
      <c r="BR62" s="2" t="s">
        <v>83</v>
      </c>
      <c r="BS62" s="3">
        <v>42647</v>
      </c>
      <c r="BT62" s="4">
        <v>0.58958333333333335</v>
      </c>
      <c r="BU62" s="2" t="s">
        <v>164</v>
      </c>
      <c r="BV62" s="2" t="s">
        <v>88</v>
      </c>
      <c r="BW62" s="2" t="s">
        <v>165</v>
      </c>
      <c r="BX62" s="2" t="s">
        <v>166</v>
      </c>
      <c r="BY62" s="2">
        <v>17417.400000000001</v>
      </c>
      <c r="BZ62" s="2" t="s">
        <v>27</v>
      </c>
      <c r="CA62" s="2"/>
      <c r="CB62" s="2"/>
      <c r="CC62" s="2" t="s">
        <v>161</v>
      </c>
      <c r="CD62" s="2">
        <v>7441</v>
      </c>
      <c r="CE62" s="2" t="s">
        <v>108</v>
      </c>
      <c r="CF62" s="5">
        <v>42648</v>
      </c>
      <c r="CG62" s="2"/>
      <c r="CH62" s="2"/>
      <c r="CI62" s="2">
        <v>1</v>
      </c>
      <c r="CJ62" s="2">
        <v>1</v>
      </c>
      <c r="CK62" s="2">
        <v>21</v>
      </c>
      <c r="CL62" s="2" t="s">
        <v>88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"FES1162504127"</f>
        <v>FES1162504127</v>
      </c>
      <c r="F63" s="3">
        <v>42646</v>
      </c>
      <c r="G63" s="2">
        <v>201704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98</v>
      </c>
      <c r="M63" s="2" t="s">
        <v>99</v>
      </c>
      <c r="N63" s="2" t="s">
        <v>109</v>
      </c>
      <c r="O63" s="2" t="s">
        <v>96</v>
      </c>
      <c r="P63" s="2" t="str">
        <f>"2170527673                    "</f>
        <v xml:space="preserve">2170527673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4.55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1.1000000000000001</v>
      </c>
      <c r="BJ63" s="2">
        <v>2.6</v>
      </c>
      <c r="BK63" s="2">
        <v>3</v>
      </c>
      <c r="BL63" s="2">
        <v>60.71</v>
      </c>
      <c r="BM63" s="2">
        <v>8.5</v>
      </c>
      <c r="BN63" s="2">
        <v>69.209999999999994</v>
      </c>
      <c r="BO63" s="2">
        <v>69.209999999999994</v>
      </c>
      <c r="BP63" s="2"/>
      <c r="BQ63" s="2" t="s">
        <v>110</v>
      </c>
      <c r="BR63" s="2" t="s">
        <v>83</v>
      </c>
      <c r="BS63" s="3">
        <v>42647</v>
      </c>
      <c r="BT63" s="4">
        <v>0.37152777777777773</v>
      </c>
      <c r="BU63" s="2" t="s">
        <v>111</v>
      </c>
      <c r="BV63" s="2" t="s">
        <v>85</v>
      </c>
      <c r="BW63" s="2"/>
      <c r="BX63" s="2"/>
      <c r="BY63" s="2">
        <v>13134.35</v>
      </c>
      <c r="BZ63" s="2" t="s">
        <v>27</v>
      </c>
      <c r="CA63" s="2" t="s">
        <v>107</v>
      </c>
      <c r="CB63" s="2"/>
      <c r="CC63" s="2" t="s">
        <v>99</v>
      </c>
      <c r="CD63" s="2">
        <v>6001</v>
      </c>
      <c r="CE63" s="2" t="s">
        <v>108</v>
      </c>
      <c r="CF63" s="5">
        <v>42647</v>
      </c>
      <c r="CG63" s="2"/>
      <c r="CH63" s="2"/>
      <c r="CI63" s="2">
        <v>1</v>
      </c>
      <c r="CJ63" s="2">
        <v>1</v>
      </c>
      <c r="CK63" s="2">
        <v>21</v>
      </c>
      <c r="CL63" s="2" t="s">
        <v>88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"FES1162504073"</f>
        <v>FES1162504073</v>
      </c>
      <c r="F64" s="3">
        <v>42646</v>
      </c>
      <c r="G64" s="2">
        <v>201704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160</v>
      </c>
      <c r="M64" s="2" t="s">
        <v>161</v>
      </c>
      <c r="N64" s="2" t="s">
        <v>176</v>
      </c>
      <c r="O64" s="2" t="s">
        <v>96</v>
      </c>
      <c r="P64" s="2" t="str">
        <f>"2170527671                    "</f>
        <v xml:space="preserve">2170527671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3.03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40.47</v>
      </c>
      <c r="BM64" s="2">
        <v>5.67</v>
      </c>
      <c r="BN64" s="2">
        <v>46.14</v>
      </c>
      <c r="BO64" s="2">
        <v>46.14</v>
      </c>
      <c r="BP64" s="2"/>
      <c r="BQ64" s="2" t="s">
        <v>258</v>
      </c>
      <c r="BR64" s="2" t="s">
        <v>83</v>
      </c>
      <c r="BS64" s="3">
        <v>42647</v>
      </c>
      <c r="BT64" s="4">
        <v>0.41666666666666669</v>
      </c>
      <c r="BU64" s="2" t="s">
        <v>259</v>
      </c>
      <c r="BV64" s="2" t="s">
        <v>85</v>
      </c>
      <c r="BW64" s="2"/>
      <c r="BX64" s="2"/>
      <c r="BY64" s="2">
        <v>1200</v>
      </c>
      <c r="BZ64" s="2" t="s">
        <v>27</v>
      </c>
      <c r="CA64" s="2"/>
      <c r="CB64" s="2"/>
      <c r="CC64" s="2" t="s">
        <v>161</v>
      </c>
      <c r="CD64" s="2">
        <v>7405</v>
      </c>
      <c r="CE64" s="2" t="s">
        <v>108</v>
      </c>
      <c r="CF64" s="5">
        <v>42648</v>
      </c>
      <c r="CG64" s="2"/>
      <c r="CH64" s="2"/>
      <c r="CI64" s="2">
        <v>1</v>
      </c>
      <c r="CJ64" s="2">
        <v>1</v>
      </c>
      <c r="CK64" s="2">
        <v>21</v>
      </c>
      <c r="CL64" s="2" t="s">
        <v>88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"FES1162503952"</f>
        <v>FES1162503952</v>
      </c>
      <c r="F65" s="3">
        <v>42646</v>
      </c>
      <c r="G65" s="2">
        <v>201704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260</v>
      </c>
      <c r="M65" s="2" t="s">
        <v>261</v>
      </c>
      <c r="N65" s="2" t="s">
        <v>262</v>
      </c>
      <c r="O65" s="2" t="s">
        <v>96</v>
      </c>
      <c r="P65" s="2" t="str">
        <f>"2170527484                    "</f>
        <v xml:space="preserve">2170527484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3.03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1</v>
      </c>
      <c r="BJ65" s="2">
        <v>0.7</v>
      </c>
      <c r="BK65" s="2">
        <v>1</v>
      </c>
      <c r="BL65" s="2">
        <v>40.47</v>
      </c>
      <c r="BM65" s="2">
        <v>5.67</v>
      </c>
      <c r="BN65" s="2">
        <v>46.14</v>
      </c>
      <c r="BO65" s="2">
        <v>46.14</v>
      </c>
      <c r="BP65" s="2"/>
      <c r="BQ65" s="2" t="s">
        <v>91</v>
      </c>
      <c r="BR65" s="2" t="s">
        <v>83</v>
      </c>
      <c r="BS65" s="3">
        <v>42647</v>
      </c>
      <c r="BT65" s="4">
        <v>0.46666666666666662</v>
      </c>
      <c r="BU65" s="2" t="s">
        <v>263</v>
      </c>
      <c r="BV65" s="2" t="s">
        <v>85</v>
      </c>
      <c r="BW65" s="2"/>
      <c r="BX65" s="2"/>
      <c r="BY65" s="2">
        <v>3514.5</v>
      </c>
      <c r="BZ65" s="2" t="s">
        <v>27</v>
      </c>
      <c r="CA65" s="2" t="s">
        <v>264</v>
      </c>
      <c r="CB65" s="2"/>
      <c r="CC65" s="2" t="s">
        <v>261</v>
      </c>
      <c r="CD65" s="2">
        <v>6850</v>
      </c>
      <c r="CE65" s="2" t="s">
        <v>86</v>
      </c>
      <c r="CF65" s="5">
        <v>42647</v>
      </c>
      <c r="CG65" s="2"/>
      <c r="CH65" s="2"/>
      <c r="CI65" s="2">
        <v>3</v>
      </c>
      <c r="CJ65" s="2">
        <v>1</v>
      </c>
      <c r="CK65" s="2">
        <v>21</v>
      </c>
      <c r="CL65" s="2" t="s">
        <v>88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"FES1162504041"</f>
        <v>FES1162504041</v>
      </c>
      <c r="F66" s="3">
        <v>42646</v>
      </c>
      <c r="G66" s="2">
        <v>201704</v>
      </c>
      <c r="H66" s="2" t="s">
        <v>74</v>
      </c>
      <c r="I66" s="2" t="s">
        <v>75</v>
      </c>
      <c r="J66" s="2" t="s">
        <v>76</v>
      </c>
      <c r="K66" s="2" t="s">
        <v>77</v>
      </c>
      <c r="L66" s="2" t="s">
        <v>93</v>
      </c>
      <c r="M66" s="2" t="s">
        <v>94</v>
      </c>
      <c r="N66" s="2" t="s">
        <v>265</v>
      </c>
      <c r="O66" s="2" t="s">
        <v>96</v>
      </c>
      <c r="P66" s="2" t="str">
        <f>"2170527824                    "</f>
        <v xml:space="preserve">2170527824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3.03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2</v>
      </c>
      <c r="BJ66" s="2">
        <v>0.2</v>
      </c>
      <c r="BK66" s="2">
        <v>2</v>
      </c>
      <c r="BL66" s="2">
        <v>40.47</v>
      </c>
      <c r="BM66" s="2">
        <v>5.67</v>
      </c>
      <c r="BN66" s="2">
        <v>46.14</v>
      </c>
      <c r="BO66" s="2">
        <v>46.14</v>
      </c>
      <c r="BP66" s="2"/>
      <c r="BQ66" s="2" t="s">
        <v>91</v>
      </c>
      <c r="BR66" s="2" t="s">
        <v>83</v>
      </c>
      <c r="BS66" s="3">
        <v>42647</v>
      </c>
      <c r="BT66" s="4">
        <v>0.34722222222222227</v>
      </c>
      <c r="BU66" s="2" t="s">
        <v>266</v>
      </c>
      <c r="BV66" s="2" t="s">
        <v>85</v>
      </c>
      <c r="BW66" s="2"/>
      <c r="BX66" s="2"/>
      <c r="BY66" s="2">
        <v>1200</v>
      </c>
      <c r="BZ66" s="2" t="s">
        <v>27</v>
      </c>
      <c r="CA66" s="2"/>
      <c r="CB66" s="2"/>
      <c r="CC66" s="2" t="s">
        <v>94</v>
      </c>
      <c r="CD66" s="2">
        <v>4300</v>
      </c>
      <c r="CE66" s="2" t="s">
        <v>108</v>
      </c>
      <c r="CF66" s="5">
        <v>42648</v>
      </c>
      <c r="CG66" s="2"/>
      <c r="CH66" s="2"/>
      <c r="CI66" s="2">
        <v>1</v>
      </c>
      <c r="CJ66" s="2">
        <v>1</v>
      </c>
      <c r="CK66" s="2">
        <v>21</v>
      </c>
      <c r="CL66" s="2" t="s">
        <v>88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"FES1162504108"</f>
        <v>FES1162504108</v>
      </c>
      <c r="F67" s="3">
        <v>42646</v>
      </c>
      <c r="G67" s="2">
        <v>201704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160</v>
      </c>
      <c r="M67" s="2" t="s">
        <v>161</v>
      </c>
      <c r="N67" s="2" t="s">
        <v>267</v>
      </c>
      <c r="O67" s="2" t="s">
        <v>96</v>
      </c>
      <c r="P67" s="2" t="str">
        <f>"2170527634                    "</f>
        <v xml:space="preserve">2170527634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7.58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5</v>
      </c>
      <c r="BJ67" s="2">
        <v>1</v>
      </c>
      <c r="BK67" s="2">
        <v>5</v>
      </c>
      <c r="BL67" s="2">
        <v>101.18</v>
      </c>
      <c r="BM67" s="2">
        <v>14.17</v>
      </c>
      <c r="BN67" s="2">
        <v>115.35</v>
      </c>
      <c r="BO67" s="2">
        <v>115.35</v>
      </c>
      <c r="BP67" s="2"/>
      <c r="BQ67" s="2" t="s">
        <v>117</v>
      </c>
      <c r="BR67" s="2" t="s">
        <v>83</v>
      </c>
      <c r="BS67" s="3">
        <v>42647</v>
      </c>
      <c r="BT67" s="4">
        <v>0.40972222222222227</v>
      </c>
      <c r="BU67" s="2" t="s">
        <v>268</v>
      </c>
      <c r="BV67" s="2" t="s">
        <v>85</v>
      </c>
      <c r="BW67" s="2"/>
      <c r="BX67" s="2"/>
      <c r="BY67" s="2">
        <v>5184</v>
      </c>
      <c r="BZ67" s="2" t="s">
        <v>27</v>
      </c>
      <c r="CA67" s="2"/>
      <c r="CB67" s="2"/>
      <c r="CC67" s="2" t="s">
        <v>161</v>
      </c>
      <c r="CD67" s="2">
        <v>7441</v>
      </c>
      <c r="CE67" s="2" t="s">
        <v>86</v>
      </c>
      <c r="CF67" s="5">
        <v>42648</v>
      </c>
      <c r="CG67" s="2"/>
      <c r="CH67" s="2"/>
      <c r="CI67" s="2">
        <v>1</v>
      </c>
      <c r="CJ67" s="2">
        <v>1</v>
      </c>
      <c r="CK67" s="2">
        <v>21</v>
      </c>
      <c r="CL67" s="2" t="s">
        <v>88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"FES1162504067"</f>
        <v>FES1162504067</v>
      </c>
      <c r="F68" s="3">
        <v>42646</v>
      </c>
      <c r="G68" s="2">
        <v>201704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269</v>
      </c>
      <c r="M68" s="2" t="s">
        <v>270</v>
      </c>
      <c r="N68" s="2" t="s">
        <v>271</v>
      </c>
      <c r="O68" s="2" t="s">
        <v>96</v>
      </c>
      <c r="P68" s="2" t="str">
        <f>"2170527851                    "</f>
        <v xml:space="preserve">2170527851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3.03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</v>
      </c>
      <c r="BJ68" s="2">
        <v>0.2</v>
      </c>
      <c r="BK68" s="2">
        <v>1</v>
      </c>
      <c r="BL68" s="2">
        <v>40.47</v>
      </c>
      <c r="BM68" s="2">
        <v>5.67</v>
      </c>
      <c r="BN68" s="2">
        <v>46.14</v>
      </c>
      <c r="BO68" s="2">
        <v>46.14</v>
      </c>
      <c r="BP68" s="2"/>
      <c r="BQ68" s="2" t="s">
        <v>91</v>
      </c>
      <c r="BR68" s="2" t="s">
        <v>83</v>
      </c>
      <c r="BS68" s="3">
        <v>42647</v>
      </c>
      <c r="BT68" s="4">
        <v>0.42986111111111108</v>
      </c>
      <c r="BU68" s="2" t="s">
        <v>272</v>
      </c>
      <c r="BV68" s="2" t="s">
        <v>85</v>
      </c>
      <c r="BW68" s="2"/>
      <c r="BX68" s="2"/>
      <c r="BY68" s="2">
        <v>1200</v>
      </c>
      <c r="BZ68" s="2" t="s">
        <v>27</v>
      </c>
      <c r="CA68" s="2"/>
      <c r="CB68" s="2"/>
      <c r="CC68" s="2" t="s">
        <v>270</v>
      </c>
      <c r="CD68" s="2">
        <v>3610</v>
      </c>
      <c r="CE68" s="2" t="s">
        <v>108</v>
      </c>
      <c r="CF68" s="5">
        <v>42647</v>
      </c>
      <c r="CG68" s="2"/>
      <c r="CH68" s="2"/>
      <c r="CI68" s="2">
        <v>1</v>
      </c>
      <c r="CJ68" s="2">
        <v>1</v>
      </c>
      <c r="CK68" s="2">
        <v>21</v>
      </c>
      <c r="CL68" s="2" t="s">
        <v>88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"FES1162504111"</f>
        <v>FES1162504111</v>
      </c>
      <c r="F69" s="3">
        <v>42646</v>
      </c>
      <c r="G69" s="2">
        <v>201704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143</v>
      </c>
      <c r="M69" s="2" t="s">
        <v>144</v>
      </c>
      <c r="N69" s="2" t="s">
        <v>273</v>
      </c>
      <c r="O69" s="2" t="s">
        <v>96</v>
      </c>
      <c r="P69" s="2" t="str">
        <f>"2170523925                    "</f>
        <v xml:space="preserve">2170523925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40.94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27</v>
      </c>
      <c r="BJ69" s="2">
        <v>11</v>
      </c>
      <c r="BK69" s="2">
        <v>27</v>
      </c>
      <c r="BL69" s="2">
        <v>546.38</v>
      </c>
      <c r="BM69" s="2">
        <v>76.489999999999995</v>
      </c>
      <c r="BN69" s="2">
        <v>622.87</v>
      </c>
      <c r="BO69" s="2">
        <v>622.87</v>
      </c>
      <c r="BP69" s="2"/>
      <c r="BQ69" s="2" t="s">
        <v>274</v>
      </c>
      <c r="BR69" s="2" t="s">
        <v>83</v>
      </c>
      <c r="BS69" s="3">
        <v>42647</v>
      </c>
      <c r="BT69" s="4">
        <v>0.46875</v>
      </c>
      <c r="BU69" s="2" t="s">
        <v>275</v>
      </c>
      <c r="BV69" s="2" t="s">
        <v>85</v>
      </c>
      <c r="BW69" s="2"/>
      <c r="BX69" s="2"/>
      <c r="BY69" s="2">
        <v>55200</v>
      </c>
      <c r="BZ69" s="2" t="s">
        <v>27</v>
      </c>
      <c r="CA69" s="2"/>
      <c r="CB69" s="2"/>
      <c r="CC69" s="2" t="s">
        <v>144</v>
      </c>
      <c r="CD69" s="2">
        <v>5201</v>
      </c>
      <c r="CE69" s="2" t="s">
        <v>86</v>
      </c>
      <c r="CF69" s="5">
        <v>42649</v>
      </c>
      <c r="CG69" s="2"/>
      <c r="CH69" s="2"/>
      <c r="CI69" s="2">
        <v>1</v>
      </c>
      <c r="CJ69" s="2">
        <v>1</v>
      </c>
      <c r="CK69" s="2">
        <v>21</v>
      </c>
      <c r="CL69" s="2" t="s">
        <v>88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"FES1162504002"</f>
        <v>FES1162504002</v>
      </c>
      <c r="F70" s="3">
        <v>42646</v>
      </c>
      <c r="G70" s="2">
        <v>201704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143</v>
      </c>
      <c r="M70" s="2" t="s">
        <v>144</v>
      </c>
      <c r="N70" s="2" t="s">
        <v>216</v>
      </c>
      <c r="O70" s="2" t="s">
        <v>96</v>
      </c>
      <c r="P70" s="2" t="str">
        <f>"2170527752                    "</f>
        <v xml:space="preserve">2170527752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31.84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2</v>
      </c>
      <c r="BI70" s="2">
        <v>16</v>
      </c>
      <c r="BJ70" s="2">
        <v>21</v>
      </c>
      <c r="BK70" s="2">
        <v>21</v>
      </c>
      <c r="BL70" s="2">
        <v>424.96</v>
      </c>
      <c r="BM70" s="2">
        <v>59.49</v>
      </c>
      <c r="BN70" s="2">
        <v>484.45</v>
      </c>
      <c r="BO70" s="2">
        <v>484.45</v>
      </c>
      <c r="BP70" s="2"/>
      <c r="BQ70" s="2" t="s">
        <v>91</v>
      </c>
      <c r="BR70" s="2" t="s">
        <v>83</v>
      </c>
      <c r="BS70" s="3">
        <v>42648</v>
      </c>
      <c r="BT70" s="4">
        <v>0.41666666666666669</v>
      </c>
      <c r="BU70" s="2" t="s">
        <v>276</v>
      </c>
      <c r="BV70" s="2" t="s">
        <v>88</v>
      </c>
      <c r="BW70" s="2" t="s">
        <v>277</v>
      </c>
      <c r="BX70" s="2" t="s">
        <v>278</v>
      </c>
      <c r="BY70" s="2">
        <v>104827.46</v>
      </c>
      <c r="BZ70" s="2" t="s">
        <v>27</v>
      </c>
      <c r="CA70" s="2"/>
      <c r="CB70" s="2"/>
      <c r="CC70" s="2" t="s">
        <v>144</v>
      </c>
      <c r="CD70" s="2">
        <v>5201</v>
      </c>
      <c r="CE70" s="2" t="s">
        <v>257</v>
      </c>
      <c r="CF70" s="5">
        <v>42649</v>
      </c>
      <c r="CG70" s="2"/>
      <c r="CH70" s="2"/>
      <c r="CI70" s="2">
        <v>1</v>
      </c>
      <c r="CJ70" s="2">
        <v>2</v>
      </c>
      <c r="CK70" s="2">
        <v>21</v>
      </c>
      <c r="CL70" s="2" t="s">
        <v>88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"FES1162504125"</f>
        <v>FES1162504125</v>
      </c>
      <c r="F71" s="3">
        <v>42646</v>
      </c>
      <c r="G71" s="2">
        <v>201704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160</v>
      </c>
      <c r="M71" s="2" t="s">
        <v>161</v>
      </c>
      <c r="N71" s="2" t="s">
        <v>279</v>
      </c>
      <c r="O71" s="2" t="s">
        <v>96</v>
      </c>
      <c r="P71" s="2" t="str">
        <f>"2170527913                    "</f>
        <v xml:space="preserve">2170527913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4.55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3</v>
      </c>
      <c r="BJ71" s="2">
        <v>2.2000000000000002</v>
      </c>
      <c r="BK71" s="2">
        <v>3</v>
      </c>
      <c r="BL71" s="2">
        <v>60.71</v>
      </c>
      <c r="BM71" s="2">
        <v>8.5</v>
      </c>
      <c r="BN71" s="2">
        <v>69.209999999999994</v>
      </c>
      <c r="BO71" s="2">
        <v>69.209999999999994</v>
      </c>
      <c r="BP71" s="2"/>
      <c r="BQ71" s="2" t="s">
        <v>280</v>
      </c>
      <c r="BR71" s="2" t="s">
        <v>83</v>
      </c>
      <c r="BS71" s="3">
        <v>42647</v>
      </c>
      <c r="BT71" s="4">
        <v>0.36805555555555558</v>
      </c>
      <c r="BU71" s="2" t="s">
        <v>281</v>
      </c>
      <c r="BV71" s="2" t="s">
        <v>85</v>
      </c>
      <c r="BW71" s="2"/>
      <c r="BX71" s="2"/>
      <c r="BY71" s="2">
        <v>10850.25</v>
      </c>
      <c r="BZ71" s="2" t="s">
        <v>27</v>
      </c>
      <c r="CA71" s="2"/>
      <c r="CB71" s="2"/>
      <c r="CC71" s="2" t="s">
        <v>161</v>
      </c>
      <c r="CD71" s="2">
        <v>7441</v>
      </c>
      <c r="CE71" s="2" t="s">
        <v>108</v>
      </c>
      <c r="CF71" s="5">
        <v>42648</v>
      </c>
      <c r="CG71" s="2"/>
      <c r="CH71" s="2"/>
      <c r="CI71" s="2">
        <v>1</v>
      </c>
      <c r="CJ71" s="2">
        <v>1</v>
      </c>
      <c r="CK71" s="2">
        <v>21</v>
      </c>
      <c r="CL71" s="2" t="s">
        <v>88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"FES1162502783"</f>
        <v>FES1162502783</v>
      </c>
      <c r="F72" s="3">
        <v>42646</v>
      </c>
      <c r="G72" s="2">
        <v>201704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260</v>
      </c>
      <c r="M72" s="2" t="s">
        <v>261</v>
      </c>
      <c r="N72" s="2" t="s">
        <v>282</v>
      </c>
      <c r="O72" s="2" t="s">
        <v>96</v>
      </c>
      <c r="P72" s="2" t="str">
        <f>"2170520274                    "</f>
        <v xml:space="preserve">2170520274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4.55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1.4</v>
      </c>
      <c r="BJ72" s="2">
        <v>2.6</v>
      </c>
      <c r="BK72" s="2">
        <v>3</v>
      </c>
      <c r="BL72" s="2">
        <v>60.71</v>
      </c>
      <c r="BM72" s="2">
        <v>8.5</v>
      </c>
      <c r="BN72" s="2">
        <v>69.209999999999994</v>
      </c>
      <c r="BO72" s="2">
        <v>69.209999999999994</v>
      </c>
      <c r="BP72" s="2"/>
      <c r="BQ72" s="2" t="s">
        <v>91</v>
      </c>
      <c r="BR72" s="2" t="s">
        <v>83</v>
      </c>
      <c r="BS72" s="3">
        <v>42647</v>
      </c>
      <c r="BT72" s="4">
        <v>0.45</v>
      </c>
      <c r="BU72" s="2" t="s">
        <v>283</v>
      </c>
      <c r="BV72" s="2" t="s">
        <v>85</v>
      </c>
      <c r="BW72" s="2"/>
      <c r="BX72" s="2"/>
      <c r="BY72" s="2">
        <v>13064</v>
      </c>
      <c r="BZ72" s="2" t="s">
        <v>27</v>
      </c>
      <c r="CA72" s="2" t="s">
        <v>264</v>
      </c>
      <c r="CB72" s="2"/>
      <c r="CC72" s="2" t="s">
        <v>261</v>
      </c>
      <c r="CD72" s="2">
        <v>6850</v>
      </c>
      <c r="CE72" s="2" t="s">
        <v>108</v>
      </c>
      <c r="CF72" s="5">
        <v>42647</v>
      </c>
      <c r="CG72" s="2"/>
      <c r="CH72" s="2"/>
      <c r="CI72" s="2">
        <v>3</v>
      </c>
      <c r="CJ72" s="2">
        <v>1</v>
      </c>
      <c r="CK72" s="2">
        <v>21</v>
      </c>
      <c r="CL72" s="2" t="s">
        <v>88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"FES1162503930"</f>
        <v>FES1162503930</v>
      </c>
      <c r="F73" s="3">
        <v>42646</v>
      </c>
      <c r="G73" s="2">
        <v>201704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143</v>
      </c>
      <c r="M73" s="2" t="s">
        <v>144</v>
      </c>
      <c r="N73" s="2" t="s">
        <v>216</v>
      </c>
      <c r="O73" s="2" t="s">
        <v>96</v>
      </c>
      <c r="P73" s="2" t="str">
        <f>"2170526228                    "</f>
        <v xml:space="preserve">2170526228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7.58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5</v>
      </c>
      <c r="BJ73" s="2">
        <v>2.8</v>
      </c>
      <c r="BK73" s="2">
        <v>5</v>
      </c>
      <c r="BL73" s="2">
        <v>101.18</v>
      </c>
      <c r="BM73" s="2">
        <v>14.17</v>
      </c>
      <c r="BN73" s="2">
        <v>115.35</v>
      </c>
      <c r="BO73" s="2">
        <v>115.35</v>
      </c>
      <c r="BP73" s="2"/>
      <c r="BQ73" s="2" t="s">
        <v>91</v>
      </c>
      <c r="BR73" s="2" t="s">
        <v>83</v>
      </c>
      <c r="BS73" s="3">
        <v>42647</v>
      </c>
      <c r="BT73" s="4">
        <v>0.4375</v>
      </c>
      <c r="BU73" s="2" t="s">
        <v>217</v>
      </c>
      <c r="BV73" s="2" t="s">
        <v>85</v>
      </c>
      <c r="BW73" s="2"/>
      <c r="BX73" s="2"/>
      <c r="BY73" s="2">
        <v>13944</v>
      </c>
      <c r="BZ73" s="2" t="s">
        <v>27</v>
      </c>
      <c r="CA73" s="2"/>
      <c r="CB73" s="2"/>
      <c r="CC73" s="2" t="s">
        <v>144</v>
      </c>
      <c r="CD73" s="2">
        <v>5201</v>
      </c>
      <c r="CE73" s="2" t="s">
        <v>108</v>
      </c>
      <c r="CF73" s="5">
        <v>42649</v>
      </c>
      <c r="CG73" s="2"/>
      <c r="CH73" s="2"/>
      <c r="CI73" s="2">
        <v>1</v>
      </c>
      <c r="CJ73" s="2">
        <v>1</v>
      </c>
      <c r="CK73" s="2">
        <v>21</v>
      </c>
      <c r="CL73" s="2" t="s">
        <v>88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"FES1162504071"</f>
        <v>FES1162504071</v>
      </c>
      <c r="F74" s="3">
        <v>42646</v>
      </c>
      <c r="G74" s="2">
        <v>201704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269</v>
      </c>
      <c r="M74" s="2" t="s">
        <v>270</v>
      </c>
      <c r="N74" s="2" t="s">
        <v>284</v>
      </c>
      <c r="O74" s="2" t="s">
        <v>96</v>
      </c>
      <c r="P74" s="2" t="str">
        <f>"2170517248                    "</f>
        <v xml:space="preserve">2170517248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5.31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3.4</v>
      </c>
      <c r="BJ74" s="2">
        <v>2.1</v>
      </c>
      <c r="BK74" s="2">
        <v>3.5</v>
      </c>
      <c r="BL74" s="2">
        <v>70.83</v>
      </c>
      <c r="BM74" s="2">
        <v>9.92</v>
      </c>
      <c r="BN74" s="2">
        <v>80.75</v>
      </c>
      <c r="BO74" s="2">
        <v>80.75</v>
      </c>
      <c r="BP74" s="2"/>
      <c r="BQ74" s="2" t="s">
        <v>117</v>
      </c>
      <c r="BR74" s="2" t="s">
        <v>83</v>
      </c>
      <c r="BS74" s="3">
        <v>42647</v>
      </c>
      <c r="BT74" s="4">
        <v>0.40138888888888885</v>
      </c>
      <c r="BU74" s="2" t="s">
        <v>285</v>
      </c>
      <c r="BV74" s="2" t="s">
        <v>85</v>
      </c>
      <c r="BW74" s="2"/>
      <c r="BX74" s="2"/>
      <c r="BY74" s="2">
        <v>10705.5</v>
      </c>
      <c r="BZ74" s="2" t="s">
        <v>27</v>
      </c>
      <c r="CA74" s="2"/>
      <c r="CB74" s="2"/>
      <c r="CC74" s="2" t="s">
        <v>270</v>
      </c>
      <c r="CD74" s="2">
        <v>3610</v>
      </c>
      <c r="CE74" s="2" t="s">
        <v>86</v>
      </c>
      <c r="CF74" s="5">
        <v>42647</v>
      </c>
      <c r="CG74" s="2"/>
      <c r="CH74" s="2"/>
      <c r="CI74" s="2">
        <v>1</v>
      </c>
      <c r="CJ74" s="2">
        <v>1</v>
      </c>
      <c r="CK74" s="2">
        <v>21</v>
      </c>
      <c r="CL74" s="2" t="s">
        <v>88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"FES1162504087"</f>
        <v>FES1162504087</v>
      </c>
      <c r="F75" s="3">
        <v>42646</v>
      </c>
      <c r="G75" s="2">
        <v>201704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286</v>
      </c>
      <c r="M75" s="2" t="s">
        <v>287</v>
      </c>
      <c r="N75" s="2" t="s">
        <v>288</v>
      </c>
      <c r="O75" s="2" t="s">
        <v>96</v>
      </c>
      <c r="P75" s="2" t="str">
        <f>"2170527867                    "</f>
        <v xml:space="preserve">2170527867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3.03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1.5</v>
      </c>
      <c r="BK75" s="2">
        <v>1.5</v>
      </c>
      <c r="BL75" s="2">
        <v>40.47</v>
      </c>
      <c r="BM75" s="2">
        <v>5.67</v>
      </c>
      <c r="BN75" s="2">
        <v>46.14</v>
      </c>
      <c r="BO75" s="2">
        <v>46.14</v>
      </c>
      <c r="BP75" s="2"/>
      <c r="BQ75" s="2" t="s">
        <v>289</v>
      </c>
      <c r="BR75" s="2" t="s">
        <v>83</v>
      </c>
      <c r="BS75" s="3">
        <v>42647</v>
      </c>
      <c r="BT75" s="4">
        <v>0.41666666666666669</v>
      </c>
      <c r="BU75" s="2" t="s">
        <v>290</v>
      </c>
      <c r="BV75" s="2" t="s">
        <v>85</v>
      </c>
      <c r="BW75" s="2"/>
      <c r="BX75" s="2"/>
      <c r="BY75" s="2">
        <v>7407.44</v>
      </c>
      <c r="BZ75" s="2" t="s">
        <v>27</v>
      </c>
      <c r="CA75" s="2"/>
      <c r="CB75" s="2"/>
      <c r="CC75" s="2" t="s">
        <v>287</v>
      </c>
      <c r="CD75" s="2">
        <v>1947</v>
      </c>
      <c r="CE75" s="2" t="s">
        <v>108</v>
      </c>
      <c r="CF75" s="5">
        <v>42649</v>
      </c>
      <c r="CG75" s="2"/>
      <c r="CH75" s="2"/>
      <c r="CI75" s="2">
        <v>1</v>
      </c>
      <c r="CJ75" s="2">
        <v>1</v>
      </c>
      <c r="CK75" s="2">
        <v>21</v>
      </c>
      <c r="CL75" s="2" t="s">
        <v>88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"FES1162504060"</f>
        <v>FES1162504060</v>
      </c>
      <c r="F76" s="3">
        <v>42646</v>
      </c>
      <c r="G76" s="2">
        <v>201704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137</v>
      </c>
      <c r="M76" s="2" t="s">
        <v>138</v>
      </c>
      <c r="N76" s="2" t="s">
        <v>291</v>
      </c>
      <c r="O76" s="2" t="s">
        <v>96</v>
      </c>
      <c r="P76" s="2" t="str">
        <f>"2170524723                    "</f>
        <v xml:space="preserve">2170524723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3.03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2</v>
      </c>
      <c r="BJ76" s="2">
        <v>1.3</v>
      </c>
      <c r="BK76" s="2">
        <v>2</v>
      </c>
      <c r="BL76" s="2">
        <v>40.47</v>
      </c>
      <c r="BM76" s="2">
        <v>5.67</v>
      </c>
      <c r="BN76" s="2">
        <v>46.14</v>
      </c>
      <c r="BO76" s="2">
        <v>46.14</v>
      </c>
      <c r="BP76" s="2"/>
      <c r="BQ76" s="2" t="s">
        <v>117</v>
      </c>
      <c r="BR76" s="2" t="s">
        <v>83</v>
      </c>
      <c r="BS76" s="3">
        <v>42647</v>
      </c>
      <c r="BT76" s="4">
        <v>0.4069444444444445</v>
      </c>
      <c r="BU76" s="2" t="s">
        <v>292</v>
      </c>
      <c r="BV76" s="2"/>
      <c r="BW76" s="2"/>
      <c r="BX76" s="2"/>
      <c r="BY76" s="2">
        <v>6658.08</v>
      </c>
      <c r="BZ76" s="2" t="s">
        <v>27</v>
      </c>
      <c r="CA76" s="2" t="s">
        <v>205</v>
      </c>
      <c r="CB76" s="2"/>
      <c r="CC76" s="2" t="s">
        <v>138</v>
      </c>
      <c r="CD76" s="2">
        <v>3201</v>
      </c>
      <c r="CE76" s="2" t="s">
        <v>86</v>
      </c>
      <c r="CF76" s="5">
        <v>42647</v>
      </c>
      <c r="CG76" s="2"/>
      <c r="CH76" s="2"/>
      <c r="CI76" s="2">
        <v>0</v>
      </c>
      <c r="CJ76" s="2">
        <v>0</v>
      </c>
      <c r="CK76" s="2">
        <v>21</v>
      </c>
      <c r="CL76" s="2" t="s">
        <v>88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"FES1162503977"</f>
        <v>FES1162503977</v>
      </c>
      <c r="F77" s="3">
        <v>42646</v>
      </c>
      <c r="G77" s="2">
        <v>201704</v>
      </c>
      <c r="H77" s="2" t="s">
        <v>74</v>
      </c>
      <c r="I77" s="2" t="s">
        <v>75</v>
      </c>
      <c r="J77" s="2" t="s">
        <v>76</v>
      </c>
      <c r="K77" s="2" t="s">
        <v>77</v>
      </c>
      <c r="L77" s="2" t="s">
        <v>148</v>
      </c>
      <c r="M77" s="2" t="s">
        <v>149</v>
      </c>
      <c r="N77" s="2" t="s">
        <v>293</v>
      </c>
      <c r="O77" s="2" t="s">
        <v>96</v>
      </c>
      <c r="P77" s="2" t="str">
        <f>"2170527764                    "</f>
        <v xml:space="preserve">2170527764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3.03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1</v>
      </c>
      <c r="BJ77" s="2">
        <v>0.2</v>
      </c>
      <c r="BK77" s="2">
        <v>1</v>
      </c>
      <c r="BL77" s="2">
        <v>40.47</v>
      </c>
      <c r="BM77" s="2">
        <v>5.67</v>
      </c>
      <c r="BN77" s="2">
        <v>46.14</v>
      </c>
      <c r="BO77" s="2">
        <v>46.14</v>
      </c>
      <c r="BP77" s="2"/>
      <c r="BQ77" s="2" t="s">
        <v>294</v>
      </c>
      <c r="BR77" s="2" t="s">
        <v>83</v>
      </c>
      <c r="BS77" s="3">
        <v>42647</v>
      </c>
      <c r="BT77" s="4">
        <v>0.35069444444444442</v>
      </c>
      <c r="BU77" s="2" t="s">
        <v>295</v>
      </c>
      <c r="BV77" s="2" t="s">
        <v>85</v>
      </c>
      <c r="BW77" s="2"/>
      <c r="BX77" s="2"/>
      <c r="BY77" s="2">
        <v>1200</v>
      </c>
      <c r="BZ77" s="2" t="s">
        <v>27</v>
      </c>
      <c r="CA77" s="2"/>
      <c r="CB77" s="2"/>
      <c r="CC77" s="2" t="s">
        <v>149</v>
      </c>
      <c r="CD77" s="2">
        <v>4051</v>
      </c>
      <c r="CE77" s="2" t="s">
        <v>108</v>
      </c>
      <c r="CF77" s="5">
        <v>42648</v>
      </c>
      <c r="CG77" s="2"/>
      <c r="CH77" s="2"/>
      <c r="CI77" s="2">
        <v>1</v>
      </c>
      <c r="CJ77" s="2">
        <v>1</v>
      </c>
      <c r="CK77" s="2">
        <v>21</v>
      </c>
      <c r="CL77" s="2" t="s">
        <v>88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"FES1162499245"</f>
        <v>FES1162499245</v>
      </c>
      <c r="F78" s="3">
        <v>42646</v>
      </c>
      <c r="G78" s="2">
        <v>201704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148</v>
      </c>
      <c r="M78" s="2" t="s">
        <v>149</v>
      </c>
      <c r="N78" s="2" t="s">
        <v>296</v>
      </c>
      <c r="O78" s="2" t="s">
        <v>96</v>
      </c>
      <c r="P78" s="2" t="str">
        <f>"2170506712                    "</f>
        <v xml:space="preserve">2170506712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16.68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11</v>
      </c>
      <c r="BJ78" s="2">
        <v>8.5</v>
      </c>
      <c r="BK78" s="2">
        <v>11</v>
      </c>
      <c r="BL78" s="2">
        <v>222.6</v>
      </c>
      <c r="BM78" s="2">
        <v>31.16</v>
      </c>
      <c r="BN78" s="2">
        <v>253.76</v>
      </c>
      <c r="BO78" s="2">
        <v>253.76</v>
      </c>
      <c r="BP78" s="2"/>
      <c r="BQ78" s="2" t="s">
        <v>168</v>
      </c>
      <c r="BR78" s="2" t="s">
        <v>83</v>
      </c>
      <c r="BS78" s="3">
        <v>42647</v>
      </c>
      <c r="BT78" s="4">
        <v>0.34722222222222227</v>
      </c>
      <c r="BU78" s="2" t="s">
        <v>297</v>
      </c>
      <c r="BV78" s="2" t="s">
        <v>85</v>
      </c>
      <c r="BW78" s="2"/>
      <c r="BX78" s="2"/>
      <c r="BY78" s="2">
        <v>42577.919999999998</v>
      </c>
      <c r="BZ78" s="2" t="s">
        <v>27</v>
      </c>
      <c r="CA78" s="2"/>
      <c r="CB78" s="2"/>
      <c r="CC78" s="2" t="s">
        <v>149</v>
      </c>
      <c r="CD78" s="2">
        <v>4001</v>
      </c>
      <c r="CE78" s="2" t="s">
        <v>86</v>
      </c>
      <c r="CF78" s="5">
        <v>42648</v>
      </c>
      <c r="CG78" s="2"/>
      <c r="CH78" s="2"/>
      <c r="CI78" s="2">
        <v>1</v>
      </c>
      <c r="CJ78" s="2">
        <v>1</v>
      </c>
      <c r="CK78" s="2">
        <v>21</v>
      </c>
      <c r="CL78" s="2" t="s">
        <v>88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"FES1162504052"</f>
        <v>FES1162504052</v>
      </c>
      <c r="F79" s="3">
        <v>42646</v>
      </c>
      <c r="G79" s="2">
        <v>201704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207</v>
      </c>
      <c r="M79" s="2" t="s">
        <v>208</v>
      </c>
      <c r="N79" s="2" t="s">
        <v>209</v>
      </c>
      <c r="O79" s="2" t="s">
        <v>96</v>
      </c>
      <c r="P79" s="2" t="str">
        <f>"2170527823                    "</f>
        <v xml:space="preserve">2170527823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3.03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40.47</v>
      </c>
      <c r="BM79" s="2">
        <v>5.67</v>
      </c>
      <c r="BN79" s="2">
        <v>46.14</v>
      </c>
      <c r="BO79" s="2">
        <v>46.14</v>
      </c>
      <c r="BP79" s="2"/>
      <c r="BQ79" s="2" t="s">
        <v>82</v>
      </c>
      <c r="BR79" s="2" t="s">
        <v>83</v>
      </c>
      <c r="BS79" s="3">
        <v>42646</v>
      </c>
      <c r="BT79" s="4">
        <v>0.4375</v>
      </c>
      <c r="BU79" s="2" t="s">
        <v>298</v>
      </c>
      <c r="BV79" s="2" t="s">
        <v>85</v>
      </c>
      <c r="BW79" s="2"/>
      <c r="BX79" s="2"/>
      <c r="BY79" s="2">
        <v>1200</v>
      </c>
      <c r="BZ79" s="2" t="s">
        <v>27</v>
      </c>
      <c r="CA79" s="2"/>
      <c r="CB79" s="2"/>
      <c r="CC79" s="2" t="s">
        <v>208</v>
      </c>
      <c r="CD79" s="2">
        <v>4133</v>
      </c>
      <c r="CE79" s="2" t="s">
        <v>108</v>
      </c>
      <c r="CF79" s="5">
        <v>42648</v>
      </c>
      <c r="CG79" s="2"/>
      <c r="CH79" s="2"/>
      <c r="CI79" s="2">
        <v>1</v>
      </c>
      <c r="CJ79" s="2">
        <v>0</v>
      </c>
      <c r="CK79" s="2">
        <v>21</v>
      </c>
      <c r="CL79" s="2" t="s">
        <v>88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"FES1162504054"</f>
        <v>FES1162504054</v>
      </c>
      <c r="F80" s="3">
        <v>42646</v>
      </c>
      <c r="G80" s="2">
        <v>201704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269</v>
      </c>
      <c r="M80" s="2" t="s">
        <v>270</v>
      </c>
      <c r="N80" s="2" t="s">
        <v>299</v>
      </c>
      <c r="O80" s="2" t="s">
        <v>96</v>
      </c>
      <c r="P80" s="2" t="str">
        <f>"2170527835                    "</f>
        <v xml:space="preserve">2170527835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3.03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0.2</v>
      </c>
      <c r="BK80" s="2">
        <v>1</v>
      </c>
      <c r="BL80" s="2">
        <v>40.47</v>
      </c>
      <c r="BM80" s="2">
        <v>5.67</v>
      </c>
      <c r="BN80" s="2">
        <v>46.14</v>
      </c>
      <c r="BO80" s="2">
        <v>46.14</v>
      </c>
      <c r="BP80" s="2"/>
      <c r="BQ80" s="2" t="s">
        <v>300</v>
      </c>
      <c r="BR80" s="2" t="s">
        <v>83</v>
      </c>
      <c r="BS80" s="3">
        <v>42647</v>
      </c>
      <c r="BT80" s="4">
        <v>0.3611111111111111</v>
      </c>
      <c r="BU80" s="2" t="s">
        <v>301</v>
      </c>
      <c r="BV80" s="2" t="s">
        <v>85</v>
      </c>
      <c r="BW80" s="2"/>
      <c r="BX80" s="2"/>
      <c r="BY80" s="2">
        <v>1200</v>
      </c>
      <c r="BZ80" s="2" t="s">
        <v>27</v>
      </c>
      <c r="CA80" s="2"/>
      <c r="CB80" s="2"/>
      <c r="CC80" s="2" t="s">
        <v>270</v>
      </c>
      <c r="CD80" s="2">
        <v>3610</v>
      </c>
      <c r="CE80" s="2" t="s">
        <v>108</v>
      </c>
      <c r="CF80" s="5">
        <v>42648</v>
      </c>
      <c r="CG80" s="2"/>
      <c r="CH80" s="2"/>
      <c r="CI80" s="2">
        <v>1</v>
      </c>
      <c r="CJ80" s="2">
        <v>1</v>
      </c>
      <c r="CK80" s="2">
        <v>21</v>
      </c>
      <c r="CL80" s="2" t="s">
        <v>88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"FES1162504089"</f>
        <v>FES1162504089</v>
      </c>
      <c r="F81" s="3">
        <v>42646</v>
      </c>
      <c r="G81" s="2">
        <v>201704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98</v>
      </c>
      <c r="M81" s="2" t="s">
        <v>99</v>
      </c>
      <c r="N81" s="2" t="s">
        <v>104</v>
      </c>
      <c r="O81" s="2" t="s">
        <v>96</v>
      </c>
      <c r="P81" s="2" t="str">
        <f>"2170527677                    "</f>
        <v xml:space="preserve">2170527677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9.1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6</v>
      </c>
      <c r="BJ81" s="2">
        <v>0.2</v>
      </c>
      <c r="BK81" s="2">
        <v>6</v>
      </c>
      <c r="BL81" s="2">
        <v>121.42</v>
      </c>
      <c r="BM81" s="2">
        <v>17</v>
      </c>
      <c r="BN81" s="2">
        <v>138.41999999999999</v>
      </c>
      <c r="BO81" s="2">
        <v>138.41999999999999</v>
      </c>
      <c r="BP81" s="2"/>
      <c r="BQ81" s="2" t="s">
        <v>105</v>
      </c>
      <c r="BR81" s="2" t="s">
        <v>83</v>
      </c>
      <c r="BS81" s="3">
        <v>42647</v>
      </c>
      <c r="BT81" s="4">
        <v>0.39583333333333331</v>
      </c>
      <c r="BU81" s="2" t="s">
        <v>106</v>
      </c>
      <c r="BV81" s="2" t="s">
        <v>85</v>
      </c>
      <c r="BW81" s="2"/>
      <c r="BX81" s="2"/>
      <c r="BY81" s="2">
        <v>1200</v>
      </c>
      <c r="BZ81" s="2" t="s">
        <v>27</v>
      </c>
      <c r="CA81" s="2" t="s">
        <v>107</v>
      </c>
      <c r="CB81" s="2"/>
      <c r="CC81" s="2" t="s">
        <v>99</v>
      </c>
      <c r="CD81" s="2">
        <v>6001</v>
      </c>
      <c r="CE81" s="2" t="s">
        <v>108</v>
      </c>
      <c r="CF81" s="5">
        <v>42647</v>
      </c>
      <c r="CG81" s="2"/>
      <c r="CH81" s="2"/>
      <c r="CI81" s="2">
        <v>1</v>
      </c>
      <c r="CJ81" s="2">
        <v>1</v>
      </c>
      <c r="CK81" s="2">
        <v>21</v>
      </c>
      <c r="CL81" s="2" t="s">
        <v>88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"FES1162504056"</f>
        <v>FES1162504056</v>
      </c>
      <c r="F82" s="3">
        <v>42646</v>
      </c>
      <c r="G82" s="2">
        <v>201704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160</v>
      </c>
      <c r="M82" s="2" t="s">
        <v>161</v>
      </c>
      <c r="N82" s="2" t="s">
        <v>302</v>
      </c>
      <c r="O82" s="2" t="s">
        <v>96</v>
      </c>
      <c r="P82" s="2" t="str">
        <f>"2170527840                    "</f>
        <v xml:space="preserve">2170527840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3.03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1</v>
      </c>
      <c r="BJ82" s="2">
        <v>0.2</v>
      </c>
      <c r="BK82" s="2">
        <v>1</v>
      </c>
      <c r="BL82" s="2">
        <v>40.47</v>
      </c>
      <c r="BM82" s="2">
        <v>5.67</v>
      </c>
      <c r="BN82" s="2">
        <v>46.14</v>
      </c>
      <c r="BO82" s="2">
        <v>46.14</v>
      </c>
      <c r="BP82" s="2"/>
      <c r="BQ82" s="2" t="s">
        <v>303</v>
      </c>
      <c r="BR82" s="2" t="s">
        <v>83</v>
      </c>
      <c r="BS82" s="3">
        <v>42647</v>
      </c>
      <c r="BT82" s="4">
        <v>0.37152777777777773</v>
      </c>
      <c r="BU82" s="2" t="s">
        <v>304</v>
      </c>
      <c r="BV82" s="2" t="s">
        <v>85</v>
      </c>
      <c r="BW82" s="2"/>
      <c r="BX82" s="2"/>
      <c r="BY82" s="2">
        <v>1200</v>
      </c>
      <c r="BZ82" s="2" t="s">
        <v>27</v>
      </c>
      <c r="CA82" s="2"/>
      <c r="CB82" s="2"/>
      <c r="CC82" s="2" t="s">
        <v>161</v>
      </c>
      <c r="CD82" s="2">
        <v>7530</v>
      </c>
      <c r="CE82" s="2" t="s">
        <v>108</v>
      </c>
      <c r="CF82" s="5">
        <v>42648</v>
      </c>
      <c r="CG82" s="2"/>
      <c r="CH82" s="2"/>
      <c r="CI82" s="2">
        <v>1</v>
      </c>
      <c r="CJ82" s="2">
        <v>1</v>
      </c>
      <c r="CK82" s="2">
        <v>21</v>
      </c>
      <c r="CL82" s="2" t="s">
        <v>88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"FES1162504068"</f>
        <v>FES1162504068</v>
      </c>
      <c r="F83" s="3">
        <v>42646</v>
      </c>
      <c r="G83" s="2">
        <v>201704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156</v>
      </c>
      <c r="M83" s="2" t="s">
        <v>157</v>
      </c>
      <c r="N83" s="2" t="s">
        <v>158</v>
      </c>
      <c r="O83" s="2" t="s">
        <v>96</v>
      </c>
      <c r="P83" s="2" t="str">
        <f>"2170527853                    "</f>
        <v xml:space="preserve">2170527853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5.31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3.2</v>
      </c>
      <c r="BJ83" s="2">
        <v>1.7</v>
      </c>
      <c r="BK83" s="2">
        <v>3.5</v>
      </c>
      <c r="BL83" s="2">
        <v>70.83</v>
      </c>
      <c r="BM83" s="2">
        <v>9.92</v>
      </c>
      <c r="BN83" s="2">
        <v>80.75</v>
      </c>
      <c r="BO83" s="2">
        <v>80.75</v>
      </c>
      <c r="BP83" s="2"/>
      <c r="BQ83" s="2" t="s">
        <v>91</v>
      </c>
      <c r="BR83" s="2" t="s">
        <v>83</v>
      </c>
      <c r="BS83" s="3">
        <v>42647</v>
      </c>
      <c r="BT83" s="4">
        <v>0.40972222222222227</v>
      </c>
      <c r="BU83" s="2" t="s">
        <v>159</v>
      </c>
      <c r="BV83" s="2" t="s">
        <v>85</v>
      </c>
      <c r="BW83" s="2"/>
      <c r="BX83" s="2"/>
      <c r="BY83" s="2">
        <v>8331.8700000000008</v>
      </c>
      <c r="BZ83" s="2" t="s">
        <v>27</v>
      </c>
      <c r="CA83" s="2" t="s">
        <v>129</v>
      </c>
      <c r="CB83" s="2"/>
      <c r="CC83" s="2" t="s">
        <v>157</v>
      </c>
      <c r="CD83" s="2">
        <v>7130</v>
      </c>
      <c r="CE83" s="2" t="s">
        <v>86</v>
      </c>
      <c r="CF83" s="5">
        <v>42648</v>
      </c>
      <c r="CG83" s="2"/>
      <c r="CH83" s="2"/>
      <c r="CI83" s="2">
        <v>1</v>
      </c>
      <c r="CJ83" s="2">
        <v>1</v>
      </c>
      <c r="CK83" s="2">
        <v>21</v>
      </c>
      <c r="CL83" s="2" t="s">
        <v>88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"FES1162504074"</f>
        <v>FES1162504074</v>
      </c>
      <c r="F84" s="3">
        <v>42646</v>
      </c>
      <c r="G84" s="2">
        <v>201704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156</v>
      </c>
      <c r="M84" s="2" t="s">
        <v>157</v>
      </c>
      <c r="N84" s="2" t="s">
        <v>158</v>
      </c>
      <c r="O84" s="2" t="s">
        <v>96</v>
      </c>
      <c r="P84" s="2" t="str">
        <f>"2170527855                    "</f>
        <v xml:space="preserve">2170527855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6.07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3.7</v>
      </c>
      <c r="BJ84" s="2">
        <v>1.7</v>
      </c>
      <c r="BK84" s="2">
        <v>4</v>
      </c>
      <c r="BL84" s="2">
        <v>80.95</v>
      </c>
      <c r="BM84" s="2">
        <v>11.33</v>
      </c>
      <c r="BN84" s="2">
        <v>92.28</v>
      </c>
      <c r="BO84" s="2">
        <v>92.28</v>
      </c>
      <c r="BP84" s="2"/>
      <c r="BQ84" s="2" t="s">
        <v>91</v>
      </c>
      <c r="BR84" s="2" t="s">
        <v>83</v>
      </c>
      <c r="BS84" s="3">
        <v>42647</v>
      </c>
      <c r="BT84" s="4">
        <v>0.40972222222222227</v>
      </c>
      <c r="BU84" s="2" t="s">
        <v>159</v>
      </c>
      <c r="BV84" s="2" t="s">
        <v>85</v>
      </c>
      <c r="BW84" s="2"/>
      <c r="BX84" s="2"/>
      <c r="BY84" s="2">
        <v>8396.08</v>
      </c>
      <c r="BZ84" s="2" t="s">
        <v>27</v>
      </c>
      <c r="CA84" s="2" t="s">
        <v>129</v>
      </c>
      <c r="CB84" s="2"/>
      <c r="CC84" s="2" t="s">
        <v>157</v>
      </c>
      <c r="CD84" s="2">
        <v>7130</v>
      </c>
      <c r="CE84" s="2" t="s">
        <v>86</v>
      </c>
      <c r="CF84" s="5">
        <v>42648</v>
      </c>
      <c r="CG84" s="2"/>
      <c r="CH84" s="2"/>
      <c r="CI84" s="2">
        <v>1</v>
      </c>
      <c r="CJ84" s="2">
        <v>1</v>
      </c>
      <c r="CK84" s="2">
        <v>21</v>
      </c>
      <c r="CL84" s="2" t="s">
        <v>88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"FES1162499327"</f>
        <v>FES1162499327</v>
      </c>
      <c r="F85" s="3">
        <v>42646</v>
      </c>
      <c r="G85" s="2">
        <v>201704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148</v>
      </c>
      <c r="M85" s="2" t="s">
        <v>149</v>
      </c>
      <c r="N85" s="2" t="s">
        <v>296</v>
      </c>
      <c r="O85" s="2" t="s">
        <v>96</v>
      </c>
      <c r="P85" s="2" t="str">
        <f>"2170515914                    "</f>
        <v xml:space="preserve">2170515914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7.58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5</v>
      </c>
      <c r="BJ85" s="2">
        <v>3.8</v>
      </c>
      <c r="BK85" s="2">
        <v>5</v>
      </c>
      <c r="BL85" s="2">
        <v>101.18</v>
      </c>
      <c r="BM85" s="2">
        <v>14.17</v>
      </c>
      <c r="BN85" s="2">
        <v>115.35</v>
      </c>
      <c r="BO85" s="2">
        <v>115.35</v>
      </c>
      <c r="BP85" s="2"/>
      <c r="BQ85" s="2" t="s">
        <v>168</v>
      </c>
      <c r="BR85" s="2" t="s">
        <v>83</v>
      </c>
      <c r="BS85" s="3">
        <v>42647</v>
      </c>
      <c r="BT85" s="4">
        <v>0.34722222222222227</v>
      </c>
      <c r="BU85" s="2" t="s">
        <v>297</v>
      </c>
      <c r="BV85" s="2" t="s">
        <v>85</v>
      </c>
      <c r="BW85" s="2"/>
      <c r="BX85" s="2"/>
      <c r="BY85" s="2">
        <v>19157.990000000002</v>
      </c>
      <c r="BZ85" s="2" t="s">
        <v>27</v>
      </c>
      <c r="CA85" s="2"/>
      <c r="CB85" s="2"/>
      <c r="CC85" s="2" t="s">
        <v>149</v>
      </c>
      <c r="CD85" s="2">
        <v>4001</v>
      </c>
      <c r="CE85" s="2" t="s">
        <v>86</v>
      </c>
      <c r="CF85" s="5">
        <v>42648</v>
      </c>
      <c r="CG85" s="2"/>
      <c r="CH85" s="2"/>
      <c r="CI85" s="2">
        <v>1</v>
      </c>
      <c r="CJ85" s="2">
        <v>1</v>
      </c>
      <c r="CK85" s="2">
        <v>21</v>
      </c>
      <c r="CL85" s="2" t="s">
        <v>88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"FES1162503909"</f>
        <v>FES1162503909</v>
      </c>
      <c r="F86" s="3">
        <v>42646</v>
      </c>
      <c r="G86" s="2">
        <v>201704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98</v>
      </c>
      <c r="M86" s="2" t="s">
        <v>99</v>
      </c>
      <c r="N86" s="2" t="s">
        <v>109</v>
      </c>
      <c r="O86" s="2" t="s">
        <v>96</v>
      </c>
      <c r="P86" s="2" t="str">
        <f>"2170526252                    "</f>
        <v xml:space="preserve">2170526252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6.82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4.0999999999999996</v>
      </c>
      <c r="BJ86" s="2">
        <v>1.9</v>
      </c>
      <c r="BK86" s="2">
        <v>4.5</v>
      </c>
      <c r="BL86" s="2">
        <v>91.06</v>
      </c>
      <c r="BM86" s="2">
        <v>12.75</v>
      </c>
      <c r="BN86" s="2">
        <v>103.81</v>
      </c>
      <c r="BO86" s="2">
        <v>103.81</v>
      </c>
      <c r="BP86" s="2"/>
      <c r="BQ86" s="2" t="s">
        <v>110</v>
      </c>
      <c r="BR86" s="2" t="s">
        <v>83</v>
      </c>
      <c r="BS86" s="3">
        <v>42647</v>
      </c>
      <c r="BT86" s="4">
        <v>0.37152777777777773</v>
      </c>
      <c r="BU86" s="2" t="s">
        <v>111</v>
      </c>
      <c r="BV86" s="2" t="s">
        <v>85</v>
      </c>
      <c r="BW86" s="2"/>
      <c r="BX86" s="2"/>
      <c r="BY86" s="2">
        <v>9557.34</v>
      </c>
      <c r="BZ86" s="2" t="s">
        <v>27</v>
      </c>
      <c r="CA86" s="2" t="s">
        <v>107</v>
      </c>
      <c r="CB86" s="2"/>
      <c r="CC86" s="2" t="s">
        <v>99</v>
      </c>
      <c r="CD86" s="2">
        <v>6001</v>
      </c>
      <c r="CE86" s="2" t="s">
        <v>108</v>
      </c>
      <c r="CF86" s="5">
        <v>42647</v>
      </c>
      <c r="CG86" s="2"/>
      <c r="CH86" s="2"/>
      <c r="CI86" s="2">
        <v>1</v>
      </c>
      <c r="CJ86" s="2">
        <v>1</v>
      </c>
      <c r="CK86" s="2">
        <v>21</v>
      </c>
      <c r="CL86" s="2" t="s">
        <v>88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"FES1162504070"</f>
        <v>FES1162504070</v>
      </c>
      <c r="F87" s="3">
        <v>42646</v>
      </c>
      <c r="G87" s="2">
        <v>201704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143</v>
      </c>
      <c r="M87" s="2" t="s">
        <v>144</v>
      </c>
      <c r="N87" s="2" t="s">
        <v>216</v>
      </c>
      <c r="O87" s="2" t="s">
        <v>96</v>
      </c>
      <c r="P87" s="2" t="str">
        <f>"2170527752                    "</f>
        <v xml:space="preserve">2170527752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3.03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1</v>
      </c>
      <c r="BJ87" s="2">
        <v>0.2</v>
      </c>
      <c r="BK87" s="2">
        <v>1</v>
      </c>
      <c r="BL87" s="2">
        <v>40.47</v>
      </c>
      <c r="BM87" s="2">
        <v>5.67</v>
      </c>
      <c r="BN87" s="2">
        <v>46.14</v>
      </c>
      <c r="BO87" s="2">
        <v>46.14</v>
      </c>
      <c r="BP87" s="2"/>
      <c r="BQ87" s="2" t="s">
        <v>91</v>
      </c>
      <c r="BR87" s="2" t="s">
        <v>83</v>
      </c>
      <c r="BS87" s="3">
        <v>42647</v>
      </c>
      <c r="BT87" s="4">
        <v>0.4375</v>
      </c>
      <c r="BU87" s="2" t="s">
        <v>217</v>
      </c>
      <c r="BV87" s="2" t="s">
        <v>85</v>
      </c>
      <c r="BW87" s="2"/>
      <c r="BX87" s="2"/>
      <c r="BY87" s="2">
        <v>1200</v>
      </c>
      <c r="BZ87" s="2" t="s">
        <v>27</v>
      </c>
      <c r="CA87" s="2"/>
      <c r="CB87" s="2"/>
      <c r="CC87" s="2" t="s">
        <v>144</v>
      </c>
      <c r="CD87" s="2">
        <v>5201</v>
      </c>
      <c r="CE87" s="2" t="s">
        <v>108</v>
      </c>
      <c r="CF87" s="5">
        <v>42649</v>
      </c>
      <c r="CG87" s="2"/>
      <c r="CH87" s="2"/>
      <c r="CI87" s="2">
        <v>1</v>
      </c>
      <c r="CJ87" s="2">
        <v>1</v>
      </c>
      <c r="CK87" s="2">
        <v>21</v>
      </c>
      <c r="CL87" s="2" t="s">
        <v>88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"FES1162503992"</f>
        <v>FES1162503992</v>
      </c>
      <c r="F88" s="3">
        <v>42646</v>
      </c>
      <c r="G88" s="2">
        <v>201704</v>
      </c>
      <c r="H88" s="2" t="s">
        <v>74</v>
      </c>
      <c r="I88" s="2" t="s">
        <v>75</v>
      </c>
      <c r="J88" s="2" t="s">
        <v>76</v>
      </c>
      <c r="K88" s="2" t="s">
        <v>77</v>
      </c>
      <c r="L88" s="2" t="s">
        <v>305</v>
      </c>
      <c r="M88" s="2" t="s">
        <v>306</v>
      </c>
      <c r="N88" s="2" t="s">
        <v>307</v>
      </c>
      <c r="O88" s="2" t="s">
        <v>96</v>
      </c>
      <c r="P88" s="2" t="str">
        <f>"2170527782                    "</f>
        <v xml:space="preserve">2170527782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8.5299999999999994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2.4</v>
      </c>
      <c r="BJ88" s="2">
        <v>3</v>
      </c>
      <c r="BK88" s="2">
        <v>3</v>
      </c>
      <c r="BL88" s="2">
        <v>113.83</v>
      </c>
      <c r="BM88" s="2">
        <v>15.94</v>
      </c>
      <c r="BN88" s="2">
        <v>129.77000000000001</v>
      </c>
      <c r="BO88" s="2">
        <v>129.77000000000001</v>
      </c>
      <c r="BP88" s="2"/>
      <c r="BQ88" s="2" t="s">
        <v>308</v>
      </c>
      <c r="BR88" s="2" t="s">
        <v>83</v>
      </c>
      <c r="BS88" s="3">
        <v>42647</v>
      </c>
      <c r="BT88" s="4">
        <v>0.59722222222222221</v>
      </c>
      <c r="BU88" s="2" t="s">
        <v>309</v>
      </c>
      <c r="BV88" s="2" t="s">
        <v>85</v>
      </c>
      <c r="BW88" s="2"/>
      <c r="BX88" s="2"/>
      <c r="BY88" s="2">
        <v>14978.93</v>
      </c>
      <c r="BZ88" s="2"/>
      <c r="CA88" s="2"/>
      <c r="CB88" s="2"/>
      <c r="CC88" s="2" t="s">
        <v>306</v>
      </c>
      <c r="CD88" s="2">
        <v>6139</v>
      </c>
      <c r="CE88" s="2" t="s">
        <v>108</v>
      </c>
      <c r="CF88" s="5">
        <v>42653</v>
      </c>
      <c r="CG88" s="2"/>
      <c r="CH88" s="2"/>
      <c r="CI88" s="2">
        <v>3</v>
      </c>
      <c r="CJ88" s="2">
        <v>1</v>
      </c>
      <c r="CK88" s="2">
        <v>23</v>
      </c>
      <c r="CL88" s="2" t="s">
        <v>88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"FES1162504021"</f>
        <v>FES1162504021</v>
      </c>
      <c r="F89" s="3">
        <v>42646</v>
      </c>
      <c r="G89" s="2">
        <v>201704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137</v>
      </c>
      <c r="M89" s="2" t="s">
        <v>138</v>
      </c>
      <c r="N89" s="2" t="s">
        <v>167</v>
      </c>
      <c r="O89" s="2" t="s">
        <v>96</v>
      </c>
      <c r="P89" s="2" t="str">
        <f>"2170524846                    "</f>
        <v xml:space="preserve">2170524846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40.94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27</v>
      </c>
      <c r="BJ89" s="2">
        <v>12.3</v>
      </c>
      <c r="BK89" s="2">
        <v>27</v>
      </c>
      <c r="BL89" s="2">
        <v>546.38</v>
      </c>
      <c r="BM89" s="2">
        <v>76.489999999999995</v>
      </c>
      <c r="BN89" s="2">
        <v>622.87</v>
      </c>
      <c r="BO89" s="2">
        <v>622.87</v>
      </c>
      <c r="BP89" s="2"/>
      <c r="BQ89" s="2" t="s">
        <v>168</v>
      </c>
      <c r="BR89" s="2" t="s">
        <v>83</v>
      </c>
      <c r="BS89" s="3">
        <v>42647</v>
      </c>
      <c r="BT89" s="4">
        <v>0.37916666666666665</v>
      </c>
      <c r="BU89" s="2" t="s">
        <v>169</v>
      </c>
      <c r="BV89" s="2" t="s">
        <v>85</v>
      </c>
      <c r="BW89" s="2"/>
      <c r="BX89" s="2"/>
      <c r="BY89" s="2">
        <v>61712</v>
      </c>
      <c r="BZ89" s="2" t="s">
        <v>27</v>
      </c>
      <c r="CA89" s="2" t="s">
        <v>170</v>
      </c>
      <c r="CB89" s="2"/>
      <c r="CC89" s="2" t="s">
        <v>138</v>
      </c>
      <c r="CD89" s="2">
        <v>3201</v>
      </c>
      <c r="CE89" s="2" t="s">
        <v>86</v>
      </c>
      <c r="CF89" s="5">
        <v>42647</v>
      </c>
      <c r="CG89" s="2"/>
      <c r="CH89" s="2"/>
      <c r="CI89" s="2">
        <v>1</v>
      </c>
      <c r="CJ89" s="2">
        <v>1</v>
      </c>
      <c r="CK89" s="2">
        <v>21</v>
      </c>
      <c r="CL89" s="2" t="s">
        <v>88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"FES1162504022"</f>
        <v>FES1162504022</v>
      </c>
      <c r="F90" s="3">
        <v>42646</v>
      </c>
      <c r="G90" s="2">
        <v>201704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310</v>
      </c>
      <c r="M90" s="2" t="s">
        <v>311</v>
      </c>
      <c r="N90" s="2" t="s">
        <v>312</v>
      </c>
      <c r="O90" s="2" t="s">
        <v>96</v>
      </c>
      <c r="P90" s="2" t="str">
        <f>"2170524859                    "</f>
        <v xml:space="preserve">2170524859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125.29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2</v>
      </c>
      <c r="BI90" s="2">
        <v>16.399999999999999</v>
      </c>
      <c r="BJ90" s="2">
        <v>46.9</v>
      </c>
      <c r="BK90" s="2">
        <v>47</v>
      </c>
      <c r="BL90" s="2">
        <v>1672.03</v>
      </c>
      <c r="BM90" s="2">
        <v>234.08</v>
      </c>
      <c r="BN90" s="2">
        <v>1906.11</v>
      </c>
      <c r="BO90" s="2">
        <v>1906.11</v>
      </c>
      <c r="BP90" s="2"/>
      <c r="BQ90" s="2" t="s">
        <v>168</v>
      </c>
      <c r="BR90" s="2" t="s">
        <v>83</v>
      </c>
      <c r="BS90" s="3">
        <v>42647</v>
      </c>
      <c r="BT90" s="4">
        <v>0.54861111111111105</v>
      </c>
      <c r="BU90" s="2" t="s">
        <v>313</v>
      </c>
      <c r="BV90" s="2" t="s">
        <v>85</v>
      </c>
      <c r="BW90" s="2"/>
      <c r="BX90" s="2"/>
      <c r="BY90" s="2">
        <v>234746.81</v>
      </c>
      <c r="BZ90" s="2" t="s">
        <v>27</v>
      </c>
      <c r="CA90" s="2"/>
      <c r="CB90" s="2"/>
      <c r="CC90" s="2" t="s">
        <v>311</v>
      </c>
      <c r="CD90" s="2">
        <v>4170</v>
      </c>
      <c r="CE90" s="2" t="s">
        <v>257</v>
      </c>
      <c r="CF90" s="5">
        <v>42648</v>
      </c>
      <c r="CG90" s="2"/>
      <c r="CH90" s="2"/>
      <c r="CI90" s="2">
        <v>1</v>
      </c>
      <c r="CJ90" s="2">
        <v>1</v>
      </c>
      <c r="CK90" s="2">
        <v>23</v>
      </c>
      <c r="CL90" s="2" t="s">
        <v>88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"FES1162503910"</f>
        <v>FES1162503910</v>
      </c>
      <c r="F91" s="3">
        <v>42646</v>
      </c>
      <c r="G91" s="2">
        <v>201704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98</v>
      </c>
      <c r="M91" s="2" t="s">
        <v>99</v>
      </c>
      <c r="N91" s="2" t="s">
        <v>109</v>
      </c>
      <c r="O91" s="2" t="s">
        <v>96</v>
      </c>
      <c r="P91" s="2" t="str">
        <f>"2170524700                    "</f>
        <v xml:space="preserve">2170524700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12.13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2</v>
      </c>
      <c r="BJ91" s="2">
        <v>7.7</v>
      </c>
      <c r="BK91" s="2">
        <v>8</v>
      </c>
      <c r="BL91" s="2">
        <v>161.88999999999999</v>
      </c>
      <c r="BM91" s="2">
        <v>22.66</v>
      </c>
      <c r="BN91" s="2">
        <v>184.55</v>
      </c>
      <c r="BO91" s="2">
        <v>184.55</v>
      </c>
      <c r="BP91" s="2"/>
      <c r="BQ91" s="2" t="s">
        <v>110</v>
      </c>
      <c r="BR91" s="2" t="s">
        <v>83</v>
      </c>
      <c r="BS91" s="3">
        <v>42647</v>
      </c>
      <c r="BT91" s="4">
        <v>0.37152777777777773</v>
      </c>
      <c r="BU91" s="2" t="s">
        <v>111</v>
      </c>
      <c r="BV91" s="2" t="s">
        <v>85</v>
      </c>
      <c r="BW91" s="2"/>
      <c r="BX91" s="2"/>
      <c r="BY91" s="2">
        <v>38718</v>
      </c>
      <c r="BZ91" s="2" t="s">
        <v>27</v>
      </c>
      <c r="CA91" s="2" t="s">
        <v>107</v>
      </c>
      <c r="CB91" s="2"/>
      <c r="CC91" s="2" t="s">
        <v>99</v>
      </c>
      <c r="CD91" s="2">
        <v>6001</v>
      </c>
      <c r="CE91" s="2" t="s">
        <v>86</v>
      </c>
      <c r="CF91" s="5">
        <v>42647</v>
      </c>
      <c r="CG91" s="2"/>
      <c r="CH91" s="2"/>
      <c r="CI91" s="2">
        <v>1</v>
      </c>
      <c r="CJ91" s="2">
        <v>1</v>
      </c>
      <c r="CK91" s="2">
        <v>21</v>
      </c>
      <c r="CL91" s="2" t="s">
        <v>88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"FES1162504030"</f>
        <v>FES1162504030</v>
      </c>
      <c r="F92" s="3">
        <v>42646</v>
      </c>
      <c r="G92" s="2">
        <v>201704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160</v>
      </c>
      <c r="M92" s="2" t="s">
        <v>161</v>
      </c>
      <c r="N92" s="2" t="s">
        <v>314</v>
      </c>
      <c r="O92" s="2" t="s">
        <v>96</v>
      </c>
      <c r="P92" s="2" t="str">
        <f>"2170525547                    "</f>
        <v xml:space="preserve">2170525547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12.89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8.1999999999999993</v>
      </c>
      <c r="BJ92" s="2">
        <v>7.5</v>
      </c>
      <c r="BK92" s="2">
        <v>8.5</v>
      </c>
      <c r="BL92" s="2">
        <v>172.01</v>
      </c>
      <c r="BM92" s="2">
        <v>24.08</v>
      </c>
      <c r="BN92" s="2">
        <v>196.09</v>
      </c>
      <c r="BO92" s="2">
        <v>196.09</v>
      </c>
      <c r="BP92" s="2"/>
      <c r="BQ92" s="2"/>
      <c r="BR92" s="2" t="s">
        <v>83</v>
      </c>
      <c r="BS92" s="3">
        <v>42647</v>
      </c>
      <c r="BT92" s="4">
        <v>0.39583333333333331</v>
      </c>
      <c r="BU92" s="2" t="s">
        <v>315</v>
      </c>
      <c r="BV92" s="2" t="s">
        <v>85</v>
      </c>
      <c r="BW92" s="2"/>
      <c r="BX92" s="2"/>
      <c r="BY92" s="2">
        <v>37614.06</v>
      </c>
      <c r="BZ92" s="2" t="s">
        <v>27</v>
      </c>
      <c r="CA92" s="2" t="s">
        <v>316</v>
      </c>
      <c r="CB92" s="2"/>
      <c r="CC92" s="2" t="s">
        <v>161</v>
      </c>
      <c r="CD92" s="2">
        <v>7550</v>
      </c>
      <c r="CE92" s="2" t="s">
        <v>86</v>
      </c>
      <c r="CF92" s="5">
        <v>42647</v>
      </c>
      <c r="CG92" s="2"/>
      <c r="CH92" s="2"/>
      <c r="CI92" s="2">
        <v>1</v>
      </c>
      <c r="CJ92" s="2">
        <v>1</v>
      </c>
      <c r="CK92" s="2">
        <v>21</v>
      </c>
      <c r="CL92" s="2" t="s">
        <v>88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"FES1162504026"</f>
        <v>FES1162504026</v>
      </c>
      <c r="F93" s="3">
        <v>42646</v>
      </c>
      <c r="G93" s="2">
        <v>201704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153</v>
      </c>
      <c r="M93" s="2" t="s">
        <v>153</v>
      </c>
      <c r="N93" s="2" t="s">
        <v>200</v>
      </c>
      <c r="O93" s="2" t="s">
        <v>96</v>
      </c>
      <c r="P93" s="2" t="str">
        <f>"2170525213                    "</f>
        <v xml:space="preserve">2170525213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13.65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4</v>
      </c>
      <c r="BJ93" s="2">
        <v>8.8000000000000007</v>
      </c>
      <c r="BK93" s="2">
        <v>9</v>
      </c>
      <c r="BL93" s="2">
        <v>182.13</v>
      </c>
      <c r="BM93" s="2">
        <v>25.5</v>
      </c>
      <c r="BN93" s="2">
        <v>207.63</v>
      </c>
      <c r="BO93" s="2">
        <v>207.63</v>
      </c>
      <c r="BP93" s="2"/>
      <c r="BQ93" s="2" t="s">
        <v>201</v>
      </c>
      <c r="BR93" s="2" t="s">
        <v>83</v>
      </c>
      <c r="BS93" s="3">
        <v>42647</v>
      </c>
      <c r="BT93" s="4">
        <v>0.56736111111111109</v>
      </c>
      <c r="BU93" s="2" t="s">
        <v>202</v>
      </c>
      <c r="BV93" s="2" t="s">
        <v>85</v>
      </c>
      <c r="BW93" s="2"/>
      <c r="BX93" s="2"/>
      <c r="BY93" s="2">
        <v>44091.88</v>
      </c>
      <c r="BZ93" s="2" t="s">
        <v>27</v>
      </c>
      <c r="CA93" s="2"/>
      <c r="CB93" s="2"/>
      <c r="CC93" s="2" t="s">
        <v>153</v>
      </c>
      <c r="CD93" s="2">
        <v>7646</v>
      </c>
      <c r="CE93" s="2" t="s">
        <v>86</v>
      </c>
      <c r="CF93" s="5">
        <v>42648</v>
      </c>
      <c r="CG93" s="2"/>
      <c r="CH93" s="2"/>
      <c r="CI93" s="2">
        <v>1</v>
      </c>
      <c r="CJ93" s="2">
        <v>1</v>
      </c>
      <c r="CK93" s="2">
        <v>21</v>
      </c>
      <c r="CL93" s="2" t="s">
        <v>88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"FES1162504027"</f>
        <v>FES1162504027</v>
      </c>
      <c r="F94" s="3">
        <v>42646</v>
      </c>
      <c r="G94" s="2">
        <v>201704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143</v>
      </c>
      <c r="M94" s="2" t="s">
        <v>144</v>
      </c>
      <c r="N94" s="2" t="s">
        <v>317</v>
      </c>
      <c r="O94" s="2" t="s">
        <v>96</v>
      </c>
      <c r="P94" s="2" t="str">
        <f>"2170525343                    "</f>
        <v xml:space="preserve">2170525343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24.26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16</v>
      </c>
      <c r="BJ94" s="2">
        <v>10.4</v>
      </c>
      <c r="BK94" s="2">
        <v>16</v>
      </c>
      <c r="BL94" s="2">
        <v>323.77999999999997</v>
      </c>
      <c r="BM94" s="2">
        <v>45.33</v>
      </c>
      <c r="BN94" s="2">
        <v>369.11</v>
      </c>
      <c r="BO94" s="2">
        <v>369.11</v>
      </c>
      <c r="BP94" s="2"/>
      <c r="BQ94" s="2" t="s">
        <v>318</v>
      </c>
      <c r="BR94" s="2" t="s">
        <v>83</v>
      </c>
      <c r="BS94" s="3">
        <v>42647</v>
      </c>
      <c r="BT94" s="4">
        <v>0.4375</v>
      </c>
      <c r="BU94" s="2" t="s">
        <v>319</v>
      </c>
      <c r="BV94" s="2"/>
      <c r="BW94" s="2"/>
      <c r="BX94" s="2"/>
      <c r="BY94" s="2">
        <v>52123.5</v>
      </c>
      <c r="BZ94" s="2" t="s">
        <v>27</v>
      </c>
      <c r="CA94" s="2"/>
      <c r="CB94" s="2"/>
      <c r="CC94" s="2" t="s">
        <v>144</v>
      </c>
      <c r="CD94" s="2">
        <v>5200</v>
      </c>
      <c r="CE94" s="2" t="s">
        <v>86</v>
      </c>
      <c r="CF94" s="5">
        <v>42649</v>
      </c>
      <c r="CG94" s="2"/>
      <c r="CH94" s="2"/>
      <c r="CI94" s="2">
        <v>0</v>
      </c>
      <c r="CJ94" s="2">
        <v>0</v>
      </c>
      <c r="CK94" s="2">
        <v>21</v>
      </c>
      <c r="CL94" s="2" t="s">
        <v>88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"FES1162503986"</f>
        <v>FES1162503986</v>
      </c>
      <c r="F95" s="3">
        <v>42646</v>
      </c>
      <c r="G95" s="2">
        <v>201704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148</v>
      </c>
      <c r="M95" s="2" t="s">
        <v>149</v>
      </c>
      <c r="N95" s="2" t="s">
        <v>320</v>
      </c>
      <c r="O95" s="2" t="s">
        <v>96</v>
      </c>
      <c r="P95" s="2" t="str">
        <f>"2170527705                    "</f>
        <v xml:space="preserve">2170527705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3.03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1</v>
      </c>
      <c r="BJ95" s="2">
        <v>0.2</v>
      </c>
      <c r="BK95" s="2">
        <v>1</v>
      </c>
      <c r="BL95" s="2">
        <v>40.47</v>
      </c>
      <c r="BM95" s="2">
        <v>5.67</v>
      </c>
      <c r="BN95" s="2">
        <v>46.14</v>
      </c>
      <c r="BO95" s="2">
        <v>46.14</v>
      </c>
      <c r="BP95" s="2"/>
      <c r="BQ95" s="2" t="s">
        <v>91</v>
      </c>
      <c r="BR95" s="2" t="s">
        <v>83</v>
      </c>
      <c r="BS95" s="3">
        <v>42647</v>
      </c>
      <c r="BT95" s="4">
        <v>0.4375</v>
      </c>
      <c r="BU95" s="2" t="s">
        <v>321</v>
      </c>
      <c r="BV95" s="2" t="s">
        <v>85</v>
      </c>
      <c r="BW95" s="2"/>
      <c r="BX95" s="2"/>
      <c r="BY95" s="2">
        <v>1200</v>
      </c>
      <c r="BZ95" s="2" t="s">
        <v>27</v>
      </c>
      <c r="CA95" s="2" t="s">
        <v>129</v>
      </c>
      <c r="CB95" s="2"/>
      <c r="CC95" s="2" t="s">
        <v>149</v>
      </c>
      <c r="CD95" s="2">
        <v>4052</v>
      </c>
      <c r="CE95" s="2" t="s">
        <v>108</v>
      </c>
      <c r="CF95" s="5">
        <v>42648</v>
      </c>
      <c r="CG95" s="2"/>
      <c r="CH95" s="2"/>
      <c r="CI95" s="2">
        <v>1</v>
      </c>
      <c r="CJ95" s="2">
        <v>1</v>
      </c>
      <c r="CK95" s="2">
        <v>21</v>
      </c>
      <c r="CL95" s="2" t="s">
        <v>88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"FES1162504034"</f>
        <v>FES1162504034</v>
      </c>
      <c r="F96" s="3">
        <v>42646</v>
      </c>
      <c r="G96" s="2">
        <v>201704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143</v>
      </c>
      <c r="M96" s="2" t="s">
        <v>144</v>
      </c>
      <c r="N96" s="2" t="s">
        <v>317</v>
      </c>
      <c r="O96" s="2" t="s">
        <v>96</v>
      </c>
      <c r="P96" s="2" t="str">
        <f>"2170527813                    "</f>
        <v xml:space="preserve">2170527813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3.03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1</v>
      </c>
      <c r="BJ96" s="2">
        <v>0.2</v>
      </c>
      <c r="BK96" s="2">
        <v>1</v>
      </c>
      <c r="BL96" s="2">
        <v>40.47</v>
      </c>
      <c r="BM96" s="2">
        <v>5.67</v>
      </c>
      <c r="BN96" s="2">
        <v>46.14</v>
      </c>
      <c r="BO96" s="2">
        <v>46.14</v>
      </c>
      <c r="BP96" s="2"/>
      <c r="BQ96" s="2" t="s">
        <v>318</v>
      </c>
      <c r="BR96" s="2" t="s">
        <v>83</v>
      </c>
      <c r="BS96" s="3">
        <v>42647</v>
      </c>
      <c r="BT96" s="4">
        <v>0.4375</v>
      </c>
      <c r="BU96" s="2" t="s">
        <v>322</v>
      </c>
      <c r="BV96" s="2"/>
      <c r="BW96" s="2"/>
      <c r="BX96" s="2"/>
      <c r="BY96" s="2">
        <v>1200</v>
      </c>
      <c r="BZ96" s="2" t="s">
        <v>27</v>
      </c>
      <c r="CA96" s="2"/>
      <c r="CB96" s="2"/>
      <c r="CC96" s="2" t="s">
        <v>144</v>
      </c>
      <c r="CD96" s="2">
        <v>5200</v>
      </c>
      <c r="CE96" s="2" t="s">
        <v>108</v>
      </c>
      <c r="CF96" s="5">
        <v>42649</v>
      </c>
      <c r="CG96" s="2"/>
      <c r="CH96" s="2"/>
      <c r="CI96" s="2">
        <v>0</v>
      </c>
      <c r="CJ96" s="2">
        <v>0</v>
      </c>
      <c r="CK96" s="2">
        <v>21</v>
      </c>
      <c r="CL96" s="2" t="s">
        <v>88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"FES1162504044"</f>
        <v>FES1162504044</v>
      </c>
      <c r="F97" s="3">
        <v>42646</v>
      </c>
      <c r="G97" s="2">
        <v>201704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98</v>
      </c>
      <c r="M97" s="2" t="s">
        <v>99</v>
      </c>
      <c r="N97" s="2" t="s">
        <v>224</v>
      </c>
      <c r="O97" s="2" t="s">
        <v>96</v>
      </c>
      <c r="P97" s="2" t="str">
        <f>"2170527829                    "</f>
        <v xml:space="preserve">2170527829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3.03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1</v>
      </c>
      <c r="BJ97" s="2">
        <v>0.2</v>
      </c>
      <c r="BK97" s="2">
        <v>1</v>
      </c>
      <c r="BL97" s="2">
        <v>40.47</v>
      </c>
      <c r="BM97" s="2">
        <v>5.67</v>
      </c>
      <c r="BN97" s="2">
        <v>46.14</v>
      </c>
      <c r="BO97" s="2">
        <v>46.14</v>
      </c>
      <c r="BP97" s="2"/>
      <c r="BQ97" s="2" t="s">
        <v>225</v>
      </c>
      <c r="BR97" s="2" t="s">
        <v>83</v>
      </c>
      <c r="BS97" s="3">
        <v>42647</v>
      </c>
      <c r="BT97" s="4">
        <v>0.31944444444444448</v>
      </c>
      <c r="BU97" s="2" t="s">
        <v>226</v>
      </c>
      <c r="BV97" s="2" t="s">
        <v>85</v>
      </c>
      <c r="BW97" s="2"/>
      <c r="BX97" s="2"/>
      <c r="BY97" s="2">
        <v>1200</v>
      </c>
      <c r="BZ97" s="2" t="s">
        <v>27</v>
      </c>
      <c r="CA97" s="2" t="s">
        <v>136</v>
      </c>
      <c r="CB97" s="2"/>
      <c r="CC97" s="2" t="s">
        <v>99</v>
      </c>
      <c r="CD97" s="2">
        <v>6001</v>
      </c>
      <c r="CE97" s="2" t="s">
        <v>108</v>
      </c>
      <c r="CF97" s="5">
        <v>42647</v>
      </c>
      <c r="CG97" s="2"/>
      <c r="CH97" s="2"/>
      <c r="CI97" s="2">
        <v>1</v>
      </c>
      <c r="CJ97" s="2">
        <v>1</v>
      </c>
      <c r="CK97" s="2">
        <v>21</v>
      </c>
      <c r="CL97" s="2" t="s">
        <v>88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"FES1162504046"</f>
        <v>FES1162504046</v>
      </c>
      <c r="F98" s="3">
        <v>42646</v>
      </c>
      <c r="G98" s="2">
        <v>201704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323</v>
      </c>
      <c r="M98" s="2" t="s">
        <v>324</v>
      </c>
      <c r="N98" s="2" t="s">
        <v>325</v>
      </c>
      <c r="O98" s="2" t="s">
        <v>96</v>
      </c>
      <c r="P98" s="2" t="str">
        <f>"2170527833                    "</f>
        <v xml:space="preserve">2170527833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4.55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3</v>
      </c>
      <c r="BJ98" s="2">
        <v>0.2</v>
      </c>
      <c r="BK98" s="2">
        <v>3</v>
      </c>
      <c r="BL98" s="2">
        <v>60.71</v>
      </c>
      <c r="BM98" s="2">
        <v>8.5</v>
      </c>
      <c r="BN98" s="2">
        <v>69.209999999999994</v>
      </c>
      <c r="BO98" s="2">
        <v>69.209999999999994</v>
      </c>
      <c r="BP98" s="2"/>
      <c r="BQ98" s="2" t="s">
        <v>117</v>
      </c>
      <c r="BR98" s="2" t="s">
        <v>83</v>
      </c>
      <c r="BS98" s="3">
        <v>42647</v>
      </c>
      <c r="BT98" s="4">
        <v>0.41666666666666669</v>
      </c>
      <c r="BU98" s="2" t="s">
        <v>326</v>
      </c>
      <c r="BV98" s="2"/>
      <c r="BW98" s="2"/>
      <c r="BX98" s="2"/>
      <c r="BY98" s="2">
        <v>1200</v>
      </c>
      <c r="BZ98" s="2" t="s">
        <v>27</v>
      </c>
      <c r="CA98" s="2"/>
      <c r="CB98" s="2"/>
      <c r="CC98" s="2" t="s">
        <v>324</v>
      </c>
      <c r="CD98" s="2">
        <v>9301</v>
      </c>
      <c r="CE98" s="2" t="s">
        <v>108</v>
      </c>
      <c r="CF98" s="5">
        <v>42648</v>
      </c>
      <c r="CG98" s="2"/>
      <c r="CH98" s="2"/>
      <c r="CI98" s="2">
        <v>0</v>
      </c>
      <c r="CJ98" s="2">
        <v>0</v>
      </c>
      <c r="CK98" s="2">
        <v>21</v>
      </c>
      <c r="CL98" s="2" t="s">
        <v>88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"FES1162504075"</f>
        <v>FES1162504075</v>
      </c>
      <c r="F99" s="3">
        <v>42646</v>
      </c>
      <c r="G99" s="2">
        <v>201704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119</v>
      </c>
      <c r="M99" s="2" t="s">
        <v>120</v>
      </c>
      <c r="N99" s="2" t="s">
        <v>186</v>
      </c>
      <c r="O99" s="2" t="s">
        <v>96</v>
      </c>
      <c r="P99" s="2" t="str">
        <f>"2170527857                    "</f>
        <v xml:space="preserve">2170527857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3.03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1</v>
      </c>
      <c r="BJ99" s="2">
        <v>1.3</v>
      </c>
      <c r="BK99" s="2">
        <v>1.5</v>
      </c>
      <c r="BL99" s="2">
        <v>40.47</v>
      </c>
      <c r="BM99" s="2">
        <v>5.67</v>
      </c>
      <c r="BN99" s="2">
        <v>46.14</v>
      </c>
      <c r="BO99" s="2">
        <v>46.14</v>
      </c>
      <c r="BP99" s="2"/>
      <c r="BQ99" s="2" t="s">
        <v>187</v>
      </c>
      <c r="BR99" s="2" t="s">
        <v>83</v>
      </c>
      <c r="BS99" s="3">
        <v>42647</v>
      </c>
      <c r="BT99" s="4">
        <v>0.3298611111111111</v>
      </c>
      <c r="BU99" s="2" t="s">
        <v>327</v>
      </c>
      <c r="BV99" s="2" t="s">
        <v>85</v>
      </c>
      <c r="BW99" s="2"/>
      <c r="BX99" s="2"/>
      <c r="BY99" s="2">
        <v>6620.04</v>
      </c>
      <c r="BZ99" s="2" t="s">
        <v>27</v>
      </c>
      <c r="CA99" s="2"/>
      <c r="CB99" s="2"/>
      <c r="CC99" s="2" t="s">
        <v>120</v>
      </c>
      <c r="CD99" s="2">
        <v>6229</v>
      </c>
      <c r="CE99" s="2" t="s">
        <v>108</v>
      </c>
      <c r="CF99" s="5">
        <v>42648</v>
      </c>
      <c r="CG99" s="2"/>
      <c r="CH99" s="2"/>
      <c r="CI99" s="2">
        <v>1</v>
      </c>
      <c r="CJ99" s="2">
        <v>1</v>
      </c>
      <c r="CK99" s="2">
        <v>21</v>
      </c>
      <c r="CL99" s="2" t="s">
        <v>88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"FES1162504038"</f>
        <v>FES1162504038</v>
      </c>
      <c r="F100" s="3">
        <v>42646</v>
      </c>
      <c r="G100" s="2">
        <v>201704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98</v>
      </c>
      <c r="M100" s="2" t="s">
        <v>99</v>
      </c>
      <c r="N100" s="2" t="s">
        <v>100</v>
      </c>
      <c r="O100" s="2" t="s">
        <v>96</v>
      </c>
      <c r="P100" s="2" t="str">
        <f>"2170525876                    "</f>
        <v xml:space="preserve">2170525876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3.03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1.5</v>
      </c>
      <c r="BK100" s="2">
        <v>1.5</v>
      </c>
      <c r="BL100" s="2">
        <v>40.47</v>
      </c>
      <c r="BM100" s="2">
        <v>5.67</v>
      </c>
      <c r="BN100" s="2">
        <v>46.14</v>
      </c>
      <c r="BO100" s="2">
        <v>46.14</v>
      </c>
      <c r="BP100" s="2"/>
      <c r="BQ100" s="2" t="s">
        <v>101</v>
      </c>
      <c r="BR100" s="2" t="s">
        <v>83</v>
      </c>
      <c r="BS100" s="3">
        <v>42647</v>
      </c>
      <c r="BT100" s="4">
        <v>0.375</v>
      </c>
      <c r="BU100" s="2" t="s">
        <v>328</v>
      </c>
      <c r="BV100" s="2" t="s">
        <v>85</v>
      </c>
      <c r="BW100" s="2"/>
      <c r="BX100" s="2"/>
      <c r="BY100" s="2">
        <v>7416.86</v>
      </c>
      <c r="BZ100" s="2" t="s">
        <v>27</v>
      </c>
      <c r="CA100" s="2" t="s">
        <v>329</v>
      </c>
      <c r="CB100" s="2"/>
      <c r="CC100" s="2" t="s">
        <v>99</v>
      </c>
      <c r="CD100" s="2">
        <v>6210</v>
      </c>
      <c r="CE100" s="2" t="s">
        <v>108</v>
      </c>
      <c r="CF100" s="5">
        <v>42648</v>
      </c>
      <c r="CG100" s="2"/>
      <c r="CH100" s="2"/>
      <c r="CI100" s="2">
        <v>1</v>
      </c>
      <c r="CJ100" s="2">
        <v>1</v>
      </c>
      <c r="CK100" s="2">
        <v>21</v>
      </c>
      <c r="CL100" s="2" t="s">
        <v>88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"FES1162504017"</f>
        <v>FES1162504017</v>
      </c>
      <c r="F101" s="3">
        <v>42646</v>
      </c>
      <c r="G101" s="2">
        <v>201704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98</v>
      </c>
      <c r="M101" s="2" t="s">
        <v>99</v>
      </c>
      <c r="N101" s="2" t="s">
        <v>330</v>
      </c>
      <c r="O101" s="2" t="s">
        <v>96</v>
      </c>
      <c r="P101" s="2" t="str">
        <f>"2170524231                    "</f>
        <v xml:space="preserve">2170524231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66.72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2</v>
      </c>
      <c r="BI101" s="2">
        <v>18</v>
      </c>
      <c r="BJ101" s="2">
        <v>43.9</v>
      </c>
      <c r="BK101" s="2">
        <v>44</v>
      </c>
      <c r="BL101" s="2">
        <v>890.4</v>
      </c>
      <c r="BM101" s="2">
        <v>124.66</v>
      </c>
      <c r="BN101" s="2">
        <v>1015.06</v>
      </c>
      <c r="BO101" s="2">
        <v>1015.06</v>
      </c>
      <c r="BP101" s="2"/>
      <c r="BQ101" s="2" t="s">
        <v>331</v>
      </c>
      <c r="BR101" s="2" t="s">
        <v>83</v>
      </c>
      <c r="BS101" s="3">
        <v>42647</v>
      </c>
      <c r="BT101" s="4">
        <v>0.3972222222222222</v>
      </c>
      <c r="BU101" s="2" t="s">
        <v>332</v>
      </c>
      <c r="BV101" s="2" t="s">
        <v>85</v>
      </c>
      <c r="BW101" s="2"/>
      <c r="BX101" s="2"/>
      <c r="BY101" s="2">
        <v>219332.98</v>
      </c>
      <c r="BZ101" s="2" t="s">
        <v>27</v>
      </c>
      <c r="CA101" s="2" t="s">
        <v>333</v>
      </c>
      <c r="CB101" s="2"/>
      <c r="CC101" s="2" t="s">
        <v>99</v>
      </c>
      <c r="CD101" s="2">
        <v>6070</v>
      </c>
      <c r="CE101" s="2" t="s">
        <v>257</v>
      </c>
      <c r="CF101" s="5">
        <v>42648</v>
      </c>
      <c r="CG101" s="2"/>
      <c r="CH101" s="2"/>
      <c r="CI101" s="2">
        <v>1</v>
      </c>
      <c r="CJ101" s="2">
        <v>1</v>
      </c>
      <c r="CK101" s="2">
        <v>21</v>
      </c>
      <c r="CL101" s="2" t="s">
        <v>88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"FES1162504032"</f>
        <v>FES1162504032</v>
      </c>
      <c r="F102" s="3">
        <v>42646</v>
      </c>
      <c r="G102" s="2">
        <v>201704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160</v>
      </c>
      <c r="M102" s="2" t="s">
        <v>161</v>
      </c>
      <c r="N102" s="2" t="s">
        <v>334</v>
      </c>
      <c r="O102" s="2" t="s">
        <v>96</v>
      </c>
      <c r="P102" s="2" t="str">
        <f>"2170527807                    "</f>
        <v xml:space="preserve">2170527807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3.03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40.47</v>
      </c>
      <c r="BM102" s="2">
        <v>5.67</v>
      </c>
      <c r="BN102" s="2">
        <v>46.14</v>
      </c>
      <c r="BO102" s="2">
        <v>46.14</v>
      </c>
      <c r="BP102" s="2"/>
      <c r="BQ102" s="2" t="s">
        <v>168</v>
      </c>
      <c r="BR102" s="2" t="s">
        <v>83</v>
      </c>
      <c r="BS102" s="3">
        <v>42647</v>
      </c>
      <c r="BT102" s="4">
        <v>0.45833333333333331</v>
      </c>
      <c r="BU102" s="2" t="s">
        <v>335</v>
      </c>
      <c r="BV102" s="2" t="s">
        <v>85</v>
      </c>
      <c r="BW102" s="2"/>
      <c r="BX102" s="2"/>
      <c r="BY102" s="2">
        <v>1200</v>
      </c>
      <c r="BZ102" s="2" t="s">
        <v>27</v>
      </c>
      <c r="CA102" s="2"/>
      <c r="CB102" s="2"/>
      <c r="CC102" s="2" t="s">
        <v>161</v>
      </c>
      <c r="CD102" s="2">
        <v>7945</v>
      </c>
      <c r="CE102" s="2" t="s">
        <v>108</v>
      </c>
      <c r="CF102" s="5">
        <v>42648</v>
      </c>
      <c r="CG102" s="2"/>
      <c r="CH102" s="2"/>
      <c r="CI102" s="2">
        <v>1</v>
      </c>
      <c r="CJ102" s="2">
        <v>1</v>
      </c>
      <c r="CK102" s="2">
        <v>21</v>
      </c>
      <c r="CL102" s="2" t="s">
        <v>88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"FES1162504051"</f>
        <v>FES1162504051</v>
      </c>
      <c r="F103" s="3">
        <v>42646</v>
      </c>
      <c r="G103" s="2">
        <v>201704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98</v>
      </c>
      <c r="M103" s="2" t="s">
        <v>99</v>
      </c>
      <c r="N103" s="2" t="s">
        <v>100</v>
      </c>
      <c r="O103" s="2" t="s">
        <v>96</v>
      </c>
      <c r="P103" s="2" t="str">
        <f>"2170525876                    "</f>
        <v xml:space="preserve">2170525876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9.1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4</v>
      </c>
      <c r="BJ103" s="2">
        <v>5.8</v>
      </c>
      <c r="BK103" s="2">
        <v>6</v>
      </c>
      <c r="BL103" s="2">
        <v>121.42</v>
      </c>
      <c r="BM103" s="2">
        <v>17</v>
      </c>
      <c r="BN103" s="2">
        <v>138.41999999999999</v>
      </c>
      <c r="BO103" s="2">
        <v>138.41999999999999</v>
      </c>
      <c r="BP103" s="2"/>
      <c r="BQ103" s="2" t="s">
        <v>101</v>
      </c>
      <c r="BR103" s="2" t="s">
        <v>83</v>
      </c>
      <c r="BS103" s="3">
        <v>42647</v>
      </c>
      <c r="BT103" s="4">
        <v>0.375</v>
      </c>
      <c r="BU103" s="2" t="s">
        <v>336</v>
      </c>
      <c r="BV103" s="2" t="s">
        <v>85</v>
      </c>
      <c r="BW103" s="2"/>
      <c r="BX103" s="2"/>
      <c r="BY103" s="2">
        <v>29054.55</v>
      </c>
      <c r="BZ103" s="2" t="s">
        <v>27</v>
      </c>
      <c r="CA103" s="2" t="s">
        <v>329</v>
      </c>
      <c r="CB103" s="2"/>
      <c r="CC103" s="2" t="s">
        <v>99</v>
      </c>
      <c r="CD103" s="2">
        <v>6210</v>
      </c>
      <c r="CE103" s="2" t="s">
        <v>86</v>
      </c>
      <c r="CF103" s="5">
        <v>42648</v>
      </c>
      <c r="CG103" s="2"/>
      <c r="CH103" s="2"/>
      <c r="CI103" s="2">
        <v>1</v>
      </c>
      <c r="CJ103" s="2">
        <v>1</v>
      </c>
      <c r="CK103" s="2">
        <v>21</v>
      </c>
      <c r="CL103" s="2" t="s">
        <v>88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"FES1162504015"</f>
        <v>FES1162504015</v>
      </c>
      <c r="F104" s="3">
        <v>42646</v>
      </c>
      <c r="G104" s="2">
        <v>201704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119</v>
      </c>
      <c r="M104" s="2" t="s">
        <v>120</v>
      </c>
      <c r="N104" s="2" t="s">
        <v>337</v>
      </c>
      <c r="O104" s="2" t="s">
        <v>96</v>
      </c>
      <c r="P104" s="2" t="str">
        <f>"2170523061                    "</f>
        <v xml:space="preserve">2170523061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15.16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10</v>
      </c>
      <c r="BJ104" s="2">
        <v>7.6</v>
      </c>
      <c r="BK104" s="2">
        <v>10</v>
      </c>
      <c r="BL104" s="2">
        <v>202.36</v>
      </c>
      <c r="BM104" s="2">
        <v>28.33</v>
      </c>
      <c r="BN104" s="2">
        <v>230.69</v>
      </c>
      <c r="BO104" s="2">
        <v>230.69</v>
      </c>
      <c r="BP104" s="2"/>
      <c r="BQ104" s="2" t="s">
        <v>338</v>
      </c>
      <c r="BR104" s="2" t="s">
        <v>83</v>
      </c>
      <c r="BS104" s="3">
        <v>42647</v>
      </c>
      <c r="BT104" s="4">
        <v>0.31805555555555554</v>
      </c>
      <c r="BU104" s="2" t="s">
        <v>339</v>
      </c>
      <c r="BV104" s="2" t="s">
        <v>85</v>
      </c>
      <c r="BW104" s="2"/>
      <c r="BX104" s="2"/>
      <c r="BY104" s="2">
        <v>38011.01</v>
      </c>
      <c r="BZ104" s="2" t="s">
        <v>27</v>
      </c>
      <c r="CA104" s="2"/>
      <c r="CB104" s="2"/>
      <c r="CC104" s="2" t="s">
        <v>120</v>
      </c>
      <c r="CD104" s="2">
        <v>6230</v>
      </c>
      <c r="CE104" s="2" t="s">
        <v>86</v>
      </c>
      <c r="CF104" s="5">
        <v>42648</v>
      </c>
      <c r="CG104" s="2"/>
      <c r="CH104" s="2"/>
      <c r="CI104" s="2">
        <v>1</v>
      </c>
      <c r="CJ104" s="2">
        <v>1</v>
      </c>
      <c r="CK104" s="2">
        <v>21</v>
      </c>
      <c r="CL104" s="2" t="s">
        <v>88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"FES1162504018"</f>
        <v>FES1162504018</v>
      </c>
      <c r="F105" s="3">
        <v>42646</v>
      </c>
      <c r="G105" s="2">
        <v>201704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98</v>
      </c>
      <c r="M105" s="2" t="s">
        <v>99</v>
      </c>
      <c r="N105" s="2" t="s">
        <v>340</v>
      </c>
      <c r="O105" s="2" t="s">
        <v>96</v>
      </c>
      <c r="P105" s="2" t="str">
        <f>"2170524609                    "</f>
        <v xml:space="preserve">2170524609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4.55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1.3</v>
      </c>
      <c r="BJ105" s="2">
        <v>2.9</v>
      </c>
      <c r="BK105" s="2">
        <v>3</v>
      </c>
      <c r="BL105" s="2">
        <v>60.71</v>
      </c>
      <c r="BM105" s="2">
        <v>8.5</v>
      </c>
      <c r="BN105" s="2">
        <v>69.209999999999994</v>
      </c>
      <c r="BO105" s="2">
        <v>69.209999999999994</v>
      </c>
      <c r="BP105" s="2"/>
      <c r="BQ105" s="2" t="s">
        <v>341</v>
      </c>
      <c r="BR105" s="2" t="s">
        <v>83</v>
      </c>
      <c r="BS105" s="3">
        <v>42647</v>
      </c>
      <c r="BT105" s="4">
        <v>0.43263888888888885</v>
      </c>
      <c r="BU105" s="2" t="s">
        <v>342</v>
      </c>
      <c r="BV105" s="2" t="s">
        <v>85</v>
      </c>
      <c r="BW105" s="2"/>
      <c r="BX105" s="2"/>
      <c r="BY105" s="2">
        <v>14422.72</v>
      </c>
      <c r="BZ105" s="2" t="s">
        <v>27</v>
      </c>
      <c r="CA105" s="2" t="s">
        <v>107</v>
      </c>
      <c r="CB105" s="2"/>
      <c r="CC105" s="2" t="s">
        <v>99</v>
      </c>
      <c r="CD105" s="2">
        <v>6012</v>
      </c>
      <c r="CE105" s="2" t="s">
        <v>86</v>
      </c>
      <c r="CF105" s="5">
        <v>42647</v>
      </c>
      <c r="CG105" s="2"/>
      <c r="CH105" s="2"/>
      <c r="CI105" s="2">
        <v>1</v>
      </c>
      <c r="CJ105" s="2">
        <v>1</v>
      </c>
      <c r="CK105" s="2">
        <v>21</v>
      </c>
      <c r="CL105" s="2" t="s">
        <v>88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"FES1162504028"</f>
        <v>FES1162504028</v>
      </c>
      <c r="F106" s="3">
        <v>42646</v>
      </c>
      <c r="G106" s="2">
        <v>201704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153</v>
      </c>
      <c r="M106" s="2" t="s">
        <v>153</v>
      </c>
      <c r="N106" s="2" t="s">
        <v>343</v>
      </c>
      <c r="O106" s="2" t="s">
        <v>96</v>
      </c>
      <c r="P106" s="2" t="str">
        <f>"2170525365                    "</f>
        <v xml:space="preserve">2170525365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10.61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5</v>
      </c>
      <c r="BJ106" s="2">
        <v>6.9</v>
      </c>
      <c r="BK106" s="2">
        <v>7</v>
      </c>
      <c r="BL106" s="2">
        <v>141.65</v>
      </c>
      <c r="BM106" s="2">
        <v>19.829999999999998</v>
      </c>
      <c r="BN106" s="2">
        <v>161.47999999999999</v>
      </c>
      <c r="BO106" s="2">
        <v>161.47999999999999</v>
      </c>
      <c r="BP106" s="2"/>
      <c r="BQ106" s="2" t="s">
        <v>344</v>
      </c>
      <c r="BR106" s="2" t="s">
        <v>83</v>
      </c>
      <c r="BS106" s="3">
        <v>42647</v>
      </c>
      <c r="BT106" s="4">
        <v>0.55208333333333337</v>
      </c>
      <c r="BU106" s="2" t="s">
        <v>345</v>
      </c>
      <c r="BV106" s="2" t="s">
        <v>85</v>
      </c>
      <c r="BW106" s="2"/>
      <c r="BX106" s="2"/>
      <c r="BY106" s="2">
        <v>34530.660000000003</v>
      </c>
      <c r="BZ106" s="2" t="s">
        <v>27</v>
      </c>
      <c r="CA106" s="2"/>
      <c r="CB106" s="2"/>
      <c r="CC106" s="2" t="s">
        <v>153</v>
      </c>
      <c r="CD106" s="2">
        <v>7646</v>
      </c>
      <c r="CE106" s="2" t="s">
        <v>86</v>
      </c>
      <c r="CF106" s="5">
        <v>42648</v>
      </c>
      <c r="CG106" s="2"/>
      <c r="CH106" s="2"/>
      <c r="CI106" s="2">
        <v>1</v>
      </c>
      <c r="CJ106" s="2">
        <v>1</v>
      </c>
      <c r="CK106" s="2">
        <v>21</v>
      </c>
      <c r="CL106" s="2" t="s">
        <v>88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"FES1162504019"</f>
        <v>FES1162504019</v>
      </c>
      <c r="F107" s="3">
        <v>42646</v>
      </c>
      <c r="G107" s="2">
        <v>201704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153</v>
      </c>
      <c r="M107" s="2" t="s">
        <v>153</v>
      </c>
      <c r="N107" s="2" t="s">
        <v>343</v>
      </c>
      <c r="O107" s="2" t="s">
        <v>96</v>
      </c>
      <c r="P107" s="2" t="str">
        <f>"2170524743                    "</f>
        <v xml:space="preserve">2170524743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19.71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2</v>
      </c>
      <c r="BI107" s="2">
        <v>9.1</v>
      </c>
      <c r="BJ107" s="2">
        <v>12.8</v>
      </c>
      <c r="BK107" s="2">
        <v>13</v>
      </c>
      <c r="BL107" s="2">
        <v>263.07</v>
      </c>
      <c r="BM107" s="2">
        <v>36.83</v>
      </c>
      <c r="BN107" s="2">
        <v>299.89999999999998</v>
      </c>
      <c r="BO107" s="2">
        <v>299.89999999999998</v>
      </c>
      <c r="BP107" s="2"/>
      <c r="BQ107" s="2" t="s">
        <v>344</v>
      </c>
      <c r="BR107" s="2" t="s">
        <v>83</v>
      </c>
      <c r="BS107" s="3">
        <v>42647</v>
      </c>
      <c r="BT107" s="4">
        <v>0.55208333333333337</v>
      </c>
      <c r="BU107" s="2" t="s">
        <v>238</v>
      </c>
      <c r="BV107" s="2" t="s">
        <v>85</v>
      </c>
      <c r="BW107" s="2"/>
      <c r="BX107" s="2"/>
      <c r="BY107" s="2">
        <v>63853.760000000002</v>
      </c>
      <c r="BZ107" s="2" t="s">
        <v>27</v>
      </c>
      <c r="CA107" s="2"/>
      <c r="CB107" s="2"/>
      <c r="CC107" s="2" t="s">
        <v>153</v>
      </c>
      <c r="CD107" s="2">
        <v>7646</v>
      </c>
      <c r="CE107" s="2" t="s">
        <v>346</v>
      </c>
      <c r="CF107" s="5">
        <v>42648</v>
      </c>
      <c r="CG107" s="2"/>
      <c r="CH107" s="2"/>
      <c r="CI107" s="2">
        <v>1</v>
      </c>
      <c r="CJ107" s="2">
        <v>1</v>
      </c>
      <c r="CK107" s="2">
        <v>21</v>
      </c>
      <c r="CL107" s="2" t="s">
        <v>88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"FES1162504064"</f>
        <v>FES1162504064</v>
      </c>
      <c r="F108" s="3">
        <v>42646</v>
      </c>
      <c r="G108" s="2">
        <v>201704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260</v>
      </c>
      <c r="M108" s="2" t="s">
        <v>261</v>
      </c>
      <c r="N108" s="2" t="s">
        <v>347</v>
      </c>
      <c r="O108" s="2" t="s">
        <v>96</v>
      </c>
      <c r="P108" s="2" t="str">
        <f>"2170525975                    "</f>
        <v xml:space="preserve">2170525975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53.83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21.5</v>
      </c>
      <c r="BJ108" s="2">
        <v>35.5</v>
      </c>
      <c r="BK108" s="2">
        <v>35.5</v>
      </c>
      <c r="BL108" s="2">
        <v>718.39</v>
      </c>
      <c r="BM108" s="2">
        <v>100.57</v>
      </c>
      <c r="BN108" s="2">
        <v>818.96</v>
      </c>
      <c r="BO108" s="2">
        <v>818.96</v>
      </c>
      <c r="BP108" s="2"/>
      <c r="BQ108" s="2" t="s">
        <v>91</v>
      </c>
      <c r="BR108" s="2" t="s">
        <v>83</v>
      </c>
      <c r="BS108" s="3">
        <v>42647</v>
      </c>
      <c r="BT108" s="4">
        <v>0.41666666666666669</v>
      </c>
      <c r="BU108" s="2" t="s">
        <v>348</v>
      </c>
      <c r="BV108" s="2" t="s">
        <v>85</v>
      </c>
      <c r="BW108" s="2"/>
      <c r="BX108" s="2"/>
      <c r="BY108" s="2">
        <v>177325.3</v>
      </c>
      <c r="BZ108" s="2" t="s">
        <v>27</v>
      </c>
      <c r="CA108" s="2" t="s">
        <v>349</v>
      </c>
      <c r="CB108" s="2"/>
      <c r="CC108" s="2" t="s">
        <v>261</v>
      </c>
      <c r="CD108" s="2">
        <v>6850</v>
      </c>
      <c r="CE108" s="2" t="s">
        <v>86</v>
      </c>
      <c r="CF108" s="5">
        <v>42648</v>
      </c>
      <c r="CG108" s="2"/>
      <c r="CH108" s="2"/>
      <c r="CI108" s="2">
        <v>3</v>
      </c>
      <c r="CJ108" s="2">
        <v>1</v>
      </c>
      <c r="CK108" s="2">
        <v>21</v>
      </c>
      <c r="CL108" s="2" t="s">
        <v>88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"FES1162503907"</f>
        <v>FES1162503907</v>
      </c>
      <c r="F109" s="3">
        <v>42646</v>
      </c>
      <c r="G109" s="2">
        <v>201704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98</v>
      </c>
      <c r="M109" s="2" t="s">
        <v>99</v>
      </c>
      <c r="N109" s="2" t="s">
        <v>350</v>
      </c>
      <c r="O109" s="2" t="s">
        <v>96</v>
      </c>
      <c r="P109" s="2" t="str">
        <f>"2170527678                    "</f>
        <v xml:space="preserve">2170527678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3.03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</v>
      </c>
      <c r="BJ109" s="2">
        <v>0.2</v>
      </c>
      <c r="BK109" s="2">
        <v>1</v>
      </c>
      <c r="BL109" s="2">
        <v>40.47</v>
      </c>
      <c r="BM109" s="2">
        <v>5.67</v>
      </c>
      <c r="BN109" s="2">
        <v>46.14</v>
      </c>
      <c r="BO109" s="2">
        <v>46.14</v>
      </c>
      <c r="BP109" s="2"/>
      <c r="BQ109" s="2" t="s">
        <v>351</v>
      </c>
      <c r="BR109" s="2" t="s">
        <v>83</v>
      </c>
      <c r="BS109" s="3">
        <v>42647</v>
      </c>
      <c r="BT109" s="4">
        <v>0.3743055555555555</v>
      </c>
      <c r="BU109" s="2" t="s">
        <v>352</v>
      </c>
      <c r="BV109" s="2" t="s">
        <v>85</v>
      </c>
      <c r="BW109" s="2"/>
      <c r="BX109" s="2"/>
      <c r="BY109" s="2">
        <v>1200</v>
      </c>
      <c r="BZ109" s="2" t="s">
        <v>27</v>
      </c>
      <c r="CA109" s="2" t="s">
        <v>107</v>
      </c>
      <c r="CB109" s="2"/>
      <c r="CC109" s="2" t="s">
        <v>99</v>
      </c>
      <c r="CD109" s="2">
        <v>6001</v>
      </c>
      <c r="CE109" s="2" t="s">
        <v>108</v>
      </c>
      <c r="CF109" s="5">
        <v>42647</v>
      </c>
      <c r="CG109" s="2"/>
      <c r="CH109" s="2"/>
      <c r="CI109" s="2">
        <v>1</v>
      </c>
      <c r="CJ109" s="2">
        <v>1</v>
      </c>
      <c r="CK109" s="2">
        <v>21</v>
      </c>
      <c r="CL109" s="2" t="s">
        <v>88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"FES1162505621"</f>
        <v>FES1162505621</v>
      </c>
      <c r="F110" s="3">
        <v>42653</v>
      </c>
      <c r="G110" s="2">
        <v>201704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153</v>
      </c>
      <c r="M110" s="2" t="s">
        <v>153</v>
      </c>
      <c r="N110" s="2" t="s">
        <v>353</v>
      </c>
      <c r="O110" s="2" t="s">
        <v>96</v>
      </c>
      <c r="P110" s="2" t="str">
        <f>"2170529312                    "</f>
        <v xml:space="preserve">2170529312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3.32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</v>
      </c>
      <c r="BJ110" s="2">
        <v>0.2</v>
      </c>
      <c r="BK110" s="2">
        <v>1</v>
      </c>
      <c r="BL110" s="2">
        <v>40.76</v>
      </c>
      <c r="BM110" s="2">
        <v>5.71</v>
      </c>
      <c r="BN110" s="2">
        <v>46.47</v>
      </c>
      <c r="BO110" s="2">
        <v>46.47</v>
      </c>
      <c r="BP110" s="2"/>
      <c r="BQ110" s="2" t="s">
        <v>354</v>
      </c>
      <c r="BR110" s="2" t="s">
        <v>83</v>
      </c>
      <c r="BS110" s="3">
        <v>42654</v>
      </c>
      <c r="BT110" s="4">
        <v>0.61111111111111105</v>
      </c>
      <c r="BU110" s="2" t="s">
        <v>355</v>
      </c>
      <c r="BV110" s="2" t="s">
        <v>88</v>
      </c>
      <c r="BW110" s="2" t="s">
        <v>277</v>
      </c>
      <c r="BX110" s="2" t="s">
        <v>356</v>
      </c>
      <c r="BY110" s="2">
        <v>1200</v>
      </c>
      <c r="BZ110" s="2"/>
      <c r="CA110" s="2"/>
      <c r="CB110" s="2"/>
      <c r="CC110" s="2" t="s">
        <v>153</v>
      </c>
      <c r="CD110" s="2">
        <v>7646</v>
      </c>
      <c r="CE110" s="2" t="s">
        <v>108</v>
      </c>
      <c r="CF110" s="5">
        <v>42655</v>
      </c>
      <c r="CG110" s="2"/>
      <c r="CH110" s="2"/>
      <c r="CI110" s="2">
        <v>1</v>
      </c>
      <c r="CJ110" s="2">
        <v>1</v>
      </c>
      <c r="CK110" s="2">
        <v>21</v>
      </c>
      <c r="CL110" s="2" t="s">
        <v>88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"FES1162504968"</f>
        <v>FES1162504968</v>
      </c>
      <c r="F111" s="3">
        <v>42649</v>
      </c>
      <c r="G111" s="2">
        <v>201704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160</v>
      </c>
      <c r="M111" s="2" t="s">
        <v>161</v>
      </c>
      <c r="N111" s="2" t="s">
        <v>357</v>
      </c>
      <c r="O111" s="2" t="s">
        <v>96</v>
      </c>
      <c r="P111" s="2" t="str">
        <f>"2170527696                    "</f>
        <v xml:space="preserve">2170527696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9.1199999999999992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2</v>
      </c>
      <c r="BI111" s="2">
        <v>5</v>
      </c>
      <c r="BJ111" s="2">
        <v>5.5</v>
      </c>
      <c r="BK111" s="2">
        <v>5.5</v>
      </c>
      <c r="BL111" s="2">
        <v>112.08</v>
      </c>
      <c r="BM111" s="2">
        <v>15.69</v>
      </c>
      <c r="BN111" s="2">
        <v>127.77</v>
      </c>
      <c r="BO111" s="2">
        <v>127.77</v>
      </c>
      <c r="BP111" s="2"/>
      <c r="BQ111" s="2" t="s">
        <v>358</v>
      </c>
      <c r="BR111" s="2" t="s">
        <v>83</v>
      </c>
      <c r="BS111" s="3">
        <v>42650</v>
      </c>
      <c r="BT111" s="4">
        <v>0.375</v>
      </c>
      <c r="BU111" s="2" t="s">
        <v>359</v>
      </c>
      <c r="BV111" s="2" t="s">
        <v>85</v>
      </c>
      <c r="BW111" s="2"/>
      <c r="BX111" s="2"/>
      <c r="BY111" s="2">
        <v>27640</v>
      </c>
      <c r="BZ111" s="2" t="s">
        <v>27</v>
      </c>
      <c r="CA111" s="2"/>
      <c r="CB111" s="2"/>
      <c r="CC111" s="2" t="s">
        <v>161</v>
      </c>
      <c r="CD111" s="2">
        <v>7441</v>
      </c>
      <c r="CE111" s="2" t="s">
        <v>257</v>
      </c>
      <c r="CF111" s="5">
        <v>42653</v>
      </c>
      <c r="CG111" s="2"/>
      <c r="CH111" s="2"/>
      <c r="CI111" s="2">
        <v>1</v>
      </c>
      <c r="CJ111" s="2">
        <v>1</v>
      </c>
      <c r="CK111" s="2">
        <v>21</v>
      </c>
      <c r="CL111" s="2" t="s">
        <v>88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"FES1162505616"</f>
        <v>FES1162505616</v>
      </c>
      <c r="F112" s="3">
        <v>42653</v>
      </c>
      <c r="G112" s="2">
        <v>201704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160</v>
      </c>
      <c r="M112" s="2" t="s">
        <v>161</v>
      </c>
      <c r="N112" s="2" t="s">
        <v>179</v>
      </c>
      <c r="O112" s="2" t="s">
        <v>96</v>
      </c>
      <c r="P112" s="2" t="str">
        <f>"2170529304                    "</f>
        <v xml:space="preserve">2170529304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3.32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1</v>
      </c>
      <c r="BJ112" s="2">
        <v>0.2</v>
      </c>
      <c r="BK112" s="2">
        <v>1</v>
      </c>
      <c r="BL112" s="2">
        <v>40.76</v>
      </c>
      <c r="BM112" s="2">
        <v>5.71</v>
      </c>
      <c r="BN112" s="2">
        <v>46.47</v>
      </c>
      <c r="BO112" s="2">
        <v>46.47</v>
      </c>
      <c r="BP112" s="2"/>
      <c r="BQ112" s="2" t="s">
        <v>180</v>
      </c>
      <c r="BR112" s="2" t="s">
        <v>83</v>
      </c>
      <c r="BS112" s="3">
        <v>42654</v>
      </c>
      <c r="BT112" s="4">
        <v>0.41666666666666669</v>
      </c>
      <c r="BU112" s="2" t="s">
        <v>360</v>
      </c>
      <c r="BV112" s="2" t="s">
        <v>85</v>
      </c>
      <c r="BW112" s="2"/>
      <c r="BX112" s="2"/>
      <c r="BY112" s="2">
        <v>1200</v>
      </c>
      <c r="BZ112" s="2"/>
      <c r="CA112" s="2" t="s">
        <v>129</v>
      </c>
      <c r="CB112" s="2"/>
      <c r="CC112" s="2" t="s">
        <v>161</v>
      </c>
      <c r="CD112" s="2">
        <v>7405</v>
      </c>
      <c r="CE112" s="2" t="s">
        <v>108</v>
      </c>
      <c r="CF112" s="5">
        <v>42655</v>
      </c>
      <c r="CG112" s="2"/>
      <c r="CH112" s="2"/>
      <c r="CI112" s="2">
        <v>1</v>
      </c>
      <c r="CJ112" s="2">
        <v>1</v>
      </c>
      <c r="CK112" s="2">
        <v>21</v>
      </c>
      <c r="CL112" s="2" t="s">
        <v>88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"FES1162504031"</f>
        <v>FES1162504031</v>
      </c>
      <c r="F113" s="3">
        <v>42646</v>
      </c>
      <c r="G113" s="2">
        <v>201704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361</v>
      </c>
      <c r="M113" s="2" t="s">
        <v>362</v>
      </c>
      <c r="N113" s="2" t="s">
        <v>363</v>
      </c>
      <c r="O113" s="2" t="s">
        <v>81</v>
      </c>
      <c r="P113" s="2" t="str">
        <f>"2170525716                    "</f>
        <v xml:space="preserve">2170525716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5.69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7.7</v>
      </c>
      <c r="BJ113" s="2">
        <v>7.8</v>
      </c>
      <c r="BK113" s="2">
        <v>8</v>
      </c>
      <c r="BL113" s="2">
        <v>80.89</v>
      </c>
      <c r="BM113" s="2">
        <v>11.32</v>
      </c>
      <c r="BN113" s="2">
        <v>92.21</v>
      </c>
      <c r="BO113" s="2">
        <v>92.21</v>
      </c>
      <c r="BP113" s="2"/>
      <c r="BQ113" s="2" t="s">
        <v>364</v>
      </c>
      <c r="BR113" s="2" t="s">
        <v>83</v>
      </c>
      <c r="BS113" s="3">
        <v>42647</v>
      </c>
      <c r="BT113" s="4">
        <v>0.53125</v>
      </c>
      <c r="BU113" s="2" t="s">
        <v>365</v>
      </c>
      <c r="BV113" s="2" t="s">
        <v>85</v>
      </c>
      <c r="BW113" s="2"/>
      <c r="BX113" s="2"/>
      <c r="BY113" s="2">
        <v>38929.15</v>
      </c>
      <c r="BZ113" s="2"/>
      <c r="CA113" s="2"/>
      <c r="CB113" s="2"/>
      <c r="CC113" s="2" t="s">
        <v>362</v>
      </c>
      <c r="CD113" s="2">
        <v>1441</v>
      </c>
      <c r="CE113" s="2" t="s">
        <v>86</v>
      </c>
      <c r="CF113" s="5">
        <v>42647</v>
      </c>
      <c r="CG113" s="2"/>
      <c r="CH113" s="2"/>
      <c r="CI113" s="2">
        <v>1</v>
      </c>
      <c r="CJ113" s="2">
        <v>1</v>
      </c>
      <c r="CK113" s="2" t="s">
        <v>366</v>
      </c>
      <c r="CL113" s="2" t="s">
        <v>88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"FES1162505611"</f>
        <v>FES1162505611</v>
      </c>
      <c r="F114" s="3">
        <v>42653</v>
      </c>
      <c r="G114" s="2">
        <v>201704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98</v>
      </c>
      <c r="M114" s="2" t="s">
        <v>99</v>
      </c>
      <c r="N114" s="2" t="s">
        <v>133</v>
      </c>
      <c r="O114" s="2" t="s">
        <v>96</v>
      </c>
      <c r="P114" s="2" t="str">
        <f>"2170529116                    "</f>
        <v xml:space="preserve">2170529116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39.81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2</v>
      </c>
      <c r="BI114" s="2">
        <v>24</v>
      </c>
      <c r="BJ114" s="2">
        <v>7.8</v>
      </c>
      <c r="BK114" s="2">
        <v>24</v>
      </c>
      <c r="BL114" s="2">
        <v>489.09</v>
      </c>
      <c r="BM114" s="2">
        <v>68.47</v>
      </c>
      <c r="BN114" s="2">
        <v>557.55999999999995</v>
      </c>
      <c r="BO114" s="2">
        <v>557.55999999999995</v>
      </c>
      <c r="BP114" s="2"/>
      <c r="BQ114" s="2" t="s">
        <v>134</v>
      </c>
      <c r="BR114" s="2" t="s">
        <v>83</v>
      </c>
      <c r="BS114" s="3">
        <v>42653</v>
      </c>
      <c r="BT114" s="4">
        <v>0.3611111111111111</v>
      </c>
      <c r="BU114" s="2" t="s">
        <v>367</v>
      </c>
      <c r="BV114" s="2" t="s">
        <v>85</v>
      </c>
      <c r="BW114" s="2"/>
      <c r="BX114" s="2"/>
      <c r="BY114" s="2">
        <v>38802.93</v>
      </c>
      <c r="BZ114" s="2"/>
      <c r="CA114" s="2"/>
      <c r="CB114" s="2"/>
      <c r="CC114" s="2" t="s">
        <v>99</v>
      </c>
      <c r="CD114" s="2">
        <v>6001</v>
      </c>
      <c r="CE114" s="2" t="s">
        <v>368</v>
      </c>
      <c r="CF114" s="5">
        <v>42655</v>
      </c>
      <c r="CG114" s="2"/>
      <c r="CH114" s="2"/>
      <c r="CI114" s="2">
        <v>1</v>
      </c>
      <c r="CJ114" s="2">
        <v>0</v>
      </c>
      <c r="CK114" s="2">
        <v>21</v>
      </c>
      <c r="CL114" s="2" t="s">
        <v>88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"FES1162505617"</f>
        <v>FES1162505617</v>
      </c>
      <c r="F115" s="3">
        <v>42653</v>
      </c>
      <c r="G115" s="2">
        <v>201704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98</v>
      </c>
      <c r="M115" s="2" t="s">
        <v>99</v>
      </c>
      <c r="N115" s="2" t="s">
        <v>133</v>
      </c>
      <c r="O115" s="2" t="s">
        <v>96</v>
      </c>
      <c r="P115" s="2" t="str">
        <f>"2170529307                    "</f>
        <v xml:space="preserve">2170529307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3.32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1</v>
      </c>
      <c r="BJ115" s="2">
        <v>0.2</v>
      </c>
      <c r="BK115" s="2">
        <v>1</v>
      </c>
      <c r="BL115" s="2">
        <v>40.76</v>
      </c>
      <c r="BM115" s="2">
        <v>5.71</v>
      </c>
      <c r="BN115" s="2">
        <v>46.47</v>
      </c>
      <c r="BO115" s="2">
        <v>46.47</v>
      </c>
      <c r="BP115" s="2"/>
      <c r="BQ115" s="2" t="s">
        <v>134</v>
      </c>
      <c r="BR115" s="2" t="s">
        <v>83</v>
      </c>
      <c r="BS115" s="3">
        <v>42653</v>
      </c>
      <c r="BT115" s="4">
        <v>0.3611111111111111</v>
      </c>
      <c r="BU115" s="2" t="s">
        <v>367</v>
      </c>
      <c r="BV115" s="2" t="s">
        <v>85</v>
      </c>
      <c r="BW115" s="2"/>
      <c r="BX115" s="2"/>
      <c r="BY115" s="2">
        <v>1200</v>
      </c>
      <c r="BZ115" s="2"/>
      <c r="CA115" s="2"/>
      <c r="CB115" s="2"/>
      <c r="CC115" s="2" t="s">
        <v>99</v>
      </c>
      <c r="CD115" s="2">
        <v>6001</v>
      </c>
      <c r="CE115" s="2" t="s">
        <v>108</v>
      </c>
      <c r="CF115" s="5">
        <v>42655</v>
      </c>
      <c r="CG115" s="2"/>
      <c r="CH115" s="2"/>
      <c r="CI115" s="2">
        <v>1</v>
      </c>
      <c r="CJ115" s="2">
        <v>0</v>
      </c>
      <c r="CK115" s="2">
        <v>21</v>
      </c>
      <c r="CL115" s="2" t="s">
        <v>88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"FES1162505627"</f>
        <v>FES1162505627</v>
      </c>
      <c r="F116" s="3">
        <v>42653</v>
      </c>
      <c r="G116" s="2">
        <v>201704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98</v>
      </c>
      <c r="M116" s="2" t="s">
        <v>99</v>
      </c>
      <c r="N116" s="2" t="s">
        <v>369</v>
      </c>
      <c r="O116" s="2" t="s">
        <v>96</v>
      </c>
      <c r="P116" s="2" t="str">
        <f>"2170529317                    "</f>
        <v xml:space="preserve">2170529317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3.32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1</v>
      </c>
      <c r="BJ116" s="2">
        <v>0.2</v>
      </c>
      <c r="BK116" s="2">
        <v>1</v>
      </c>
      <c r="BL116" s="2">
        <v>40.76</v>
      </c>
      <c r="BM116" s="2">
        <v>5.71</v>
      </c>
      <c r="BN116" s="2">
        <v>46.47</v>
      </c>
      <c r="BO116" s="2">
        <v>46.47</v>
      </c>
      <c r="BP116" s="2"/>
      <c r="BQ116" s="2" t="s">
        <v>370</v>
      </c>
      <c r="BR116" s="2" t="s">
        <v>83</v>
      </c>
      <c r="BS116" s="3">
        <v>42654</v>
      </c>
      <c r="BT116" s="4">
        <v>0.3611111111111111</v>
      </c>
      <c r="BU116" s="2" t="s">
        <v>371</v>
      </c>
      <c r="BV116" s="2" t="s">
        <v>85</v>
      </c>
      <c r="BW116" s="2"/>
      <c r="BX116" s="2"/>
      <c r="BY116" s="2">
        <v>1200</v>
      </c>
      <c r="BZ116" s="2"/>
      <c r="CA116" s="2" t="s">
        <v>107</v>
      </c>
      <c r="CB116" s="2"/>
      <c r="CC116" s="2" t="s">
        <v>99</v>
      </c>
      <c r="CD116" s="2">
        <v>6001</v>
      </c>
      <c r="CE116" s="2" t="s">
        <v>108</v>
      </c>
      <c r="CF116" s="5">
        <v>42654</v>
      </c>
      <c r="CG116" s="2"/>
      <c r="CH116" s="2"/>
      <c r="CI116" s="2">
        <v>1</v>
      </c>
      <c r="CJ116" s="2">
        <v>1</v>
      </c>
      <c r="CK116" s="2">
        <v>21</v>
      </c>
      <c r="CL116" s="2" t="s">
        <v>88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"FES1162505633"</f>
        <v>FES1162505633</v>
      </c>
      <c r="F117" s="3">
        <v>42653</v>
      </c>
      <c r="G117" s="2">
        <v>201704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98</v>
      </c>
      <c r="M117" s="2" t="s">
        <v>99</v>
      </c>
      <c r="N117" s="2" t="s">
        <v>350</v>
      </c>
      <c r="O117" s="2" t="s">
        <v>96</v>
      </c>
      <c r="P117" s="2" t="str">
        <f>"2170529328                    "</f>
        <v xml:space="preserve">2170529328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3.32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0.2</v>
      </c>
      <c r="BK117" s="2">
        <v>1</v>
      </c>
      <c r="BL117" s="2">
        <v>40.76</v>
      </c>
      <c r="BM117" s="2">
        <v>5.71</v>
      </c>
      <c r="BN117" s="2">
        <v>46.47</v>
      </c>
      <c r="BO117" s="2">
        <v>46.47</v>
      </c>
      <c r="BP117" s="2"/>
      <c r="BQ117" s="2" t="s">
        <v>351</v>
      </c>
      <c r="BR117" s="2" t="s">
        <v>83</v>
      </c>
      <c r="BS117" s="3">
        <v>42654</v>
      </c>
      <c r="BT117" s="4">
        <v>0.35416666666666669</v>
      </c>
      <c r="BU117" s="2" t="s">
        <v>352</v>
      </c>
      <c r="BV117" s="2" t="s">
        <v>85</v>
      </c>
      <c r="BW117" s="2"/>
      <c r="BX117" s="2"/>
      <c r="BY117" s="2">
        <v>1200</v>
      </c>
      <c r="BZ117" s="2"/>
      <c r="CA117" s="2" t="s">
        <v>107</v>
      </c>
      <c r="CB117" s="2"/>
      <c r="CC117" s="2" t="s">
        <v>99</v>
      </c>
      <c r="CD117" s="2">
        <v>6001</v>
      </c>
      <c r="CE117" s="2" t="s">
        <v>108</v>
      </c>
      <c r="CF117" s="5">
        <v>42654</v>
      </c>
      <c r="CG117" s="2"/>
      <c r="CH117" s="2"/>
      <c r="CI117" s="2">
        <v>1</v>
      </c>
      <c r="CJ117" s="2">
        <v>1</v>
      </c>
      <c r="CK117" s="2">
        <v>21</v>
      </c>
      <c r="CL117" s="2" t="s">
        <v>88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"FES1162505345"</f>
        <v>FES1162505345</v>
      </c>
      <c r="F118" s="3">
        <v>42650</v>
      </c>
      <c r="G118" s="2">
        <v>201704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372</v>
      </c>
      <c r="M118" s="2" t="s">
        <v>373</v>
      </c>
      <c r="N118" s="2" t="s">
        <v>374</v>
      </c>
      <c r="O118" s="2" t="s">
        <v>96</v>
      </c>
      <c r="P118" s="2" t="str">
        <f>"2170529009                    "</f>
        <v xml:space="preserve">2170529009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6.43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1</v>
      </c>
      <c r="BJ118" s="2">
        <v>0.2</v>
      </c>
      <c r="BK118" s="2">
        <v>1</v>
      </c>
      <c r="BL118" s="2">
        <v>78.97</v>
      </c>
      <c r="BM118" s="2">
        <v>11.06</v>
      </c>
      <c r="BN118" s="2">
        <v>90.03</v>
      </c>
      <c r="BO118" s="2">
        <v>90.03</v>
      </c>
      <c r="BP118" s="2"/>
      <c r="BQ118" s="2" t="s">
        <v>375</v>
      </c>
      <c r="BR118" s="2" t="s">
        <v>83</v>
      </c>
      <c r="BS118" s="3">
        <v>42653</v>
      </c>
      <c r="BT118" s="4">
        <v>0.53888888888888886</v>
      </c>
      <c r="BU118" s="2" t="s">
        <v>376</v>
      </c>
      <c r="BV118" s="2" t="s">
        <v>85</v>
      </c>
      <c r="BW118" s="2"/>
      <c r="BX118" s="2"/>
      <c r="BY118" s="2">
        <v>1200</v>
      </c>
      <c r="BZ118" s="2"/>
      <c r="CA118" s="2"/>
      <c r="CB118" s="2"/>
      <c r="CC118" s="2" t="s">
        <v>373</v>
      </c>
      <c r="CD118" s="2">
        <v>9650</v>
      </c>
      <c r="CE118" s="2" t="s">
        <v>108</v>
      </c>
      <c r="CF118" s="5">
        <v>42657</v>
      </c>
      <c r="CG118" s="2"/>
      <c r="CH118" s="2"/>
      <c r="CI118" s="2">
        <v>1</v>
      </c>
      <c r="CJ118" s="2">
        <v>1</v>
      </c>
      <c r="CK118" s="2">
        <v>23</v>
      </c>
      <c r="CL118" s="2" t="s">
        <v>88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"080001454292"</f>
        <v>080001454292</v>
      </c>
      <c r="F119" s="3">
        <v>42650</v>
      </c>
      <c r="G119" s="2">
        <v>201704</v>
      </c>
      <c r="H119" s="2" t="s">
        <v>377</v>
      </c>
      <c r="I119" s="2" t="s">
        <v>378</v>
      </c>
      <c r="J119" s="2" t="s">
        <v>379</v>
      </c>
      <c r="K119" s="2" t="s">
        <v>77</v>
      </c>
      <c r="L119" s="2" t="s">
        <v>74</v>
      </c>
      <c r="M119" s="2" t="s">
        <v>75</v>
      </c>
      <c r="N119" s="2" t="s">
        <v>189</v>
      </c>
      <c r="O119" s="2" t="s">
        <v>96</v>
      </c>
      <c r="P119" s="2" t="str">
        <f>"ZA1000596837                  "</f>
        <v xml:space="preserve">ZA1000596837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13.27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8</v>
      </c>
      <c r="BJ119" s="2">
        <v>1.9</v>
      </c>
      <c r="BK119" s="2">
        <v>8</v>
      </c>
      <c r="BL119" s="2">
        <v>163.03</v>
      </c>
      <c r="BM119" s="2">
        <v>22.82</v>
      </c>
      <c r="BN119" s="2">
        <v>185.85</v>
      </c>
      <c r="BO119" s="2">
        <v>185.85</v>
      </c>
      <c r="BP119" s="2" t="s">
        <v>380</v>
      </c>
      <c r="BQ119" s="2" t="s">
        <v>381</v>
      </c>
      <c r="BR119" s="2" t="s">
        <v>382</v>
      </c>
      <c r="BS119" s="3">
        <v>42653</v>
      </c>
      <c r="BT119" s="4">
        <v>0.40972222222222227</v>
      </c>
      <c r="BU119" s="2" t="s">
        <v>102</v>
      </c>
      <c r="BV119" s="2" t="s">
        <v>85</v>
      </c>
      <c r="BW119" s="2"/>
      <c r="BX119" s="2"/>
      <c r="BY119" s="2">
        <v>9648</v>
      </c>
      <c r="BZ119" s="2" t="s">
        <v>27</v>
      </c>
      <c r="CA119" s="2"/>
      <c r="CB119" s="2"/>
      <c r="CC119" s="2" t="s">
        <v>75</v>
      </c>
      <c r="CD119" s="2">
        <v>1600</v>
      </c>
      <c r="CE119" s="2" t="s">
        <v>86</v>
      </c>
      <c r="CF119" s="5">
        <v>42655</v>
      </c>
      <c r="CG119" s="2"/>
      <c r="CH119" s="2"/>
      <c r="CI119" s="2">
        <v>1</v>
      </c>
      <c r="CJ119" s="2">
        <v>1</v>
      </c>
      <c r="CK119" s="2">
        <v>21</v>
      </c>
      <c r="CL119" s="2" t="s">
        <v>88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"080001453097"</f>
        <v>080001453097</v>
      </c>
      <c r="F120" s="3">
        <v>42649</v>
      </c>
      <c r="G120" s="2">
        <v>201704</v>
      </c>
      <c r="H120" s="2" t="s">
        <v>98</v>
      </c>
      <c r="I120" s="2" t="s">
        <v>99</v>
      </c>
      <c r="J120" s="2" t="s">
        <v>369</v>
      </c>
      <c r="K120" s="2" t="s">
        <v>77</v>
      </c>
      <c r="L120" s="2" t="s">
        <v>74</v>
      </c>
      <c r="M120" s="2" t="s">
        <v>75</v>
      </c>
      <c r="N120" s="2" t="s">
        <v>189</v>
      </c>
      <c r="O120" s="2" t="s">
        <v>96</v>
      </c>
      <c r="P120" s="2" t="str">
        <f>"ZA1000596930                  "</f>
        <v xml:space="preserve">ZA1000596930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4.1500000000000004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1</v>
      </c>
      <c r="BJ120" s="2">
        <v>2.5</v>
      </c>
      <c r="BK120" s="2">
        <v>2.5</v>
      </c>
      <c r="BL120" s="2">
        <v>50.95</v>
      </c>
      <c r="BM120" s="2">
        <v>7.13</v>
      </c>
      <c r="BN120" s="2">
        <v>58.08</v>
      </c>
      <c r="BO120" s="2">
        <v>58.08</v>
      </c>
      <c r="BP120" s="2" t="s">
        <v>383</v>
      </c>
      <c r="BQ120" s="2" t="s">
        <v>381</v>
      </c>
      <c r="BR120" s="2" t="s">
        <v>384</v>
      </c>
      <c r="BS120" s="3">
        <v>42650</v>
      </c>
      <c r="BT120" s="4">
        <v>0.3576388888888889</v>
      </c>
      <c r="BU120" s="2" t="s">
        <v>102</v>
      </c>
      <c r="BV120" s="2" t="s">
        <v>85</v>
      </c>
      <c r="BW120" s="2"/>
      <c r="BX120" s="2"/>
      <c r="BY120" s="2">
        <v>12500</v>
      </c>
      <c r="BZ120" s="2" t="s">
        <v>27</v>
      </c>
      <c r="CA120" s="2"/>
      <c r="CB120" s="2"/>
      <c r="CC120" s="2" t="s">
        <v>75</v>
      </c>
      <c r="CD120" s="2">
        <v>1600</v>
      </c>
      <c r="CE120" s="2" t="s">
        <v>86</v>
      </c>
      <c r="CF120" s="5">
        <v>42653</v>
      </c>
      <c r="CG120" s="2"/>
      <c r="CH120" s="2"/>
      <c r="CI120" s="2">
        <v>1</v>
      </c>
      <c r="CJ120" s="2">
        <v>1</v>
      </c>
      <c r="CK120" s="2">
        <v>21</v>
      </c>
      <c r="CL120" s="2" t="s">
        <v>88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"019910446928"</f>
        <v>019910446928</v>
      </c>
      <c r="F121" s="3">
        <v>42649</v>
      </c>
      <c r="G121" s="2">
        <v>201704</v>
      </c>
      <c r="H121" s="2" t="s">
        <v>160</v>
      </c>
      <c r="I121" s="2" t="s">
        <v>161</v>
      </c>
      <c r="J121" s="2" t="s">
        <v>189</v>
      </c>
      <c r="K121" s="2" t="s">
        <v>77</v>
      </c>
      <c r="L121" s="2" t="s">
        <v>160</v>
      </c>
      <c r="M121" s="2" t="s">
        <v>161</v>
      </c>
      <c r="N121" s="2" t="s">
        <v>385</v>
      </c>
      <c r="O121" s="2" t="s">
        <v>96</v>
      </c>
      <c r="P121" s="2" t="str">
        <f>"                              "</f>
        <v xml:space="preserve">          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2.59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2</v>
      </c>
      <c r="BJ121" s="2">
        <v>1</v>
      </c>
      <c r="BK121" s="2">
        <v>2</v>
      </c>
      <c r="BL121" s="2">
        <v>31.84</v>
      </c>
      <c r="BM121" s="2">
        <v>4.46</v>
      </c>
      <c r="BN121" s="2">
        <v>36.299999999999997</v>
      </c>
      <c r="BO121" s="2">
        <v>36.299999999999997</v>
      </c>
      <c r="BP121" s="2"/>
      <c r="BQ121" s="2" t="s">
        <v>386</v>
      </c>
      <c r="BR121" s="2" t="s">
        <v>387</v>
      </c>
      <c r="BS121" s="3">
        <v>42650</v>
      </c>
      <c r="BT121" s="4">
        <v>0.38194444444444442</v>
      </c>
      <c r="BU121" s="2" t="s">
        <v>388</v>
      </c>
      <c r="BV121" s="2" t="s">
        <v>85</v>
      </c>
      <c r="BW121" s="2"/>
      <c r="BX121" s="2"/>
      <c r="BY121" s="2">
        <v>4884</v>
      </c>
      <c r="BZ121" s="2" t="s">
        <v>27</v>
      </c>
      <c r="CA121" s="2"/>
      <c r="CB121" s="2"/>
      <c r="CC121" s="2" t="s">
        <v>161</v>
      </c>
      <c r="CD121" s="2">
        <v>7441</v>
      </c>
      <c r="CE121" s="2" t="s">
        <v>86</v>
      </c>
      <c r="CF121" s="5">
        <v>42653</v>
      </c>
      <c r="CG121" s="2"/>
      <c r="CH121" s="2"/>
      <c r="CI121" s="2">
        <v>1</v>
      </c>
      <c r="CJ121" s="2">
        <v>1</v>
      </c>
      <c r="CK121" s="2">
        <v>22</v>
      </c>
      <c r="CL121" s="2" t="s">
        <v>88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"FES1162505263"</f>
        <v>FES1162505263</v>
      </c>
      <c r="F122" s="3">
        <v>42650</v>
      </c>
      <c r="G122" s="2">
        <v>201704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269</v>
      </c>
      <c r="M122" s="2" t="s">
        <v>270</v>
      </c>
      <c r="N122" s="2" t="s">
        <v>389</v>
      </c>
      <c r="O122" s="2" t="s">
        <v>96</v>
      </c>
      <c r="P122" s="2" t="str">
        <f>"2170528895                    "</f>
        <v xml:space="preserve">2170528895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3.32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40.76</v>
      </c>
      <c r="BM122" s="2">
        <v>5.71</v>
      </c>
      <c r="BN122" s="2">
        <v>46.47</v>
      </c>
      <c r="BO122" s="2">
        <v>46.47</v>
      </c>
      <c r="BP122" s="2"/>
      <c r="BQ122" s="2" t="s">
        <v>91</v>
      </c>
      <c r="BR122" s="2" t="s">
        <v>83</v>
      </c>
      <c r="BS122" s="3">
        <v>42653</v>
      </c>
      <c r="BT122" s="4">
        <v>0.43402777777777773</v>
      </c>
      <c r="BU122" s="2" t="s">
        <v>390</v>
      </c>
      <c r="BV122" s="2" t="s">
        <v>85</v>
      </c>
      <c r="BW122" s="2"/>
      <c r="BX122" s="2"/>
      <c r="BY122" s="2">
        <v>1200</v>
      </c>
      <c r="BZ122" s="2" t="s">
        <v>27</v>
      </c>
      <c r="CA122" s="2"/>
      <c r="CB122" s="2"/>
      <c r="CC122" s="2" t="s">
        <v>270</v>
      </c>
      <c r="CD122" s="2">
        <v>3610</v>
      </c>
      <c r="CE122" s="2" t="s">
        <v>108</v>
      </c>
      <c r="CF122" s="5">
        <v>42654</v>
      </c>
      <c r="CG122" s="2"/>
      <c r="CH122" s="2"/>
      <c r="CI122" s="2">
        <v>1</v>
      </c>
      <c r="CJ122" s="2">
        <v>1</v>
      </c>
      <c r="CK122" s="2">
        <v>21</v>
      </c>
      <c r="CL122" s="2" t="s">
        <v>88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"FES1162505041"</f>
        <v>FES1162505041</v>
      </c>
      <c r="F123" s="3">
        <v>42649</v>
      </c>
      <c r="G123" s="2">
        <v>201704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160</v>
      </c>
      <c r="M123" s="2" t="s">
        <v>161</v>
      </c>
      <c r="N123" s="2" t="s">
        <v>391</v>
      </c>
      <c r="O123" s="2" t="s">
        <v>191</v>
      </c>
      <c r="P123" s="2" t="str">
        <f>"2170528699                    "</f>
        <v xml:space="preserve">2170528699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351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90.81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2</v>
      </c>
      <c r="BI123" s="2">
        <v>36</v>
      </c>
      <c r="BJ123" s="2">
        <v>18.600000000000001</v>
      </c>
      <c r="BK123" s="2">
        <v>36</v>
      </c>
      <c r="BL123" s="2">
        <v>1115.73</v>
      </c>
      <c r="BM123" s="2">
        <v>156.19999999999999</v>
      </c>
      <c r="BN123" s="2">
        <v>1271.93</v>
      </c>
      <c r="BO123" s="2">
        <v>1271.93</v>
      </c>
      <c r="BP123" s="2" t="s">
        <v>392</v>
      </c>
      <c r="BQ123" s="2" t="s">
        <v>393</v>
      </c>
      <c r="BR123" s="2" t="s">
        <v>83</v>
      </c>
      <c r="BS123" s="3">
        <v>42649</v>
      </c>
      <c r="BT123" s="4">
        <v>0.86805555555555547</v>
      </c>
      <c r="BU123" s="2" t="s">
        <v>394</v>
      </c>
      <c r="BV123" s="2" t="s">
        <v>85</v>
      </c>
      <c r="BW123" s="2"/>
      <c r="BX123" s="2"/>
      <c r="BY123" s="2">
        <v>93090</v>
      </c>
      <c r="BZ123" s="2" t="s">
        <v>395</v>
      </c>
      <c r="CA123" s="2"/>
      <c r="CB123" s="2"/>
      <c r="CC123" s="2" t="s">
        <v>161</v>
      </c>
      <c r="CD123" s="2">
        <v>7500</v>
      </c>
      <c r="CE123" s="2" t="s">
        <v>86</v>
      </c>
      <c r="CF123" s="5">
        <v>42653</v>
      </c>
      <c r="CG123" s="2"/>
      <c r="CH123" s="2"/>
      <c r="CI123" s="2">
        <v>0</v>
      </c>
      <c r="CJ123" s="2">
        <v>0</v>
      </c>
      <c r="CK123" s="2">
        <v>21</v>
      </c>
      <c r="CL123" s="2" t="s">
        <v>88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"FES1162505386"</f>
        <v>FES1162505386</v>
      </c>
      <c r="F124" s="3">
        <v>42650</v>
      </c>
      <c r="G124" s="2">
        <v>201704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137</v>
      </c>
      <c r="M124" s="2" t="s">
        <v>138</v>
      </c>
      <c r="N124" s="2" t="s">
        <v>396</v>
      </c>
      <c r="O124" s="2" t="s">
        <v>96</v>
      </c>
      <c r="P124" s="2" t="str">
        <f>"2170528905                    "</f>
        <v xml:space="preserve">2170528905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3.32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1</v>
      </c>
      <c r="BJ124" s="2">
        <v>1.4</v>
      </c>
      <c r="BK124" s="2">
        <v>1.5</v>
      </c>
      <c r="BL124" s="2">
        <v>40.76</v>
      </c>
      <c r="BM124" s="2">
        <v>5.71</v>
      </c>
      <c r="BN124" s="2">
        <v>46.47</v>
      </c>
      <c r="BO124" s="2">
        <v>46.47</v>
      </c>
      <c r="BP124" s="2"/>
      <c r="BQ124" s="2" t="s">
        <v>82</v>
      </c>
      <c r="BR124" s="2" t="s">
        <v>83</v>
      </c>
      <c r="BS124" s="3">
        <v>42653</v>
      </c>
      <c r="BT124" s="4">
        <v>0.38611111111111113</v>
      </c>
      <c r="BU124" s="2" t="s">
        <v>397</v>
      </c>
      <c r="BV124" s="2" t="s">
        <v>85</v>
      </c>
      <c r="BW124" s="2"/>
      <c r="BX124" s="2"/>
      <c r="BY124" s="2">
        <v>6969.11</v>
      </c>
      <c r="BZ124" s="2"/>
      <c r="CA124" s="2" t="s">
        <v>170</v>
      </c>
      <c r="CB124" s="2"/>
      <c r="CC124" s="2" t="s">
        <v>138</v>
      </c>
      <c r="CD124" s="2">
        <v>3201</v>
      </c>
      <c r="CE124" s="2" t="s">
        <v>86</v>
      </c>
      <c r="CF124" s="5">
        <v>42653</v>
      </c>
      <c r="CG124" s="2"/>
      <c r="CH124" s="2"/>
      <c r="CI124" s="2">
        <v>1</v>
      </c>
      <c r="CJ124" s="2">
        <v>1</v>
      </c>
      <c r="CK124" s="2">
        <v>21</v>
      </c>
      <c r="CL124" s="2" t="s">
        <v>88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"019910509815"</f>
        <v>019910509815</v>
      </c>
      <c r="F125" s="3">
        <v>42649</v>
      </c>
      <c r="G125" s="2">
        <v>201704</v>
      </c>
      <c r="H125" s="2" t="s">
        <v>160</v>
      </c>
      <c r="I125" s="2" t="s">
        <v>161</v>
      </c>
      <c r="J125" s="2" t="s">
        <v>189</v>
      </c>
      <c r="K125" s="2" t="s">
        <v>77</v>
      </c>
      <c r="L125" s="2" t="s">
        <v>153</v>
      </c>
      <c r="M125" s="2" t="s">
        <v>153</v>
      </c>
      <c r="N125" s="2" t="s">
        <v>398</v>
      </c>
      <c r="O125" s="2" t="s">
        <v>96</v>
      </c>
      <c r="P125" s="2" t="str">
        <f>"                              "</f>
        <v xml:space="preserve">          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4.66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2</v>
      </c>
      <c r="BJ125" s="2">
        <v>0.7</v>
      </c>
      <c r="BK125" s="2">
        <v>2</v>
      </c>
      <c r="BL125" s="2">
        <v>57.31</v>
      </c>
      <c r="BM125" s="2">
        <v>8.02</v>
      </c>
      <c r="BN125" s="2">
        <v>65.33</v>
      </c>
      <c r="BO125" s="2">
        <v>65.33</v>
      </c>
      <c r="BP125" s="2"/>
      <c r="BQ125" s="2" t="s">
        <v>91</v>
      </c>
      <c r="BR125" s="2"/>
      <c r="BS125" s="3">
        <v>42650</v>
      </c>
      <c r="BT125" s="4">
        <v>0.56111111111111112</v>
      </c>
      <c r="BU125" s="2" t="s">
        <v>399</v>
      </c>
      <c r="BV125" s="2" t="s">
        <v>85</v>
      </c>
      <c r="BW125" s="2"/>
      <c r="BX125" s="2"/>
      <c r="BY125" s="2">
        <v>3256</v>
      </c>
      <c r="BZ125" s="2" t="s">
        <v>27</v>
      </c>
      <c r="CA125" s="2" t="s">
        <v>129</v>
      </c>
      <c r="CB125" s="2"/>
      <c r="CC125" s="2" t="s">
        <v>153</v>
      </c>
      <c r="CD125" s="2">
        <v>7620</v>
      </c>
      <c r="CE125" s="2" t="s">
        <v>86</v>
      </c>
      <c r="CF125" s="5">
        <v>42653</v>
      </c>
      <c r="CG125" s="2"/>
      <c r="CH125" s="2"/>
      <c r="CI125" s="2">
        <v>1</v>
      </c>
      <c r="CJ125" s="2">
        <v>1</v>
      </c>
      <c r="CK125" s="2">
        <v>24</v>
      </c>
      <c r="CL125" s="2" t="s">
        <v>88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"FES1162505252"</f>
        <v>FES1162505252</v>
      </c>
      <c r="F126" s="3">
        <v>42650</v>
      </c>
      <c r="G126" s="2">
        <v>201704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361</v>
      </c>
      <c r="M126" s="2" t="s">
        <v>362</v>
      </c>
      <c r="N126" s="2" t="s">
        <v>363</v>
      </c>
      <c r="O126" s="2" t="s">
        <v>96</v>
      </c>
      <c r="P126" s="2" t="str">
        <f>"2170528898                    "</f>
        <v xml:space="preserve">2170528898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4.66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0.5</v>
      </c>
      <c r="BJ126" s="2">
        <v>0.2</v>
      </c>
      <c r="BK126" s="2">
        <v>0.5</v>
      </c>
      <c r="BL126" s="2">
        <v>57.31</v>
      </c>
      <c r="BM126" s="2">
        <v>8.02</v>
      </c>
      <c r="BN126" s="2">
        <v>65.33</v>
      </c>
      <c r="BO126" s="2">
        <v>65.33</v>
      </c>
      <c r="BP126" s="2"/>
      <c r="BQ126" s="2" t="s">
        <v>364</v>
      </c>
      <c r="BR126" s="2" t="s">
        <v>83</v>
      </c>
      <c r="BS126" s="3">
        <v>42653</v>
      </c>
      <c r="BT126" s="4">
        <v>0.43055555555555558</v>
      </c>
      <c r="BU126" s="2" t="s">
        <v>400</v>
      </c>
      <c r="BV126" s="2" t="s">
        <v>85</v>
      </c>
      <c r="BW126" s="2"/>
      <c r="BX126" s="2"/>
      <c r="BY126" s="2">
        <v>1200</v>
      </c>
      <c r="BZ126" s="2"/>
      <c r="CA126" s="2"/>
      <c r="CB126" s="2"/>
      <c r="CC126" s="2" t="s">
        <v>362</v>
      </c>
      <c r="CD126" s="2">
        <v>1441</v>
      </c>
      <c r="CE126" s="2" t="s">
        <v>108</v>
      </c>
      <c r="CF126" s="5">
        <v>42655</v>
      </c>
      <c r="CG126" s="2"/>
      <c r="CH126" s="2"/>
      <c r="CI126" s="2">
        <v>1</v>
      </c>
      <c r="CJ126" s="2">
        <v>1</v>
      </c>
      <c r="CK126" s="2">
        <v>24</v>
      </c>
      <c r="CL126" s="2" t="s">
        <v>88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"FES1162504925"</f>
        <v>FES1162504925</v>
      </c>
      <c r="F127" s="3">
        <v>42649</v>
      </c>
      <c r="G127" s="2">
        <v>201704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401</v>
      </c>
      <c r="M127" s="2" t="s">
        <v>402</v>
      </c>
      <c r="N127" s="2" t="s">
        <v>403</v>
      </c>
      <c r="O127" s="2" t="s">
        <v>96</v>
      </c>
      <c r="P127" s="2" t="str">
        <f>"2170526799                    "</f>
        <v xml:space="preserve">2170526799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6.43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78.97</v>
      </c>
      <c r="BM127" s="2">
        <v>11.06</v>
      </c>
      <c r="BN127" s="2">
        <v>90.03</v>
      </c>
      <c r="BO127" s="2">
        <v>90.03</v>
      </c>
      <c r="BP127" s="2"/>
      <c r="BQ127" s="2" t="s">
        <v>404</v>
      </c>
      <c r="BR127" s="2" t="s">
        <v>83</v>
      </c>
      <c r="BS127" s="3">
        <v>42650</v>
      </c>
      <c r="BT127" s="4">
        <v>0.4375</v>
      </c>
      <c r="BU127" s="2" t="s">
        <v>405</v>
      </c>
      <c r="BV127" s="2" t="s">
        <v>85</v>
      </c>
      <c r="BW127" s="2"/>
      <c r="BX127" s="2"/>
      <c r="BY127" s="2">
        <v>1200</v>
      </c>
      <c r="BZ127" s="2" t="s">
        <v>27</v>
      </c>
      <c r="CA127" s="2" t="s">
        <v>406</v>
      </c>
      <c r="CB127" s="2"/>
      <c r="CC127" s="2" t="s">
        <v>402</v>
      </c>
      <c r="CD127" s="2">
        <v>6506</v>
      </c>
      <c r="CE127" s="2" t="s">
        <v>108</v>
      </c>
      <c r="CF127" s="5">
        <v>42654</v>
      </c>
      <c r="CG127" s="2"/>
      <c r="CH127" s="2"/>
      <c r="CI127" s="2">
        <v>1</v>
      </c>
      <c r="CJ127" s="2">
        <v>1</v>
      </c>
      <c r="CK127" s="2">
        <v>23</v>
      </c>
      <c r="CL127" s="2" t="s">
        <v>88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"FES1162505379"</f>
        <v>FES1162505379</v>
      </c>
      <c r="F128" s="3">
        <v>42650</v>
      </c>
      <c r="G128" s="2">
        <v>201704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160</v>
      </c>
      <c r="M128" s="2" t="s">
        <v>161</v>
      </c>
      <c r="N128" s="2" t="s">
        <v>267</v>
      </c>
      <c r="O128" s="2" t="s">
        <v>96</v>
      </c>
      <c r="P128" s="2" t="str">
        <f>"2170529053                    "</f>
        <v xml:space="preserve">2170529053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4.1500000000000004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2</v>
      </c>
      <c r="BJ128" s="2">
        <v>2.1</v>
      </c>
      <c r="BK128" s="2">
        <v>2.5</v>
      </c>
      <c r="BL128" s="2">
        <v>50.95</v>
      </c>
      <c r="BM128" s="2">
        <v>7.13</v>
      </c>
      <c r="BN128" s="2">
        <v>58.08</v>
      </c>
      <c r="BO128" s="2">
        <v>58.08</v>
      </c>
      <c r="BP128" s="2"/>
      <c r="BQ128" s="2">
        <v>1162505379</v>
      </c>
      <c r="BR128" s="2" t="s">
        <v>83</v>
      </c>
      <c r="BS128" s="3">
        <v>42653</v>
      </c>
      <c r="BT128" s="4">
        <v>0.37847222222222227</v>
      </c>
      <c r="BU128" s="2" t="s">
        <v>407</v>
      </c>
      <c r="BV128" s="2" t="s">
        <v>85</v>
      </c>
      <c r="BW128" s="2"/>
      <c r="BX128" s="2"/>
      <c r="BY128" s="2">
        <v>10457.719999999999</v>
      </c>
      <c r="BZ128" s="2"/>
      <c r="CA128" s="2"/>
      <c r="CB128" s="2"/>
      <c r="CC128" s="2" t="s">
        <v>161</v>
      </c>
      <c r="CD128" s="2">
        <v>7441</v>
      </c>
      <c r="CE128" s="2" t="s">
        <v>108</v>
      </c>
      <c r="CF128" s="5">
        <v>42654</v>
      </c>
      <c r="CG128" s="2"/>
      <c r="CH128" s="2"/>
      <c r="CI128" s="2">
        <v>1</v>
      </c>
      <c r="CJ128" s="2">
        <v>1</v>
      </c>
      <c r="CK128" s="2">
        <v>21</v>
      </c>
      <c r="CL128" s="2" t="s">
        <v>88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"FES1162505159"</f>
        <v>FES1162505159</v>
      </c>
      <c r="F129" s="3">
        <v>42649</v>
      </c>
      <c r="G129" s="2">
        <v>201704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160</v>
      </c>
      <c r="M129" s="2" t="s">
        <v>161</v>
      </c>
      <c r="N129" s="2" t="s">
        <v>267</v>
      </c>
      <c r="O129" s="2" t="s">
        <v>96</v>
      </c>
      <c r="P129" s="2" t="str">
        <f>"2170528830                    "</f>
        <v xml:space="preserve">2170528830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3.32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40.76</v>
      </c>
      <c r="BM129" s="2">
        <v>5.71</v>
      </c>
      <c r="BN129" s="2">
        <v>46.47</v>
      </c>
      <c r="BO129" s="2">
        <v>46.47</v>
      </c>
      <c r="BP129" s="2"/>
      <c r="BQ129" s="2" t="s">
        <v>117</v>
      </c>
      <c r="BR129" s="2" t="s">
        <v>83</v>
      </c>
      <c r="BS129" s="3">
        <v>42650</v>
      </c>
      <c r="BT129" s="4">
        <v>0.35902777777777778</v>
      </c>
      <c r="BU129" s="2" t="s">
        <v>408</v>
      </c>
      <c r="BV129" s="2" t="s">
        <v>85</v>
      </c>
      <c r="BW129" s="2"/>
      <c r="BX129" s="2"/>
      <c r="BY129" s="2">
        <v>1200</v>
      </c>
      <c r="BZ129" s="2" t="s">
        <v>27</v>
      </c>
      <c r="CA129" s="2"/>
      <c r="CB129" s="2"/>
      <c r="CC129" s="2" t="s">
        <v>161</v>
      </c>
      <c r="CD129" s="2">
        <v>7441</v>
      </c>
      <c r="CE129" s="2" t="s">
        <v>108</v>
      </c>
      <c r="CF129" s="5">
        <v>42653</v>
      </c>
      <c r="CG129" s="2"/>
      <c r="CH129" s="2"/>
      <c r="CI129" s="2">
        <v>1</v>
      </c>
      <c r="CJ129" s="2">
        <v>1</v>
      </c>
      <c r="CK129" s="2">
        <v>21</v>
      </c>
      <c r="CL129" s="2" t="s">
        <v>88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"FES1162505376"</f>
        <v>FES1162505376</v>
      </c>
      <c r="F130" s="3">
        <v>42650</v>
      </c>
      <c r="G130" s="2">
        <v>201704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160</v>
      </c>
      <c r="M130" s="2" t="s">
        <v>161</v>
      </c>
      <c r="N130" s="2" t="s">
        <v>409</v>
      </c>
      <c r="O130" s="2" t="s">
        <v>96</v>
      </c>
      <c r="P130" s="2" t="str">
        <f>"2170528742                    "</f>
        <v xml:space="preserve">2170528742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3.32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1</v>
      </c>
      <c r="BJ130" s="2">
        <v>0.2</v>
      </c>
      <c r="BK130" s="2">
        <v>1</v>
      </c>
      <c r="BL130" s="2">
        <v>40.76</v>
      </c>
      <c r="BM130" s="2">
        <v>5.71</v>
      </c>
      <c r="BN130" s="2">
        <v>46.47</v>
      </c>
      <c r="BO130" s="2">
        <v>46.47</v>
      </c>
      <c r="BP130" s="2"/>
      <c r="BQ130" s="2" t="s">
        <v>410</v>
      </c>
      <c r="BR130" s="2" t="s">
        <v>83</v>
      </c>
      <c r="BS130" s="3">
        <v>42653</v>
      </c>
      <c r="BT130" s="4">
        <v>0.34375</v>
      </c>
      <c r="BU130" s="2" t="s">
        <v>410</v>
      </c>
      <c r="BV130" s="2" t="s">
        <v>85</v>
      </c>
      <c r="BW130" s="2"/>
      <c r="BX130" s="2"/>
      <c r="BY130" s="2">
        <v>1200</v>
      </c>
      <c r="BZ130" s="2" t="s">
        <v>27</v>
      </c>
      <c r="CA130" s="2"/>
      <c r="CB130" s="2"/>
      <c r="CC130" s="2" t="s">
        <v>161</v>
      </c>
      <c r="CD130" s="2">
        <v>7975</v>
      </c>
      <c r="CE130" s="2" t="s">
        <v>108</v>
      </c>
      <c r="CF130" s="5">
        <v>42654</v>
      </c>
      <c r="CG130" s="2"/>
      <c r="CH130" s="2"/>
      <c r="CI130" s="2">
        <v>1</v>
      </c>
      <c r="CJ130" s="2">
        <v>1</v>
      </c>
      <c r="CK130" s="2">
        <v>21</v>
      </c>
      <c r="CL130" s="2" t="s">
        <v>88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"FES1162504978"</f>
        <v>FES1162504978</v>
      </c>
      <c r="F131" s="3">
        <v>42649</v>
      </c>
      <c r="G131" s="2">
        <v>201704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160</v>
      </c>
      <c r="M131" s="2" t="s">
        <v>161</v>
      </c>
      <c r="N131" s="2" t="s">
        <v>411</v>
      </c>
      <c r="O131" s="2" t="s">
        <v>96</v>
      </c>
      <c r="P131" s="2" t="str">
        <f>"2170518396                    "</f>
        <v xml:space="preserve">2170518396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3.32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0.5</v>
      </c>
      <c r="BJ131" s="2">
        <v>0.2</v>
      </c>
      <c r="BK131" s="2">
        <v>0.5</v>
      </c>
      <c r="BL131" s="2">
        <v>40.76</v>
      </c>
      <c r="BM131" s="2">
        <v>5.71</v>
      </c>
      <c r="BN131" s="2">
        <v>46.47</v>
      </c>
      <c r="BO131" s="2">
        <v>46.47</v>
      </c>
      <c r="BP131" s="2"/>
      <c r="BQ131" s="2" t="s">
        <v>412</v>
      </c>
      <c r="BR131" s="2" t="s">
        <v>83</v>
      </c>
      <c r="BS131" s="3">
        <v>42650</v>
      </c>
      <c r="BT131" s="4">
        <v>0.45833333333333331</v>
      </c>
      <c r="BU131" s="2" t="s">
        <v>413</v>
      </c>
      <c r="BV131" s="2" t="s">
        <v>85</v>
      </c>
      <c r="BW131" s="2"/>
      <c r="BX131" s="2"/>
      <c r="BY131" s="2">
        <v>1200</v>
      </c>
      <c r="BZ131" s="2"/>
      <c r="CA131" s="2"/>
      <c r="CB131" s="2"/>
      <c r="CC131" s="2" t="s">
        <v>161</v>
      </c>
      <c r="CD131" s="2">
        <v>7945</v>
      </c>
      <c r="CE131" s="2" t="s">
        <v>108</v>
      </c>
      <c r="CF131" s="5">
        <v>42654</v>
      </c>
      <c r="CG131" s="2"/>
      <c r="CH131" s="2"/>
      <c r="CI131" s="2">
        <v>1</v>
      </c>
      <c r="CJ131" s="2">
        <v>1</v>
      </c>
      <c r="CK131" s="2">
        <v>21</v>
      </c>
      <c r="CL131" s="2" t="s">
        <v>88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"FES1162505298"</f>
        <v>FES1162505298</v>
      </c>
      <c r="F132" s="3">
        <v>42650</v>
      </c>
      <c r="G132" s="2">
        <v>201704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414</v>
      </c>
      <c r="M132" s="2" t="s">
        <v>414</v>
      </c>
      <c r="N132" s="2" t="s">
        <v>415</v>
      </c>
      <c r="O132" s="2" t="s">
        <v>96</v>
      </c>
      <c r="P132" s="2" t="str">
        <f>"2170528952                    "</f>
        <v xml:space="preserve">2170528952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10.78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3.1</v>
      </c>
      <c r="BJ132" s="2">
        <v>3.3</v>
      </c>
      <c r="BK132" s="2">
        <v>3.5</v>
      </c>
      <c r="BL132" s="2">
        <v>132.46</v>
      </c>
      <c r="BM132" s="2">
        <v>18.54</v>
      </c>
      <c r="BN132" s="2">
        <v>151</v>
      </c>
      <c r="BO132" s="2">
        <v>151</v>
      </c>
      <c r="BP132" s="2"/>
      <c r="BQ132" s="2" t="s">
        <v>117</v>
      </c>
      <c r="BR132" s="2" t="s">
        <v>83</v>
      </c>
      <c r="BS132" s="3">
        <v>42654</v>
      </c>
      <c r="BT132" s="4">
        <v>0.54166666666666663</v>
      </c>
      <c r="BU132" s="2" t="s">
        <v>416</v>
      </c>
      <c r="BV132" s="2" t="s">
        <v>85</v>
      </c>
      <c r="BW132" s="2"/>
      <c r="BX132" s="2"/>
      <c r="BY132" s="2">
        <v>16595.54</v>
      </c>
      <c r="BZ132" s="2"/>
      <c r="CA132" s="2"/>
      <c r="CB132" s="2"/>
      <c r="CC132" s="2" t="s">
        <v>414</v>
      </c>
      <c r="CD132" s="2">
        <v>5470</v>
      </c>
      <c r="CE132" s="2" t="s">
        <v>86</v>
      </c>
      <c r="CF132" s="5">
        <v>42660</v>
      </c>
      <c r="CG132" s="2"/>
      <c r="CH132" s="2"/>
      <c r="CI132" s="2">
        <v>4</v>
      </c>
      <c r="CJ132" s="2">
        <v>2</v>
      </c>
      <c r="CK132" s="2">
        <v>23</v>
      </c>
      <c r="CL132" s="2" t="s">
        <v>88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"FES1162505131"</f>
        <v>FES1162505131</v>
      </c>
      <c r="F133" s="3">
        <v>42649</v>
      </c>
      <c r="G133" s="2">
        <v>201704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269</v>
      </c>
      <c r="M133" s="2" t="s">
        <v>270</v>
      </c>
      <c r="N133" s="2" t="s">
        <v>417</v>
      </c>
      <c r="O133" s="2" t="s">
        <v>96</v>
      </c>
      <c r="P133" s="2" t="str">
        <f>"2170528787                    "</f>
        <v xml:space="preserve">2170528787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3.32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1</v>
      </c>
      <c r="BI133" s="2">
        <v>1</v>
      </c>
      <c r="BJ133" s="2">
        <v>0.2</v>
      </c>
      <c r="BK133" s="2">
        <v>1</v>
      </c>
      <c r="BL133" s="2">
        <v>40.76</v>
      </c>
      <c r="BM133" s="2">
        <v>5.71</v>
      </c>
      <c r="BN133" s="2">
        <v>46.47</v>
      </c>
      <c r="BO133" s="2">
        <v>46.47</v>
      </c>
      <c r="BP133" s="2"/>
      <c r="BQ133" s="2" t="s">
        <v>418</v>
      </c>
      <c r="BR133" s="2" t="s">
        <v>83</v>
      </c>
      <c r="BS133" s="3">
        <v>42650</v>
      </c>
      <c r="BT133" s="4">
        <v>0.33819444444444446</v>
      </c>
      <c r="BU133" s="2" t="s">
        <v>419</v>
      </c>
      <c r="BV133" s="2" t="s">
        <v>85</v>
      </c>
      <c r="BW133" s="2"/>
      <c r="BX133" s="2"/>
      <c r="BY133" s="2">
        <v>1200</v>
      </c>
      <c r="BZ133" s="2" t="s">
        <v>27</v>
      </c>
      <c r="CA133" s="2" t="s">
        <v>129</v>
      </c>
      <c r="CB133" s="2"/>
      <c r="CC133" s="2" t="s">
        <v>270</v>
      </c>
      <c r="CD133" s="2">
        <v>3610</v>
      </c>
      <c r="CE133" s="2" t="s">
        <v>108</v>
      </c>
      <c r="CF133" s="5">
        <v>42653</v>
      </c>
      <c r="CG133" s="2"/>
      <c r="CH133" s="2"/>
      <c r="CI133" s="2">
        <v>1</v>
      </c>
      <c r="CJ133" s="2">
        <v>1</v>
      </c>
      <c r="CK133" s="2">
        <v>21</v>
      </c>
      <c r="CL133" s="2" t="s">
        <v>88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"FES1162505214"</f>
        <v>FES1162505214</v>
      </c>
      <c r="F134" s="3">
        <v>42650</v>
      </c>
      <c r="G134" s="2">
        <v>201704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137</v>
      </c>
      <c r="M134" s="2" t="s">
        <v>138</v>
      </c>
      <c r="N134" s="2" t="s">
        <v>420</v>
      </c>
      <c r="O134" s="2" t="s">
        <v>96</v>
      </c>
      <c r="P134" s="2" t="str">
        <f>"2170527180                    "</f>
        <v xml:space="preserve">2170527180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3.32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1</v>
      </c>
      <c r="BJ134" s="2">
        <v>0.2</v>
      </c>
      <c r="BK134" s="2">
        <v>1</v>
      </c>
      <c r="BL134" s="2">
        <v>40.76</v>
      </c>
      <c r="BM134" s="2">
        <v>5.71</v>
      </c>
      <c r="BN134" s="2">
        <v>46.47</v>
      </c>
      <c r="BO134" s="2">
        <v>46.47</v>
      </c>
      <c r="BP134" s="2"/>
      <c r="BQ134" s="2" t="s">
        <v>117</v>
      </c>
      <c r="BR134" s="2" t="s">
        <v>83</v>
      </c>
      <c r="BS134" s="3">
        <v>42653</v>
      </c>
      <c r="BT134" s="4">
        <v>0.35833333333333334</v>
      </c>
      <c r="BU134" s="2" t="s">
        <v>421</v>
      </c>
      <c r="BV134" s="2" t="s">
        <v>85</v>
      </c>
      <c r="BW134" s="2"/>
      <c r="BX134" s="2"/>
      <c r="BY134" s="2">
        <v>1200</v>
      </c>
      <c r="BZ134" s="2" t="s">
        <v>27</v>
      </c>
      <c r="CA134" s="2" t="s">
        <v>205</v>
      </c>
      <c r="CB134" s="2"/>
      <c r="CC134" s="2" t="s">
        <v>138</v>
      </c>
      <c r="CD134" s="2">
        <v>3201</v>
      </c>
      <c r="CE134" s="2" t="s">
        <v>108</v>
      </c>
      <c r="CF134" s="5">
        <v>42653</v>
      </c>
      <c r="CG134" s="2"/>
      <c r="CH134" s="2"/>
      <c r="CI134" s="2">
        <v>1</v>
      </c>
      <c r="CJ134" s="2">
        <v>1</v>
      </c>
      <c r="CK134" s="2">
        <v>21</v>
      </c>
      <c r="CL134" s="2" t="s">
        <v>88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"FES1162505084"</f>
        <v>FES1162505084</v>
      </c>
      <c r="F135" s="3">
        <v>42649</v>
      </c>
      <c r="G135" s="2">
        <v>201704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160</v>
      </c>
      <c r="M135" s="2" t="s">
        <v>161</v>
      </c>
      <c r="N135" s="2" t="s">
        <v>279</v>
      </c>
      <c r="O135" s="2" t="s">
        <v>96</v>
      </c>
      <c r="P135" s="2" t="str">
        <f>"2170528744                    "</f>
        <v xml:space="preserve">2170528744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7.46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4</v>
      </c>
      <c r="BJ135" s="2">
        <v>4.5</v>
      </c>
      <c r="BK135" s="2">
        <v>4.5</v>
      </c>
      <c r="BL135" s="2">
        <v>91.7</v>
      </c>
      <c r="BM135" s="2">
        <v>12.84</v>
      </c>
      <c r="BN135" s="2">
        <v>104.54</v>
      </c>
      <c r="BO135" s="2">
        <v>104.54</v>
      </c>
      <c r="BP135" s="2"/>
      <c r="BQ135" s="2" t="s">
        <v>280</v>
      </c>
      <c r="BR135" s="2" t="s">
        <v>83</v>
      </c>
      <c r="BS135" s="3">
        <v>42650</v>
      </c>
      <c r="BT135" s="4">
        <v>0.34722222222222227</v>
      </c>
      <c r="BU135" s="2" t="s">
        <v>281</v>
      </c>
      <c r="BV135" s="2" t="s">
        <v>85</v>
      </c>
      <c r="BW135" s="2"/>
      <c r="BX135" s="2"/>
      <c r="BY135" s="2">
        <v>22320</v>
      </c>
      <c r="BZ135" s="2" t="s">
        <v>27</v>
      </c>
      <c r="CA135" s="2"/>
      <c r="CB135" s="2"/>
      <c r="CC135" s="2" t="s">
        <v>161</v>
      </c>
      <c r="CD135" s="2">
        <v>7441</v>
      </c>
      <c r="CE135" s="2" t="s">
        <v>86</v>
      </c>
      <c r="CF135" s="5">
        <v>42653</v>
      </c>
      <c r="CG135" s="2"/>
      <c r="CH135" s="2"/>
      <c r="CI135" s="2">
        <v>1</v>
      </c>
      <c r="CJ135" s="2">
        <v>1</v>
      </c>
      <c r="CK135" s="2">
        <v>21</v>
      </c>
      <c r="CL135" s="2" t="s">
        <v>88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"FES1162505262"</f>
        <v>FES1162505262</v>
      </c>
      <c r="F136" s="3">
        <v>42650</v>
      </c>
      <c r="G136" s="2">
        <v>201704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148</v>
      </c>
      <c r="M136" s="2" t="s">
        <v>149</v>
      </c>
      <c r="N136" s="2" t="s">
        <v>422</v>
      </c>
      <c r="O136" s="2" t="s">
        <v>96</v>
      </c>
      <c r="P136" s="2" t="str">
        <f>"2170528887                    "</f>
        <v xml:space="preserve">2170528887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3.32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</v>
      </c>
      <c r="BJ136" s="2">
        <v>0.2</v>
      </c>
      <c r="BK136" s="2">
        <v>1</v>
      </c>
      <c r="BL136" s="2">
        <v>40.76</v>
      </c>
      <c r="BM136" s="2">
        <v>5.71</v>
      </c>
      <c r="BN136" s="2">
        <v>46.47</v>
      </c>
      <c r="BO136" s="2">
        <v>46.47</v>
      </c>
      <c r="BP136" s="2"/>
      <c r="BQ136" s="2" t="s">
        <v>423</v>
      </c>
      <c r="BR136" s="2" t="s">
        <v>83</v>
      </c>
      <c r="BS136" s="3">
        <v>42653</v>
      </c>
      <c r="BT136" s="4">
        <v>0.52777777777777779</v>
      </c>
      <c r="BU136" s="2" t="s">
        <v>424</v>
      </c>
      <c r="BV136" s="2" t="s">
        <v>88</v>
      </c>
      <c r="BW136" s="2" t="s">
        <v>425</v>
      </c>
      <c r="BX136" s="2" t="s">
        <v>426</v>
      </c>
      <c r="BY136" s="2">
        <v>1200</v>
      </c>
      <c r="BZ136" s="2" t="s">
        <v>27</v>
      </c>
      <c r="CA136" s="2"/>
      <c r="CB136" s="2"/>
      <c r="CC136" s="2" t="s">
        <v>149</v>
      </c>
      <c r="CD136" s="2">
        <v>4052</v>
      </c>
      <c r="CE136" s="2" t="s">
        <v>108</v>
      </c>
      <c r="CF136" s="5">
        <v>42654</v>
      </c>
      <c r="CG136" s="2"/>
      <c r="CH136" s="2"/>
      <c r="CI136" s="2">
        <v>1</v>
      </c>
      <c r="CJ136" s="2">
        <v>1</v>
      </c>
      <c r="CK136" s="2">
        <v>21</v>
      </c>
      <c r="CL136" s="2" t="s">
        <v>88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"FES1162504889"</f>
        <v>FES1162504889</v>
      </c>
      <c r="F137" s="3">
        <v>42649</v>
      </c>
      <c r="G137" s="2">
        <v>201704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93</v>
      </c>
      <c r="M137" s="2" t="s">
        <v>94</v>
      </c>
      <c r="N137" s="2" t="s">
        <v>427</v>
      </c>
      <c r="O137" s="2" t="s">
        <v>96</v>
      </c>
      <c r="P137" s="2" t="str">
        <f>"2170528562                    "</f>
        <v xml:space="preserve">2170528562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3.32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1</v>
      </c>
      <c r="BK137" s="2">
        <v>1</v>
      </c>
      <c r="BL137" s="2">
        <v>40.76</v>
      </c>
      <c r="BM137" s="2">
        <v>5.71</v>
      </c>
      <c r="BN137" s="2">
        <v>46.47</v>
      </c>
      <c r="BO137" s="2">
        <v>46.47</v>
      </c>
      <c r="BP137" s="2"/>
      <c r="BQ137" s="2" t="s">
        <v>91</v>
      </c>
      <c r="BR137" s="2" t="s">
        <v>83</v>
      </c>
      <c r="BS137" s="3">
        <v>42650</v>
      </c>
      <c r="BT137" s="4">
        <v>0.41319444444444442</v>
      </c>
      <c r="BU137" s="2" t="s">
        <v>428</v>
      </c>
      <c r="BV137" s="2" t="s">
        <v>85</v>
      </c>
      <c r="BW137" s="2"/>
      <c r="BX137" s="2"/>
      <c r="BY137" s="2">
        <v>4938.1899999999996</v>
      </c>
      <c r="BZ137" s="2" t="s">
        <v>27</v>
      </c>
      <c r="CA137" s="2"/>
      <c r="CB137" s="2"/>
      <c r="CC137" s="2" t="s">
        <v>94</v>
      </c>
      <c r="CD137" s="2">
        <v>4302</v>
      </c>
      <c r="CE137" s="2" t="s">
        <v>108</v>
      </c>
      <c r="CF137" s="5">
        <v>42653</v>
      </c>
      <c r="CG137" s="2"/>
      <c r="CH137" s="2"/>
      <c r="CI137" s="2">
        <v>1</v>
      </c>
      <c r="CJ137" s="2">
        <v>1</v>
      </c>
      <c r="CK137" s="2">
        <v>21</v>
      </c>
      <c r="CL137" s="2" t="s">
        <v>88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"FES1162505186"</f>
        <v>FES1162505186</v>
      </c>
      <c r="F138" s="3">
        <v>42650</v>
      </c>
      <c r="G138" s="2">
        <v>201704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171</v>
      </c>
      <c r="M138" s="2" t="s">
        <v>172</v>
      </c>
      <c r="N138" s="2" t="s">
        <v>429</v>
      </c>
      <c r="O138" s="2" t="s">
        <v>96</v>
      </c>
      <c r="P138" s="2" t="str">
        <f>"2170526764                    "</f>
        <v xml:space="preserve">2170526764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3.32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2</v>
      </c>
      <c r="BJ138" s="2">
        <v>0.2</v>
      </c>
      <c r="BK138" s="2">
        <v>2</v>
      </c>
      <c r="BL138" s="2">
        <v>40.76</v>
      </c>
      <c r="BM138" s="2">
        <v>5.71</v>
      </c>
      <c r="BN138" s="2">
        <v>46.47</v>
      </c>
      <c r="BO138" s="2">
        <v>46.47</v>
      </c>
      <c r="BP138" s="2"/>
      <c r="BQ138" s="2" t="s">
        <v>430</v>
      </c>
      <c r="BR138" s="2" t="s">
        <v>83</v>
      </c>
      <c r="BS138" s="3">
        <v>42653</v>
      </c>
      <c r="BT138" s="4">
        <v>0.39583333333333331</v>
      </c>
      <c r="BU138" s="2" t="s">
        <v>431</v>
      </c>
      <c r="BV138" s="2" t="s">
        <v>85</v>
      </c>
      <c r="BW138" s="2"/>
      <c r="BX138" s="2"/>
      <c r="BY138" s="2">
        <v>1200</v>
      </c>
      <c r="BZ138" s="2" t="s">
        <v>27</v>
      </c>
      <c r="CA138" s="2"/>
      <c r="CB138" s="2"/>
      <c r="CC138" s="2" t="s">
        <v>172</v>
      </c>
      <c r="CD138" s="2">
        <v>6220</v>
      </c>
      <c r="CE138" s="2" t="s">
        <v>108</v>
      </c>
      <c r="CF138" s="5">
        <v>42654</v>
      </c>
      <c r="CG138" s="2"/>
      <c r="CH138" s="2"/>
      <c r="CI138" s="2">
        <v>1</v>
      </c>
      <c r="CJ138" s="2">
        <v>1</v>
      </c>
      <c r="CK138" s="2">
        <v>21</v>
      </c>
      <c r="CL138" s="2" t="s">
        <v>88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"FES1162504900"</f>
        <v>FES1162504900</v>
      </c>
      <c r="F139" s="3">
        <v>42649</v>
      </c>
      <c r="G139" s="2">
        <v>201704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148</v>
      </c>
      <c r="M139" s="2" t="s">
        <v>149</v>
      </c>
      <c r="N139" s="2" t="s">
        <v>432</v>
      </c>
      <c r="O139" s="2" t="s">
        <v>96</v>
      </c>
      <c r="P139" s="2" t="str">
        <f>"2170525771                    "</f>
        <v xml:space="preserve">2170525771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3.32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</v>
      </c>
      <c r="BJ139" s="2">
        <v>0.2</v>
      </c>
      <c r="BK139" s="2">
        <v>1</v>
      </c>
      <c r="BL139" s="2">
        <v>40.76</v>
      </c>
      <c r="BM139" s="2">
        <v>5.71</v>
      </c>
      <c r="BN139" s="2">
        <v>46.47</v>
      </c>
      <c r="BO139" s="2">
        <v>46.47</v>
      </c>
      <c r="BP139" s="2"/>
      <c r="BQ139" s="2" t="s">
        <v>91</v>
      </c>
      <c r="BR139" s="2" t="s">
        <v>83</v>
      </c>
      <c r="BS139" s="3">
        <v>42650</v>
      </c>
      <c r="BT139" s="4">
        <v>0.39583333333333331</v>
      </c>
      <c r="BU139" s="2" t="s">
        <v>433</v>
      </c>
      <c r="BV139" s="2" t="s">
        <v>85</v>
      </c>
      <c r="BW139" s="2"/>
      <c r="BX139" s="2"/>
      <c r="BY139" s="2">
        <v>1200</v>
      </c>
      <c r="BZ139" s="2" t="s">
        <v>27</v>
      </c>
      <c r="CA139" s="2"/>
      <c r="CB139" s="2"/>
      <c r="CC139" s="2" t="s">
        <v>149</v>
      </c>
      <c r="CD139" s="2">
        <v>4052</v>
      </c>
      <c r="CE139" s="2" t="s">
        <v>108</v>
      </c>
      <c r="CF139" s="5">
        <v>42653</v>
      </c>
      <c r="CG139" s="2"/>
      <c r="CH139" s="2"/>
      <c r="CI139" s="2">
        <v>1</v>
      </c>
      <c r="CJ139" s="2">
        <v>1</v>
      </c>
      <c r="CK139" s="2">
        <v>21</v>
      </c>
      <c r="CL139" s="2" t="s">
        <v>88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"FES1162505286"</f>
        <v>FES1162505286</v>
      </c>
      <c r="F140" s="3">
        <v>42650</v>
      </c>
      <c r="G140" s="2">
        <v>201704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153</v>
      </c>
      <c r="M140" s="2" t="s">
        <v>153</v>
      </c>
      <c r="N140" s="2" t="s">
        <v>353</v>
      </c>
      <c r="O140" s="2" t="s">
        <v>96</v>
      </c>
      <c r="P140" s="2" t="str">
        <f>"2170528933                    "</f>
        <v xml:space="preserve">2170528933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3.32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40.76</v>
      </c>
      <c r="BM140" s="2">
        <v>5.71</v>
      </c>
      <c r="BN140" s="2">
        <v>46.47</v>
      </c>
      <c r="BO140" s="2">
        <v>46.47</v>
      </c>
      <c r="BP140" s="2"/>
      <c r="BQ140" s="2" t="s">
        <v>354</v>
      </c>
      <c r="BR140" s="2" t="s">
        <v>83</v>
      </c>
      <c r="BS140" s="3">
        <v>42653</v>
      </c>
      <c r="BT140" s="4">
        <v>0.4513888888888889</v>
      </c>
      <c r="BU140" s="2" t="s">
        <v>434</v>
      </c>
      <c r="BV140" s="2" t="s">
        <v>85</v>
      </c>
      <c r="BW140" s="2"/>
      <c r="BX140" s="2"/>
      <c r="BY140" s="2">
        <v>1200</v>
      </c>
      <c r="BZ140" s="2"/>
      <c r="CA140" s="2"/>
      <c r="CB140" s="2"/>
      <c r="CC140" s="2" t="s">
        <v>153</v>
      </c>
      <c r="CD140" s="2">
        <v>7646</v>
      </c>
      <c r="CE140" s="2" t="s">
        <v>108</v>
      </c>
      <c r="CF140" s="5">
        <v>42654</v>
      </c>
      <c r="CG140" s="2"/>
      <c r="CH140" s="2"/>
      <c r="CI140" s="2">
        <v>1</v>
      </c>
      <c r="CJ140" s="2">
        <v>1</v>
      </c>
      <c r="CK140" s="2">
        <v>21</v>
      </c>
      <c r="CL140" s="2" t="s">
        <v>88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"FES1162504960"</f>
        <v>FES1162504960</v>
      </c>
      <c r="F141" s="3">
        <v>42649</v>
      </c>
      <c r="G141" s="2">
        <v>201704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171</v>
      </c>
      <c r="M141" s="2" t="s">
        <v>172</v>
      </c>
      <c r="N141" s="2" t="s">
        <v>429</v>
      </c>
      <c r="O141" s="2" t="s">
        <v>96</v>
      </c>
      <c r="P141" s="2" t="str">
        <f>"2170528577                    "</f>
        <v xml:space="preserve">2170528577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3.32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40.76</v>
      </c>
      <c r="BM141" s="2">
        <v>5.71</v>
      </c>
      <c r="BN141" s="2">
        <v>46.47</v>
      </c>
      <c r="BO141" s="2">
        <v>46.47</v>
      </c>
      <c r="BP141" s="2"/>
      <c r="BQ141" s="2" t="s">
        <v>430</v>
      </c>
      <c r="BR141" s="2" t="s">
        <v>83</v>
      </c>
      <c r="BS141" s="3">
        <v>42650</v>
      </c>
      <c r="BT141" s="4">
        <v>0.41666666666666669</v>
      </c>
      <c r="BU141" s="2" t="s">
        <v>431</v>
      </c>
      <c r="BV141" s="2" t="s">
        <v>85</v>
      </c>
      <c r="BW141" s="2"/>
      <c r="BX141" s="2"/>
      <c r="BY141" s="2">
        <v>1200</v>
      </c>
      <c r="BZ141" s="2"/>
      <c r="CA141" s="2"/>
      <c r="CB141" s="2"/>
      <c r="CC141" s="2" t="s">
        <v>172</v>
      </c>
      <c r="CD141" s="2">
        <v>6220</v>
      </c>
      <c r="CE141" s="2" t="s">
        <v>108</v>
      </c>
      <c r="CF141" s="5">
        <v>42655</v>
      </c>
      <c r="CG141" s="2"/>
      <c r="CH141" s="2"/>
      <c r="CI141" s="2">
        <v>1</v>
      </c>
      <c r="CJ141" s="2">
        <v>1</v>
      </c>
      <c r="CK141" s="2">
        <v>21</v>
      </c>
      <c r="CL141" s="2" t="s">
        <v>88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"FES1162505212"</f>
        <v>FES1162505212</v>
      </c>
      <c r="F142" s="3">
        <v>42650</v>
      </c>
      <c r="G142" s="2">
        <v>201704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160</v>
      </c>
      <c r="M142" s="2" t="s">
        <v>161</v>
      </c>
      <c r="N142" s="2" t="s">
        <v>182</v>
      </c>
      <c r="O142" s="2" t="s">
        <v>96</v>
      </c>
      <c r="P142" s="2" t="str">
        <f>"2170527125                    "</f>
        <v xml:space="preserve">2170527125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3.32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1</v>
      </c>
      <c r="BJ142" s="2">
        <v>0.2</v>
      </c>
      <c r="BK142" s="2">
        <v>1</v>
      </c>
      <c r="BL142" s="2">
        <v>40.76</v>
      </c>
      <c r="BM142" s="2">
        <v>5.71</v>
      </c>
      <c r="BN142" s="2">
        <v>46.47</v>
      </c>
      <c r="BO142" s="2">
        <v>46.47</v>
      </c>
      <c r="BP142" s="2"/>
      <c r="BQ142" s="2" t="s">
        <v>91</v>
      </c>
      <c r="BR142" s="2" t="s">
        <v>83</v>
      </c>
      <c r="BS142" s="3">
        <v>42653</v>
      </c>
      <c r="BT142" s="4">
        <v>0.45833333333333331</v>
      </c>
      <c r="BU142" s="2" t="s">
        <v>435</v>
      </c>
      <c r="BV142" s="2"/>
      <c r="BW142" s="2" t="s">
        <v>222</v>
      </c>
      <c r="BX142" s="2" t="s">
        <v>356</v>
      </c>
      <c r="BY142" s="2">
        <v>1200</v>
      </c>
      <c r="BZ142" s="2"/>
      <c r="CA142" s="2"/>
      <c r="CB142" s="2"/>
      <c r="CC142" s="2" t="s">
        <v>161</v>
      </c>
      <c r="CD142" s="2">
        <v>8001</v>
      </c>
      <c r="CE142" s="2" t="s">
        <v>108</v>
      </c>
      <c r="CF142" s="5">
        <v>42654</v>
      </c>
      <c r="CG142" s="2"/>
      <c r="CH142" s="2"/>
      <c r="CI142" s="2">
        <v>0</v>
      </c>
      <c r="CJ142" s="2">
        <v>0</v>
      </c>
      <c r="CK142" s="2">
        <v>21</v>
      </c>
      <c r="CL142" s="2" t="s">
        <v>88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"FES1162505015"</f>
        <v>FES1162505015</v>
      </c>
      <c r="F143" s="3">
        <v>42649</v>
      </c>
      <c r="G143" s="2">
        <v>201704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98</v>
      </c>
      <c r="M143" s="2" t="s">
        <v>99</v>
      </c>
      <c r="N143" s="2" t="s">
        <v>369</v>
      </c>
      <c r="O143" s="2" t="s">
        <v>96</v>
      </c>
      <c r="P143" s="2" t="str">
        <f>"2170527849                    "</f>
        <v xml:space="preserve">2170527849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3.32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0.2</v>
      </c>
      <c r="BK143" s="2">
        <v>1</v>
      </c>
      <c r="BL143" s="2">
        <v>40.76</v>
      </c>
      <c r="BM143" s="2">
        <v>5.71</v>
      </c>
      <c r="BN143" s="2">
        <v>46.47</v>
      </c>
      <c r="BO143" s="2">
        <v>46.47</v>
      </c>
      <c r="BP143" s="2"/>
      <c r="BQ143" s="2" t="s">
        <v>370</v>
      </c>
      <c r="BR143" s="2" t="s">
        <v>83</v>
      </c>
      <c r="BS143" s="3">
        <v>42650</v>
      </c>
      <c r="BT143" s="4">
        <v>0.3576388888888889</v>
      </c>
      <c r="BU143" s="2" t="s">
        <v>280</v>
      </c>
      <c r="BV143" s="2" t="s">
        <v>85</v>
      </c>
      <c r="BW143" s="2"/>
      <c r="BX143" s="2"/>
      <c r="BY143" s="2">
        <v>1200</v>
      </c>
      <c r="BZ143" s="2" t="s">
        <v>27</v>
      </c>
      <c r="CA143" s="2"/>
      <c r="CB143" s="2"/>
      <c r="CC143" s="2" t="s">
        <v>99</v>
      </c>
      <c r="CD143" s="2">
        <v>6001</v>
      </c>
      <c r="CE143" s="2" t="s">
        <v>108</v>
      </c>
      <c r="CF143" s="5">
        <v>42653</v>
      </c>
      <c r="CG143" s="2"/>
      <c r="CH143" s="2"/>
      <c r="CI143" s="2">
        <v>1</v>
      </c>
      <c r="CJ143" s="2">
        <v>1</v>
      </c>
      <c r="CK143" s="2">
        <v>21</v>
      </c>
      <c r="CL143" s="2" t="s">
        <v>88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"FES1162505213"</f>
        <v>FES1162505213</v>
      </c>
      <c r="F144" s="3">
        <v>42650</v>
      </c>
      <c r="G144" s="2">
        <v>201704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98</v>
      </c>
      <c r="M144" s="2" t="s">
        <v>99</v>
      </c>
      <c r="N144" s="2" t="s">
        <v>224</v>
      </c>
      <c r="O144" s="2" t="s">
        <v>96</v>
      </c>
      <c r="P144" s="2" t="str">
        <f>"2170527027                    "</f>
        <v xml:space="preserve">2170527027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3.32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1</v>
      </c>
      <c r="BJ144" s="2">
        <v>0.2</v>
      </c>
      <c r="BK144" s="2">
        <v>1</v>
      </c>
      <c r="BL144" s="2">
        <v>40.76</v>
      </c>
      <c r="BM144" s="2">
        <v>5.71</v>
      </c>
      <c r="BN144" s="2">
        <v>46.47</v>
      </c>
      <c r="BO144" s="2">
        <v>46.47</v>
      </c>
      <c r="BP144" s="2"/>
      <c r="BQ144" s="2" t="s">
        <v>225</v>
      </c>
      <c r="BR144" s="2" t="s">
        <v>83</v>
      </c>
      <c r="BS144" s="3">
        <v>42653</v>
      </c>
      <c r="BT144" s="4">
        <v>0.30902777777777779</v>
      </c>
      <c r="BU144" s="2" t="s">
        <v>436</v>
      </c>
      <c r="BV144" s="2" t="s">
        <v>85</v>
      </c>
      <c r="BW144" s="2"/>
      <c r="BX144" s="2"/>
      <c r="BY144" s="2">
        <v>1200</v>
      </c>
      <c r="BZ144" s="2"/>
      <c r="CA144" s="2" t="s">
        <v>437</v>
      </c>
      <c r="CB144" s="2"/>
      <c r="CC144" s="2" t="s">
        <v>99</v>
      </c>
      <c r="CD144" s="2">
        <v>6001</v>
      </c>
      <c r="CE144" s="2" t="s">
        <v>108</v>
      </c>
      <c r="CF144" s="5">
        <v>42653</v>
      </c>
      <c r="CG144" s="2"/>
      <c r="CH144" s="2"/>
      <c r="CI144" s="2">
        <v>1</v>
      </c>
      <c r="CJ144" s="2">
        <v>1</v>
      </c>
      <c r="CK144" s="2">
        <v>21</v>
      </c>
      <c r="CL144" s="2" t="s">
        <v>88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"FES1162505050"</f>
        <v>FES1162505050</v>
      </c>
      <c r="F145" s="3">
        <v>42649</v>
      </c>
      <c r="G145" s="2">
        <v>201704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98</v>
      </c>
      <c r="M145" s="2" t="s">
        <v>99</v>
      </c>
      <c r="N145" s="2" t="s">
        <v>104</v>
      </c>
      <c r="O145" s="2" t="s">
        <v>96</v>
      </c>
      <c r="P145" s="2" t="str">
        <f>"2170528464                    "</f>
        <v xml:space="preserve">2170528464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7.46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2</v>
      </c>
      <c r="BJ145" s="2">
        <v>4.5</v>
      </c>
      <c r="BK145" s="2">
        <v>4.5</v>
      </c>
      <c r="BL145" s="2">
        <v>91.7</v>
      </c>
      <c r="BM145" s="2">
        <v>12.84</v>
      </c>
      <c r="BN145" s="2">
        <v>104.54</v>
      </c>
      <c r="BO145" s="2">
        <v>104.54</v>
      </c>
      <c r="BP145" s="2"/>
      <c r="BQ145" s="2" t="s">
        <v>105</v>
      </c>
      <c r="BR145" s="2" t="s">
        <v>83</v>
      </c>
      <c r="BS145" s="3">
        <v>42650</v>
      </c>
      <c r="BT145" s="4">
        <v>0.40972222222222227</v>
      </c>
      <c r="BU145" s="2" t="s">
        <v>105</v>
      </c>
      <c r="BV145" s="2" t="s">
        <v>85</v>
      </c>
      <c r="BW145" s="2"/>
      <c r="BX145" s="2"/>
      <c r="BY145" s="2">
        <v>22320</v>
      </c>
      <c r="BZ145" s="2" t="s">
        <v>27</v>
      </c>
      <c r="CA145" s="2"/>
      <c r="CB145" s="2"/>
      <c r="CC145" s="2" t="s">
        <v>99</v>
      </c>
      <c r="CD145" s="2">
        <v>6001</v>
      </c>
      <c r="CE145" s="2" t="s">
        <v>86</v>
      </c>
      <c r="CF145" s="5">
        <v>42653</v>
      </c>
      <c r="CG145" s="2"/>
      <c r="CH145" s="2"/>
      <c r="CI145" s="2">
        <v>1</v>
      </c>
      <c r="CJ145" s="2">
        <v>1</v>
      </c>
      <c r="CK145" s="2">
        <v>21</v>
      </c>
      <c r="CL145" s="2" t="s">
        <v>88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"FES1162505394"</f>
        <v>FES1162505394</v>
      </c>
      <c r="F146" s="3">
        <v>42650</v>
      </c>
      <c r="G146" s="2">
        <v>201704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160</v>
      </c>
      <c r="M146" s="2" t="s">
        <v>161</v>
      </c>
      <c r="N146" s="2" t="s">
        <v>251</v>
      </c>
      <c r="O146" s="2" t="s">
        <v>96</v>
      </c>
      <c r="P146" s="2" t="str">
        <f>"2170529075                    "</f>
        <v xml:space="preserve">2170529075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3.32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0.5</v>
      </c>
      <c r="BJ146" s="2">
        <v>0.2</v>
      </c>
      <c r="BK146" s="2">
        <v>0.5</v>
      </c>
      <c r="BL146" s="2">
        <v>40.76</v>
      </c>
      <c r="BM146" s="2">
        <v>5.71</v>
      </c>
      <c r="BN146" s="2">
        <v>46.47</v>
      </c>
      <c r="BO146" s="2">
        <v>46.47</v>
      </c>
      <c r="BP146" s="2"/>
      <c r="BQ146" s="2" t="s">
        <v>91</v>
      </c>
      <c r="BR146" s="2" t="s">
        <v>83</v>
      </c>
      <c r="BS146" s="3">
        <v>42657</v>
      </c>
      <c r="BT146" s="2" t="s">
        <v>438</v>
      </c>
      <c r="BU146" s="2" t="s">
        <v>439</v>
      </c>
      <c r="BV146" s="2" t="s">
        <v>88</v>
      </c>
      <c r="BW146" s="2"/>
      <c r="BX146" s="2"/>
      <c r="BY146" s="2">
        <v>1200</v>
      </c>
      <c r="BZ146" s="2"/>
      <c r="CA146" s="2" t="s">
        <v>329</v>
      </c>
      <c r="CB146" s="2"/>
      <c r="CC146" s="2" t="s">
        <v>161</v>
      </c>
      <c r="CD146" s="2">
        <v>7500</v>
      </c>
      <c r="CE146" s="2" t="s">
        <v>108</v>
      </c>
      <c r="CF146" s="2"/>
      <c r="CG146" s="2"/>
      <c r="CH146" s="2"/>
      <c r="CI146" s="2">
        <v>1</v>
      </c>
      <c r="CJ146" s="2">
        <v>5</v>
      </c>
      <c r="CK146" s="2">
        <v>21</v>
      </c>
      <c r="CL146" s="2" t="s">
        <v>88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"FES1162505012"</f>
        <v>FES1162505012</v>
      </c>
      <c r="F147" s="3">
        <v>42649</v>
      </c>
      <c r="G147" s="2">
        <v>201704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153</v>
      </c>
      <c r="M147" s="2" t="s">
        <v>153</v>
      </c>
      <c r="N147" s="2" t="s">
        <v>200</v>
      </c>
      <c r="O147" s="2" t="s">
        <v>96</v>
      </c>
      <c r="P147" s="2" t="str">
        <f>"2170528661                    "</f>
        <v xml:space="preserve">2170528661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6.63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4</v>
      </c>
      <c r="BJ147" s="2">
        <v>2.4</v>
      </c>
      <c r="BK147" s="2">
        <v>4</v>
      </c>
      <c r="BL147" s="2">
        <v>81.510000000000005</v>
      </c>
      <c r="BM147" s="2">
        <v>11.41</v>
      </c>
      <c r="BN147" s="2">
        <v>92.92</v>
      </c>
      <c r="BO147" s="2">
        <v>92.92</v>
      </c>
      <c r="BP147" s="2"/>
      <c r="BQ147" s="2" t="s">
        <v>201</v>
      </c>
      <c r="BR147" s="2" t="s">
        <v>83</v>
      </c>
      <c r="BS147" s="3">
        <v>42650</v>
      </c>
      <c r="BT147" s="4">
        <v>0.55833333333333335</v>
      </c>
      <c r="BU147" s="2" t="s">
        <v>440</v>
      </c>
      <c r="BV147" s="2" t="s">
        <v>85</v>
      </c>
      <c r="BW147" s="2"/>
      <c r="BX147" s="2"/>
      <c r="BY147" s="2">
        <v>11780</v>
      </c>
      <c r="BZ147" s="2" t="s">
        <v>27</v>
      </c>
      <c r="CA147" s="2"/>
      <c r="CB147" s="2"/>
      <c r="CC147" s="2" t="s">
        <v>153</v>
      </c>
      <c r="CD147" s="2">
        <v>7646</v>
      </c>
      <c r="CE147" s="2" t="s">
        <v>86</v>
      </c>
      <c r="CF147" s="5">
        <v>42653</v>
      </c>
      <c r="CG147" s="2"/>
      <c r="CH147" s="2"/>
      <c r="CI147" s="2">
        <v>1</v>
      </c>
      <c r="CJ147" s="2">
        <v>1</v>
      </c>
      <c r="CK147" s="2">
        <v>21</v>
      </c>
      <c r="CL147" s="2" t="s">
        <v>88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"FES1162505182"</f>
        <v>FES1162505182</v>
      </c>
      <c r="F148" s="3">
        <v>42650</v>
      </c>
      <c r="G148" s="2">
        <v>201704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98</v>
      </c>
      <c r="M148" s="2" t="s">
        <v>99</v>
      </c>
      <c r="N148" s="2" t="s">
        <v>104</v>
      </c>
      <c r="O148" s="2" t="s">
        <v>96</v>
      </c>
      <c r="P148" s="2" t="str">
        <f>"2170526695                    "</f>
        <v xml:space="preserve">2170526695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3.32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1.1000000000000001</v>
      </c>
      <c r="BJ148" s="2">
        <v>0.2</v>
      </c>
      <c r="BK148" s="2">
        <v>1.5</v>
      </c>
      <c r="BL148" s="2">
        <v>40.76</v>
      </c>
      <c r="BM148" s="2">
        <v>5.71</v>
      </c>
      <c r="BN148" s="2">
        <v>46.47</v>
      </c>
      <c r="BO148" s="2">
        <v>46.47</v>
      </c>
      <c r="BP148" s="2"/>
      <c r="BQ148" s="2" t="s">
        <v>105</v>
      </c>
      <c r="BR148" s="2" t="s">
        <v>83</v>
      </c>
      <c r="BS148" s="3">
        <v>42653</v>
      </c>
      <c r="BT148" s="4">
        <v>0.37847222222222227</v>
      </c>
      <c r="BU148" s="2" t="s">
        <v>106</v>
      </c>
      <c r="BV148" s="2" t="s">
        <v>85</v>
      </c>
      <c r="BW148" s="2"/>
      <c r="BX148" s="2"/>
      <c r="BY148" s="2">
        <v>1200</v>
      </c>
      <c r="BZ148" s="2" t="s">
        <v>27</v>
      </c>
      <c r="CA148" s="2" t="s">
        <v>107</v>
      </c>
      <c r="CB148" s="2"/>
      <c r="CC148" s="2" t="s">
        <v>99</v>
      </c>
      <c r="CD148" s="2">
        <v>6001</v>
      </c>
      <c r="CE148" s="2" t="s">
        <v>108</v>
      </c>
      <c r="CF148" s="5">
        <v>42653</v>
      </c>
      <c r="CG148" s="2"/>
      <c r="CH148" s="2"/>
      <c r="CI148" s="2">
        <v>1</v>
      </c>
      <c r="CJ148" s="2">
        <v>1</v>
      </c>
      <c r="CK148" s="2">
        <v>21</v>
      </c>
      <c r="CL148" s="2" t="s">
        <v>88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"FES1162505011"</f>
        <v>FES1162505011</v>
      </c>
      <c r="F149" s="3">
        <v>42649</v>
      </c>
      <c r="G149" s="2">
        <v>201704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160</v>
      </c>
      <c r="M149" s="2" t="s">
        <v>161</v>
      </c>
      <c r="N149" s="2" t="s">
        <v>411</v>
      </c>
      <c r="O149" s="2" t="s">
        <v>96</v>
      </c>
      <c r="P149" s="2" t="str">
        <f>"2170528659                    "</f>
        <v xml:space="preserve">2170528659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3.32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2</v>
      </c>
      <c r="BJ149" s="2">
        <v>0.7</v>
      </c>
      <c r="BK149" s="2">
        <v>2</v>
      </c>
      <c r="BL149" s="2">
        <v>40.76</v>
      </c>
      <c r="BM149" s="2">
        <v>5.71</v>
      </c>
      <c r="BN149" s="2">
        <v>46.47</v>
      </c>
      <c r="BO149" s="2">
        <v>46.47</v>
      </c>
      <c r="BP149" s="2"/>
      <c r="BQ149" s="2" t="s">
        <v>412</v>
      </c>
      <c r="BR149" s="2" t="s">
        <v>83</v>
      </c>
      <c r="BS149" s="3">
        <v>42650</v>
      </c>
      <c r="BT149" s="4">
        <v>0.45833333333333331</v>
      </c>
      <c r="BU149" s="2" t="s">
        <v>413</v>
      </c>
      <c r="BV149" s="2" t="s">
        <v>85</v>
      </c>
      <c r="BW149" s="2"/>
      <c r="BX149" s="2"/>
      <c r="BY149" s="2">
        <v>3705</v>
      </c>
      <c r="BZ149" s="2"/>
      <c r="CA149" s="2"/>
      <c r="CB149" s="2"/>
      <c r="CC149" s="2" t="s">
        <v>161</v>
      </c>
      <c r="CD149" s="2">
        <v>7945</v>
      </c>
      <c r="CE149" s="2" t="s">
        <v>86</v>
      </c>
      <c r="CF149" s="5">
        <v>42654</v>
      </c>
      <c r="CG149" s="2"/>
      <c r="CH149" s="2"/>
      <c r="CI149" s="2">
        <v>1</v>
      </c>
      <c r="CJ149" s="2">
        <v>1</v>
      </c>
      <c r="CK149" s="2">
        <v>21</v>
      </c>
      <c r="CL149" s="2" t="s">
        <v>88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"FES1162505231"</f>
        <v>FES1162505231</v>
      </c>
      <c r="F150" s="3">
        <v>42650</v>
      </c>
      <c r="G150" s="2">
        <v>201704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98</v>
      </c>
      <c r="M150" s="2" t="s">
        <v>99</v>
      </c>
      <c r="N150" s="2" t="s">
        <v>109</v>
      </c>
      <c r="O150" s="2" t="s">
        <v>96</v>
      </c>
      <c r="P150" s="2" t="str">
        <f>"2170526259                    "</f>
        <v xml:space="preserve">2170526259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3.32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40.76</v>
      </c>
      <c r="BM150" s="2">
        <v>5.71</v>
      </c>
      <c r="BN150" s="2">
        <v>46.47</v>
      </c>
      <c r="BO150" s="2">
        <v>46.47</v>
      </c>
      <c r="BP150" s="2"/>
      <c r="BQ150" s="2" t="s">
        <v>110</v>
      </c>
      <c r="BR150" s="2" t="s">
        <v>83</v>
      </c>
      <c r="BS150" s="3">
        <v>42653</v>
      </c>
      <c r="BT150" s="4">
        <v>0.34930555555555554</v>
      </c>
      <c r="BU150" s="2" t="s">
        <v>111</v>
      </c>
      <c r="BV150" s="2" t="s">
        <v>85</v>
      </c>
      <c r="BW150" s="2"/>
      <c r="BX150" s="2"/>
      <c r="BY150" s="2">
        <v>1200</v>
      </c>
      <c r="BZ150" s="2" t="s">
        <v>27</v>
      </c>
      <c r="CA150" s="2" t="s">
        <v>107</v>
      </c>
      <c r="CB150" s="2"/>
      <c r="CC150" s="2" t="s">
        <v>99</v>
      </c>
      <c r="CD150" s="2">
        <v>6001</v>
      </c>
      <c r="CE150" s="2" t="s">
        <v>108</v>
      </c>
      <c r="CF150" s="5">
        <v>42653</v>
      </c>
      <c r="CG150" s="2"/>
      <c r="CH150" s="2"/>
      <c r="CI150" s="2">
        <v>1</v>
      </c>
      <c r="CJ150" s="2">
        <v>1</v>
      </c>
      <c r="CK150" s="2">
        <v>21</v>
      </c>
      <c r="CL150" s="2" t="s">
        <v>88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"FES1162504957"</f>
        <v>FES1162504957</v>
      </c>
      <c r="F151" s="3">
        <v>42649</v>
      </c>
      <c r="G151" s="2">
        <v>201704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160</v>
      </c>
      <c r="M151" s="2" t="s">
        <v>161</v>
      </c>
      <c r="N151" s="2" t="s">
        <v>441</v>
      </c>
      <c r="O151" s="2" t="s">
        <v>96</v>
      </c>
      <c r="P151" s="2" t="str">
        <f>"2170528422                    "</f>
        <v xml:space="preserve">2170528422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4.9800000000000004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3</v>
      </c>
      <c r="BJ151" s="2">
        <v>1.5</v>
      </c>
      <c r="BK151" s="2">
        <v>3</v>
      </c>
      <c r="BL151" s="2">
        <v>61.14</v>
      </c>
      <c r="BM151" s="2">
        <v>8.56</v>
      </c>
      <c r="BN151" s="2">
        <v>69.7</v>
      </c>
      <c r="BO151" s="2">
        <v>69.7</v>
      </c>
      <c r="BP151" s="2"/>
      <c r="BQ151" s="2" t="s">
        <v>168</v>
      </c>
      <c r="BR151" s="2" t="s">
        <v>83</v>
      </c>
      <c r="BS151" s="3">
        <v>42650</v>
      </c>
      <c r="BT151" s="4">
        <v>0.43194444444444446</v>
      </c>
      <c r="BU151" s="2" t="s">
        <v>442</v>
      </c>
      <c r="BV151" s="2" t="s">
        <v>85</v>
      </c>
      <c r="BW151" s="2"/>
      <c r="BX151" s="2"/>
      <c r="BY151" s="2">
        <v>7540</v>
      </c>
      <c r="BZ151" s="2" t="s">
        <v>27</v>
      </c>
      <c r="CA151" s="2"/>
      <c r="CB151" s="2"/>
      <c r="CC151" s="2" t="s">
        <v>161</v>
      </c>
      <c r="CD151" s="2">
        <v>7580</v>
      </c>
      <c r="CE151" s="2" t="s">
        <v>86</v>
      </c>
      <c r="CF151" s="5">
        <v>42653</v>
      </c>
      <c r="CG151" s="2"/>
      <c r="CH151" s="2"/>
      <c r="CI151" s="2">
        <v>1</v>
      </c>
      <c r="CJ151" s="2">
        <v>1</v>
      </c>
      <c r="CK151" s="2">
        <v>21</v>
      </c>
      <c r="CL151" s="2" t="s">
        <v>88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"FES1162505387"</f>
        <v>FES1162505387</v>
      </c>
      <c r="F152" s="3">
        <v>42650</v>
      </c>
      <c r="G152" s="2">
        <v>201704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160</v>
      </c>
      <c r="M152" s="2" t="s">
        <v>161</v>
      </c>
      <c r="N152" s="2" t="s">
        <v>179</v>
      </c>
      <c r="O152" s="2" t="s">
        <v>96</v>
      </c>
      <c r="P152" s="2" t="str">
        <f>"2170529069                    "</f>
        <v xml:space="preserve">2170529069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3.32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0.5</v>
      </c>
      <c r="BJ152" s="2">
        <v>0.2</v>
      </c>
      <c r="BK152" s="2">
        <v>0.5</v>
      </c>
      <c r="BL152" s="2">
        <v>40.76</v>
      </c>
      <c r="BM152" s="2">
        <v>5.71</v>
      </c>
      <c r="BN152" s="2">
        <v>46.47</v>
      </c>
      <c r="BO152" s="2">
        <v>46.47</v>
      </c>
      <c r="BP152" s="2"/>
      <c r="BQ152" s="2">
        <v>1162505387</v>
      </c>
      <c r="BR152" s="2" t="s">
        <v>83</v>
      </c>
      <c r="BS152" s="3">
        <v>42653</v>
      </c>
      <c r="BT152" s="4">
        <v>0.41666666666666669</v>
      </c>
      <c r="BU152" s="2" t="s">
        <v>443</v>
      </c>
      <c r="BV152" s="2" t="s">
        <v>85</v>
      </c>
      <c r="BW152" s="2"/>
      <c r="BX152" s="2"/>
      <c r="BY152" s="2">
        <v>1200</v>
      </c>
      <c r="BZ152" s="2"/>
      <c r="CA152" s="2"/>
      <c r="CB152" s="2"/>
      <c r="CC152" s="2" t="s">
        <v>161</v>
      </c>
      <c r="CD152" s="2">
        <v>7405</v>
      </c>
      <c r="CE152" s="2" t="s">
        <v>108</v>
      </c>
      <c r="CF152" s="5">
        <v>42654</v>
      </c>
      <c r="CG152" s="2"/>
      <c r="CH152" s="2"/>
      <c r="CI152" s="2">
        <v>1</v>
      </c>
      <c r="CJ152" s="2">
        <v>1</v>
      </c>
      <c r="CK152" s="2">
        <v>21</v>
      </c>
      <c r="CL152" s="2" t="s">
        <v>88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"FES1162504951"</f>
        <v>FES1162504951</v>
      </c>
      <c r="F153" s="3">
        <v>42649</v>
      </c>
      <c r="G153" s="2">
        <v>201704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444</v>
      </c>
      <c r="M153" s="2" t="s">
        <v>445</v>
      </c>
      <c r="N153" s="2" t="s">
        <v>446</v>
      </c>
      <c r="O153" s="2" t="s">
        <v>96</v>
      </c>
      <c r="P153" s="2" t="str">
        <f>"2170525650                    "</f>
        <v xml:space="preserve">2170525650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3.32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0.5</v>
      </c>
      <c r="BJ153" s="2">
        <v>0.2</v>
      </c>
      <c r="BK153" s="2">
        <v>0.5</v>
      </c>
      <c r="BL153" s="2">
        <v>40.76</v>
      </c>
      <c r="BM153" s="2">
        <v>5.71</v>
      </c>
      <c r="BN153" s="2">
        <v>46.47</v>
      </c>
      <c r="BO153" s="2">
        <v>46.47</v>
      </c>
      <c r="BP153" s="2"/>
      <c r="BQ153" s="2" t="s">
        <v>168</v>
      </c>
      <c r="BR153" s="2" t="s">
        <v>83</v>
      </c>
      <c r="BS153" s="3">
        <v>42653</v>
      </c>
      <c r="BT153" s="4">
        <v>0.52569444444444446</v>
      </c>
      <c r="BU153" s="2" t="s">
        <v>447</v>
      </c>
      <c r="BV153" s="2" t="s">
        <v>85</v>
      </c>
      <c r="BW153" s="2"/>
      <c r="BX153" s="2"/>
      <c r="BY153" s="2">
        <v>1200</v>
      </c>
      <c r="BZ153" s="2"/>
      <c r="CA153" s="2"/>
      <c r="CB153" s="2"/>
      <c r="CC153" s="2" t="s">
        <v>445</v>
      </c>
      <c r="CD153" s="2">
        <v>6720</v>
      </c>
      <c r="CE153" s="2" t="s">
        <v>108</v>
      </c>
      <c r="CF153" s="2"/>
      <c r="CG153" s="2"/>
      <c r="CH153" s="2"/>
      <c r="CI153" s="2">
        <v>3</v>
      </c>
      <c r="CJ153" s="2">
        <v>2</v>
      </c>
      <c r="CK153" s="2">
        <v>21</v>
      </c>
      <c r="CL153" s="2" t="s">
        <v>88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"FES1162505204"</f>
        <v>FES1162505204</v>
      </c>
      <c r="F154" s="3">
        <v>42650</v>
      </c>
      <c r="G154" s="2">
        <v>201704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153</v>
      </c>
      <c r="M154" s="2" t="s">
        <v>153</v>
      </c>
      <c r="N154" s="2" t="s">
        <v>200</v>
      </c>
      <c r="O154" s="2" t="s">
        <v>96</v>
      </c>
      <c r="P154" s="2" t="str">
        <f>"2170528862                    "</f>
        <v xml:space="preserve">2170528862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3.32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0.5</v>
      </c>
      <c r="BJ154" s="2">
        <v>0.2</v>
      </c>
      <c r="BK154" s="2">
        <v>0.5</v>
      </c>
      <c r="BL154" s="2">
        <v>40.76</v>
      </c>
      <c r="BM154" s="2">
        <v>5.71</v>
      </c>
      <c r="BN154" s="2">
        <v>46.47</v>
      </c>
      <c r="BO154" s="2">
        <v>46.47</v>
      </c>
      <c r="BP154" s="2"/>
      <c r="BQ154" s="2" t="s">
        <v>201</v>
      </c>
      <c r="BR154" s="2" t="s">
        <v>83</v>
      </c>
      <c r="BS154" s="3">
        <v>42653</v>
      </c>
      <c r="BT154" s="4">
        <v>0.46388888888888885</v>
      </c>
      <c r="BU154" s="2" t="s">
        <v>448</v>
      </c>
      <c r="BV154" s="2" t="s">
        <v>85</v>
      </c>
      <c r="BW154" s="2"/>
      <c r="BX154" s="2"/>
      <c r="BY154" s="2">
        <v>1200</v>
      </c>
      <c r="BZ154" s="2"/>
      <c r="CA154" s="2"/>
      <c r="CB154" s="2"/>
      <c r="CC154" s="2" t="s">
        <v>153</v>
      </c>
      <c r="CD154" s="2">
        <v>7646</v>
      </c>
      <c r="CE154" s="2" t="s">
        <v>108</v>
      </c>
      <c r="CF154" s="5">
        <v>42654</v>
      </c>
      <c r="CG154" s="2"/>
      <c r="CH154" s="2"/>
      <c r="CI154" s="2">
        <v>1</v>
      </c>
      <c r="CJ154" s="2">
        <v>1</v>
      </c>
      <c r="CK154" s="2">
        <v>21</v>
      </c>
      <c r="CL154" s="2" t="s">
        <v>88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"FES1162505092"</f>
        <v>FES1162505092</v>
      </c>
      <c r="F155" s="3">
        <v>42649</v>
      </c>
      <c r="G155" s="2">
        <v>201704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148</v>
      </c>
      <c r="M155" s="2" t="s">
        <v>149</v>
      </c>
      <c r="N155" s="2" t="s">
        <v>296</v>
      </c>
      <c r="O155" s="2" t="s">
        <v>96</v>
      </c>
      <c r="P155" s="2" t="str">
        <f>"2170528700                    "</f>
        <v xml:space="preserve">2170528700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5.81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3.3</v>
      </c>
      <c r="BJ155" s="2">
        <v>1.7</v>
      </c>
      <c r="BK155" s="2">
        <v>3.5</v>
      </c>
      <c r="BL155" s="2">
        <v>71.33</v>
      </c>
      <c r="BM155" s="2">
        <v>9.99</v>
      </c>
      <c r="BN155" s="2">
        <v>81.319999999999993</v>
      </c>
      <c r="BO155" s="2">
        <v>81.319999999999993</v>
      </c>
      <c r="BP155" s="2"/>
      <c r="BQ155" s="2" t="s">
        <v>168</v>
      </c>
      <c r="BR155" s="2" t="s">
        <v>83</v>
      </c>
      <c r="BS155" s="3">
        <v>42650</v>
      </c>
      <c r="BT155" s="4">
        <v>0.4375</v>
      </c>
      <c r="BU155" s="2" t="s">
        <v>449</v>
      </c>
      <c r="BV155" s="2" t="s">
        <v>85</v>
      </c>
      <c r="BW155" s="2"/>
      <c r="BX155" s="2"/>
      <c r="BY155" s="2">
        <v>8319.7800000000007</v>
      </c>
      <c r="BZ155" s="2" t="s">
        <v>27</v>
      </c>
      <c r="CA155" s="2"/>
      <c r="CB155" s="2"/>
      <c r="CC155" s="2" t="s">
        <v>149</v>
      </c>
      <c r="CD155" s="2">
        <v>4001</v>
      </c>
      <c r="CE155" s="2" t="s">
        <v>86</v>
      </c>
      <c r="CF155" s="5">
        <v>42653</v>
      </c>
      <c r="CG155" s="2"/>
      <c r="CH155" s="2"/>
      <c r="CI155" s="2">
        <v>1</v>
      </c>
      <c r="CJ155" s="2">
        <v>1</v>
      </c>
      <c r="CK155" s="2">
        <v>21</v>
      </c>
      <c r="CL155" s="2" t="s">
        <v>88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"FES1162505215"</f>
        <v>FES1162505215</v>
      </c>
      <c r="F156" s="3">
        <v>42650</v>
      </c>
      <c r="G156" s="2">
        <v>201704</v>
      </c>
      <c r="H156" s="2" t="s">
        <v>74</v>
      </c>
      <c r="I156" s="2" t="s">
        <v>75</v>
      </c>
      <c r="J156" s="2" t="s">
        <v>76</v>
      </c>
      <c r="K156" s="2" t="s">
        <v>77</v>
      </c>
      <c r="L156" s="2" t="s">
        <v>98</v>
      </c>
      <c r="M156" s="2" t="s">
        <v>99</v>
      </c>
      <c r="N156" s="2" t="s">
        <v>104</v>
      </c>
      <c r="O156" s="2" t="s">
        <v>96</v>
      </c>
      <c r="P156" s="2" t="str">
        <f>"2170528869                    "</f>
        <v xml:space="preserve">2170528869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3.32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40.76</v>
      </c>
      <c r="BM156" s="2">
        <v>5.71</v>
      </c>
      <c r="BN156" s="2">
        <v>46.47</v>
      </c>
      <c r="BO156" s="2">
        <v>46.47</v>
      </c>
      <c r="BP156" s="2"/>
      <c r="BQ156" s="2" t="s">
        <v>105</v>
      </c>
      <c r="BR156" s="2" t="s">
        <v>83</v>
      </c>
      <c r="BS156" s="3">
        <v>42653</v>
      </c>
      <c r="BT156" s="4">
        <v>0.37847222222222227</v>
      </c>
      <c r="BU156" s="2" t="s">
        <v>106</v>
      </c>
      <c r="BV156" s="2" t="s">
        <v>85</v>
      </c>
      <c r="BW156" s="2"/>
      <c r="BX156" s="2"/>
      <c r="BY156" s="2">
        <v>1200</v>
      </c>
      <c r="BZ156" s="2" t="s">
        <v>27</v>
      </c>
      <c r="CA156" s="2" t="s">
        <v>107</v>
      </c>
      <c r="CB156" s="2"/>
      <c r="CC156" s="2" t="s">
        <v>99</v>
      </c>
      <c r="CD156" s="2">
        <v>6001</v>
      </c>
      <c r="CE156" s="2" t="s">
        <v>108</v>
      </c>
      <c r="CF156" s="5">
        <v>42653</v>
      </c>
      <c r="CG156" s="2"/>
      <c r="CH156" s="2"/>
      <c r="CI156" s="2">
        <v>1</v>
      </c>
      <c r="CJ156" s="2">
        <v>1</v>
      </c>
      <c r="CK156" s="2">
        <v>21</v>
      </c>
      <c r="CL156" s="2" t="s">
        <v>88</v>
      </c>
      <c r="CM156" s="2"/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"FES1162504994"</f>
        <v>FES1162504994</v>
      </c>
      <c r="F157" s="3">
        <v>42649</v>
      </c>
      <c r="G157" s="2">
        <v>201704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260</v>
      </c>
      <c r="M157" s="2" t="s">
        <v>261</v>
      </c>
      <c r="N157" s="2" t="s">
        <v>347</v>
      </c>
      <c r="O157" s="2" t="s">
        <v>96</v>
      </c>
      <c r="P157" s="2" t="str">
        <f>"2170528629                    "</f>
        <v xml:space="preserve">2170528629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23.22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14</v>
      </c>
      <c r="BJ157" s="2">
        <v>4.0999999999999996</v>
      </c>
      <c r="BK157" s="2">
        <v>14</v>
      </c>
      <c r="BL157" s="2">
        <v>285.3</v>
      </c>
      <c r="BM157" s="2">
        <v>39.94</v>
      </c>
      <c r="BN157" s="2">
        <v>325.24</v>
      </c>
      <c r="BO157" s="2">
        <v>325.24</v>
      </c>
      <c r="BP157" s="2"/>
      <c r="BQ157" s="2" t="s">
        <v>91</v>
      </c>
      <c r="BR157" s="2" t="s">
        <v>83</v>
      </c>
      <c r="BS157" s="3">
        <v>42650</v>
      </c>
      <c r="BT157" s="4">
        <v>0.3888888888888889</v>
      </c>
      <c r="BU157" s="2" t="s">
        <v>450</v>
      </c>
      <c r="BV157" s="2" t="s">
        <v>85</v>
      </c>
      <c r="BW157" s="2"/>
      <c r="BX157" s="2"/>
      <c r="BY157" s="2">
        <v>20358</v>
      </c>
      <c r="BZ157" s="2" t="s">
        <v>27</v>
      </c>
      <c r="CA157" s="2" t="s">
        <v>451</v>
      </c>
      <c r="CB157" s="2"/>
      <c r="CC157" s="2" t="s">
        <v>261</v>
      </c>
      <c r="CD157" s="2">
        <v>6850</v>
      </c>
      <c r="CE157" s="2" t="s">
        <v>86</v>
      </c>
      <c r="CF157" s="5">
        <v>42650</v>
      </c>
      <c r="CG157" s="2"/>
      <c r="CH157" s="2"/>
      <c r="CI157" s="2">
        <v>3</v>
      </c>
      <c r="CJ157" s="2">
        <v>1</v>
      </c>
      <c r="CK157" s="2">
        <v>21</v>
      </c>
      <c r="CL157" s="2" t="s">
        <v>88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"FES1162504918"</f>
        <v>FES1162504918</v>
      </c>
      <c r="F158" s="3">
        <v>42649</v>
      </c>
      <c r="G158" s="2">
        <v>201704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160</v>
      </c>
      <c r="M158" s="2" t="s">
        <v>161</v>
      </c>
      <c r="N158" s="2" t="s">
        <v>452</v>
      </c>
      <c r="O158" s="2" t="s">
        <v>96</v>
      </c>
      <c r="P158" s="2" t="str">
        <f>"2170526580                    "</f>
        <v xml:space="preserve">2170526580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51.42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14</v>
      </c>
      <c r="BJ158" s="2">
        <v>31</v>
      </c>
      <c r="BK158" s="2">
        <v>31</v>
      </c>
      <c r="BL158" s="2">
        <v>631.74</v>
      </c>
      <c r="BM158" s="2">
        <v>88.44</v>
      </c>
      <c r="BN158" s="2">
        <v>720.18</v>
      </c>
      <c r="BO158" s="2">
        <v>720.18</v>
      </c>
      <c r="BP158" s="2"/>
      <c r="BQ158" s="2" t="s">
        <v>453</v>
      </c>
      <c r="BR158" s="2" t="s">
        <v>83</v>
      </c>
      <c r="BS158" s="3">
        <v>42650</v>
      </c>
      <c r="BT158" s="4">
        <v>0.40625</v>
      </c>
      <c r="BU158" s="2" t="s">
        <v>454</v>
      </c>
      <c r="BV158" s="2" t="s">
        <v>85</v>
      </c>
      <c r="BW158" s="2"/>
      <c r="BX158" s="2"/>
      <c r="BY158" s="2">
        <v>154818</v>
      </c>
      <c r="BZ158" s="2" t="s">
        <v>27</v>
      </c>
      <c r="CA158" s="2" t="s">
        <v>129</v>
      </c>
      <c r="CB158" s="2"/>
      <c r="CC158" s="2" t="s">
        <v>161</v>
      </c>
      <c r="CD158" s="2">
        <v>7530</v>
      </c>
      <c r="CE158" s="2" t="s">
        <v>86</v>
      </c>
      <c r="CF158" s="5">
        <v>42653</v>
      </c>
      <c r="CG158" s="2"/>
      <c r="CH158" s="2"/>
      <c r="CI158" s="2">
        <v>1</v>
      </c>
      <c r="CJ158" s="2">
        <v>1</v>
      </c>
      <c r="CK158" s="2">
        <v>21</v>
      </c>
      <c r="CL158" s="2" t="s">
        <v>88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"FES1162505266"</f>
        <v>FES1162505266</v>
      </c>
      <c r="F159" s="3">
        <v>42650</v>
      </c>
      <c r="G159" s="2">
        <v>201704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98</v>
      </c>
      <c r="M159" s="2" t="s">
        <v>99</v>
      </c>
      <c r="N159" s="2" t="s">
        <v>455</v>
      </c>
      <c r="O159" s="2" t="s">
        <v>96</v>
      </c>
      <c r="P159" s="2" t="str">
        <f>"2170528907                    "</f>
        <v xml:space="preserve">2170528907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3.32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</v>
      </c>
      <c r="BJ159" s="2">
        <v>0.2</v>
      </c>
      <c r="BK159" s="2">
        <v>1</v>
      </c>
      <c r="BL159" s="2">
        <v>40.76</v>
      </c>
      <c r="BM159" s="2">
        <v>5.71</v>
      </c>
      <c r="BN159" s="2">
        <v>46.47</v>
      </c>
      <c r="BO159" s="2">
        <v>46.47</v>
      </c>
      <c r="BP159" s="2"/>
      <c r="BQ159" s="2" t="s">
        <v>82</v>
      </c>
      <c r="BR159" s="2" t="s">
        <v>83</v>
      </c>
      <c r="BS159" s="3">
        <v>42653</v>
      </c>
      <c r="BT159" s="4">
        <v>0.29930555555555555</v>
      </c>
      <c r="BU159" s="2" t="s">
        <v>456</v>
      </c>
      <c r="BV159" s="2" t="s">
        <v>85</v>
      </c>
      <c r="BW159" s="2"/>
      <c r="BX159" s="2"/>
      <c r="BY159" s="2">
        <v>1200</v>
      </c>
      <c r="BZ159" s="2" t="s">
        <v>27</v>
      </c>
      <c r="CA159" s="2" t="s">
        <v>107</v>
      </c>
      <c r="CB159" s="2"/>
      <c r="CC159" s="2" t="s">
        <v>99</v>
      </c>
      <c r="CD159" s="2">
        <v>6012</v>
      </c>
      <c r="CE159" s="2" t="s">
        <v>108</v>
      </c>
      <c r="CF159" s="5">
        <v>42653</v>
      </c>
      <c r="CG159" s="2"/>
      <c r="CH159" s="2"/>
      <c r="CI159" s="2">
        <v>1</v>
      </c>
      <c r="CJ159" s="2">
        <v>1</v>
      </c>
      <c r="CK159" s="2">
        <v>21</v>
      </c>
      <c r="CL159" s="2" t="s">
        <v>88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"FES1162505100"</f>
        <v>FES1162505100</v>
      </c>
      <c r="F160" s="3">
        <v>42649</v>
      </c>
      <c r="G160" s="2">
        <v>201704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253</v>
      </c>
      <c r="M160" s="2" t="s">
        <v>254</v>
      </c>
      <c r="N160" s="2" t="s">
        <v>255</v>
      </c>
      <c r="O160" s="2" t="s">
        <v>96</v>
      </c>
      <c r="P160" s="2" t="str">
        <f>"2170528372                    "</f>
        <v xml:space="preserve">2170528372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6.43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78.97</v>
      </c>
      <c r="BM160" s="2">
        <v>11.06</v>
      </c>
      <c r="BN160" s="2">
        <v>90.03</v>
      </c>
      <c r="BO160" s="2">
        <v>90.03</v>
      </c>
      <c r="BP160" s="2"/>
      <c r="BQ160" s="2" t="s">
        <v>117</v>
      </c>
      <c r="BR160" s="2" t="s">
        <v>83</v>
      </c>
      <c r="BS160" s="3">
        <v>42650</v>
      </c>
      <c r="BT160" s="4">
        <v>0.43055555555555558</v>
      </c>
      <c r="BU160" s="2" t="s">
        <v>457</v>
      </c>
      <c r="BV160" s="2" t="s">
        <v>85</v>
      </c>
      <c r="BW160" s="2"/>
      <c r="BX160" s="2"/>
      <c r="BY160" s="2">
        <v>1200</v>
      </c>
      <c r="BZ160" s="2" t="s">
        <v>27</v>
      </c>
      <c r="CA160" s="2"/>
      <c r="CB160" s="2"/>
      <c r="CC160" s="2" t="s">
        <v>254</v>
      </c>
      <c r="CD160" s="2">
        <v>3370</v>
      </c>
      <c r="CE160" s="2" t="s">
        <v>108</v>
      </c>
      <c r="CF160" s="5">
        <v>42654</v>
      </c>
      <c r="CG160" s="2"/>
      <c r="CH160" s="2"/>
      <c r="CI160" s="2">
        <v>3</v>
      </c>
      <c r="CJ160" s="2">
        <v>1</v>
      </c>
      <c r="CK160" s="2">
        <v>23</v>
      </c>
      <c r="CL160" s="2" t="s">
        <v>88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"FES1162505372"</f>
        <v>FES1162505372</v>
      </c>
      <c r="F161" s="3">
        <v>42650</v>
      </c>
      <c r="G161" s="2">
        <v>201704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153</v>
      </c>
      <c r="M161" s="2" t="s">
        <v>153</v>
      </c>
      <c r="N161" s="2" t="s">
        <v>343</v>
      </c>
      <c r="O161" s="2" t="s">
        <v>96</v>
      </c>
      <c r="P161" s="2" t="str">
        <f>"2170529061                    "</f>
        <v xml:space="preserve">2170529061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3.32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1</v>
      </c>
      <c r="BJ161" s="2">
        <v>0.2</v>
      </c>
      <c r="BK161" s="2">
        <v>1</v>
      </c>
      <c r="BL161" s="2">
        <v>40.76</v>
      </c>
      <c r="BM161" s="2">
        <v>5.71</v>
      </c>
      <c r="BN161" s="2">
        <v>46.47</v>
      </c>
      <c r="BO161" s="2">
        <v>46.47</v>
      </c>
      <c r="BP161" s="2"/>
      <c r="BQ161" s="2" t="s">
        <v>344</v>
      </c>
      <c r="BR161" s="2" t="s">
        <v>83</v>
      </c>
      <c r="BS161" s="3">
        <v>42653</v>
      </c>
      <c r="BT161" s="4">
        <v>0.44444444444444442</v>
      </c>
      <c r="BU161" s="2" t="s">
        <v>458</v>
      </c>
      <c r="BV161" s="2" t="s">
        <v>85</v>
      </c>
      <c r="BW161" s="2"/>
      <c r="BX161" s="2"/>
      <c r="BY161" s="2">
        <v>1200</v>
      </c>
      <c r="BZ161" s="2"/>
      <c r="CA161" s="2"/>
      <c r="CB161" s="2"/>
      <c r="CC161" s="2" t="s">
        <v>153</v>
      </c>
      <c r="CD161" s="2">
        <v>7646</v>
      </c>
      <c r="CE161" s="2" t="s">
        <v>108</v>
      </c>
      <c r="CF161" s="5">
        <v>42654</v>
      </c>
      <c r="CG161" s="2"/>
      <c r="CH161" s="2"/>
      <c r="CI161" s="2">
        <v>1</v>
      </c>
      <c r="CJ161" s="2">
        <v>1</v>
      </c>
      <c r="CK161" s="2">
        <v>21</v>
      </c>
      <c r="CL161" s="2" t="s">
        <v>88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"FES1162505103"</f>
        <v>FES1162505103</v>
      </c>
      <c r="F162" s="3">
        <v>42649</v>
      </c>
      <c r="G162" s="2">
        <v>201704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143</v>
      </c>
      <c r="M162" s="2" t="s">
        <v>144</v>
      </c>
      <c r="N162" s="2" t="s">
        <v>459</v>
      </c>
      <c r="O162" s="2" t="s">
        <v>96</v>
      </c>
      <c r="P162" s="2" t="str">
        <f>"2170528766                    "</f>
        <v xml:space="preserve">2170528766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3.32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</v>
      </c>
      <c r="BJ162" s="2">
        <v>0.2</v>
      </c>
      <c r="BK162" s="2">
        <v>1</v>
      </c>
      <c r="BL162" s="2">
        <v>40.76</v>
      </c>
      <c r="BM162" s="2">
        <v>5.71</v>
      </c>
      <c r="BN162" s="2">
        <v>46.47</v>
      </c>
      <c r="BO162" s="2">
        <v>46.47</v>
      </c>
      <c r="BP162" s="2"/>
      <c r="BQ162" s="2" t="s">
        <v>91</v>
      </c>
      <c r="BR162" s="2" t="s">
        <v>83</v>
      </c>
      <c r="BS162" s="3">
        <v>42650</v>
      </c>
      <c r="BT162" s="4">
        <v>0.4375</v>
      </c>
      <c r="BU162" s="2" t="s">
        <v>460</v>
      </c>
      <c r="BV162" s="2"/>
      <c r="BW162" s="2"/>
      <c r="BX162" s="2"/>
      <c r="BY162" s="2">
        <v>1200</v>
      </c>
      <c r="BZ162" s="2" t="s">
        <v>27</v>
      </c>
      <c r="CA162" s="2"/>
      <c r="CB162" s="2"/>
      <c r="CC162" s="2" t="s">
        <v>144</v>
      </c>
      <c r="CD162" s="2">
        <v>5201</v>
      </c>
      <c r="CE162" s="2" t="s">
        <v>108</v>
      </c>
      <c r="CF162" s="5">
        <v>42653</v>
      </c>
      <c r="CG162" s="2"/>
      <c r="CH162" s="2"/>
      <c r="CI162" s="2">
        <v>0</v>
      </c>
      <c r="CJ162" s="2">
        <v>0</v>
      </c>
      <c r="CK162" s="2">
        <v>21</v>
      </c>
      <c r="CL162" s="2" t="s">
        <v>88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"FES1162505251"</f>
        <v>FES1162505251</v>
      </c>
      <c r="F163" s="3">
        <v>42650</v>
      </c>
      <c r="G163" s="2">
        <v>201704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98</v>
      </c>
      <c r="M163" s="2" t="s">
        <v>99</v>
      </c>
      <c r="N163" s="2" t="s">
        <v>330</v>
      </c>
      <c r="O163" s="2" t="s">
        <v>96</v>
      </c>
      <c r="P163" s="2" t="str">
        <f>"2170528897                    "</f>
        <v xml:space="preserve">2170528897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3.32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2</v>
      </c>
      <c r="BJ163" s="2">
        <v>0.2</v>
      </c>
      <c r="BK163" s="2">
        <v>2</v>
      </c>
      <c r="BL163" s="2">
        <v>40.76</v>
      </c>
      <c r="BM163" s="2">
        <v>5.71</v>
      </c>
      <c r="BN163" s="2">
        <v>46.47</v>
      </c>
      <c r="BO163" s="2">
        <v>46.47</v>
      </c>
      <c r="BP163" s="2"/>
      <c r="BQ163" s="2" t="s">
        <v>331</v>
      </c>
      <c r="BR163" s="2" t="s">
        <v>83</v>
      </c>
      <c r="BS163" s="3">
        <v>42653</v>
      </c>
      <c r="BT163" s="4">
        <v>0.52083333333333337</v>
      </c>
      <c r="BU163" s="2" t="s">
        <v>461</v>
      </c>
      <c r="BV163" s="2" t="s">
        <v>88</v>
      </c>
      <c r="BW163" s="2" t="s">
        <v>462</v>
      </c>
      <c r="BX163" s="2" t="s">
        <v>250</v>
      </c>
      <c r="BY163" s="2">
        <v>1200</v>
      </c>
      <c r="BZ163" s="2"/>
      <c r="CA163" s="2"/>
      <c r="CB163" s="2"/>
      <c r="CC163" s="2" t="s">
        <v>99</v>
      </c>
      <c r="CD163" s="2">
        <v>6070</v>
      </c>
      <c r="CE163" s="2" t="s">
        <v>108</v>
      </c>
      <c r="CF163" s="5">
        <v>42654</v>
      </c>
      <c r="CG163" s="2"/>
      <c r="CH163" s="2"/>
      <c r="CI163" s="2">
        <v>1</v>
      </c>
      <c r="CJ163" s="2">
        <v>1</v>
      </c>
      <c r="CK163" s="2">
        <v>21</v>
      </c>
      <c r="CL163" s="2" t="s">
        <v>88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"FES1162505113"</f>
        <v>FES1162505113</v>
      </c>
      <c r="F164" s="3">
        <v>42649</v>
      </c>
      <c r="G164" s="2">
        <v>201704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463</v>
      </c>
      <c r="M164" s="2" t="s">
        <v>464</v>
      </c>
      <c r="N164" s="2" t="s">
        <v>465</v>
      </c>
      <c r="O164" s="2" t="s">
        <v>96</v>
      </c>
      <c r="P164" s="2" t="str">
        <f>"2170528779                    "</f>
        <v xml:space="preserve">2170528779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3.32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40.76</v>
      </c>
      <c r="BM164" s="2">
        <v>5.71</v>
      </c>
      <c r="BN164" s="2">
        <v>46.47</v>
      </c>
      <c r="BO164" s="2">
        <v>46.47</v>
      </c>
      <c r="BP164" s="2"/>
      <c r="BQ164" s="2" t="s">
        <v>91</v>
      </c>
      <c r="BR164" s="2" t="s">
        <v>83</v>
      </c>
      <c r="BS164" s="3">
        <v>42650</v>
      </c>
      <c r="BT164" s="4">
        <v>0.41666666666666669</v>
      </c>
      <c r="BU164" s="2" t="s">
        <v>466</v>
      </c>
      <c r="BV164" s="2" t="s">
        <v>85</v>
      </c>
      <c r="BW164" s="2"/>
      <c r="BX164" s="2"/>
      <c r="BY164" s="2">
        <v>1200</v>
      </c>
      <c r="BZ164" s="2" t="s">
        <v>27</v>
      </c>
      <c r="CA164" s="2"/>
      <c r="CB164" s="2"/>
      <c r="CC164" s="2" t="s">
        <v>464</v>
      </c>
      <c r="CD164" s="2">
        <v>5256</v>
      </c>
      <c r="CE164" s="2" t="s">
        <v>108</v>
      </c>
      <c r="CF164" s="5">
        <v>42653</v>
      </c>
      <c r="CG164" s="2"/>
      <c r="CH164" s="2"/>
      <c r="CI164" s="2">
        <v>1</v>
      </c>
      <c r="CJ164" s="2">
        <v>1</v>
      </c>
      <c r="CK164" s="2">
        <v>21</v>
      </c>
      <c r="CL164" s="2" t="s">
        <v>88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"FES1162505208"</f>
        <v>FES1162505208</v>
      </c>
      <c r="F165" s="3">
        <v>42650</v>
      </c>
      <c r="G165" s="2">
        <v>201704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98</v>
      </c>
      <c r="M165" s="2" t="s">
        <v>99</v>
      </c>
      <c r="N165" s="2" t="s">
        <v>330</v>
      </c>
      <c r="O165" s="2" t="s">
        <v>96</v>
      </c>
      <c r="P165" s="2" t="str">
        <f>"2170528866                    "</f>
        <v xml:space="preserve">2170528866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3.32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1</v>
      </c>
      <c r="BJ165" s="2">
        <v>0.2</v>
      </c>
      <c r="BK165" s="2">
        <v>1</v>
      </c>
      <c r="BL165" s="2">
        <v>40.76</v>
      </c>
      <c r="BM165" s="2">
        <v>5.71</v>
      </c>
      <c r="BN165" s="2">
        <v>46.47</v>
      </c>
      <c r="BO165" s="2">
        <v>46.47</v>
      </c>
      <c r="BP165" s="2"/>
      <c r="BQ165" s="2" t="s">
        <v>331</v>
      </c>
      <c r="BR165" s="2" t="s">
        <v>83</v>
      </c>
      <c r="BS165" s="3">
        <v>42653</v>
      </c>
      <c r="BT165" s="4">
        <v>0.3923611111111111</v>
      </c>
      <c r="BU165" s="2" t="s">
        <v>467</v>
      </c>
      <c r="BV165" s="2" t="s">
        <v>85</v>
      </c>
      <c r="BW165" s="2"/>
      <c r="BX165" s="2"/>
      <c r="BY165" s="2">
        <v>1200</v>
      </c>
      <c r="BZ165" s="2" t="s">
        <v>27</v>
      </c>
      <c r="CA165" s="2" t="s">
        <v>468</v>
      </c>
      <c r="CB165" s="2"/>
      <c r="CC165" s="2" t="s">
        <v>99</v>
      </c>
      <c r="CD165" s="2">
        <v>6070</v>
      </c>
      <c r="CE165" s="2" t="s">
        <v>108</v>
      </c>
      <c r="CF165" s="5">
        <v>42654</v>
      </c>
      <c r="CG165" s="2"/>
      <c r="CH165" s="2"/>
      <c r="CI165" s="2">
        <v>1</v>
      </c>
      <c r="CJ165" s="2">
        <v>1</v>
      </c>
      <c r="CK165" s="2">
        <v>21</v>
      </c>
      <c r="CL165" s="2" t="s">
        <v>88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"FES1162505102"</f>
        <v>FES1162505102</v>
      </c>
      <c r="F166" s="3">
        <v>42649</v>
      </c>
      <c r="G166" s="2">
        <v>201704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143</v>
      </c>
      <c r="M166" s="2" t="s">
        <v>144</v>
      </c>
      <c r="N166" s="2" t="s">
        <v>459</v>
      </c>
      <c r="O166" s="2" t="s">
        <v>96</v>
      </c>
      <c r="P166" s="2" t="str">
        <f>"2170528765                    "</f>
        <v xml:space="preserve">2170528765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6.63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1</v>
      </c>
      <c r="BI166" s="2">
        <v>1</v>
      </c>
      <c r="BJ166" s="2">
        <v>3.7</v>
      </c>
      <c r="BK166" s="2">
        <v>4</v>
      </c>
      <c r="BL166" s="2">
        <v>81.510000000000005</v>
      </c>
      <c r="BM166" s="2">
        <v>11.41</v>
      </c>
      <c r="BN166" s="2">
        <v>92.92</v>
      </c>
      <c r="BO166" s="2">
        <v>92.92</v>
      </c>
      <c r="BP166" s="2"/>
      <c r="BQ166" s="2" t="s">
        <v>91</v>
      </c>
      <c r="BR166" s="2" t="s">
        <v>83</v>
      </c>
      <c r="BS166" s="3">
        <v>42650</v>
      </c>
      <c r="BT166" s="4">
        <v>0.41666666666666669</v>
      </c>
      <c r="BU166" s="2" t="s">
        <v>469</v>
      </c>
      <c r="BV166" s="2"/>
      <c r="BW166" s="2"/>
      <c r="BX166" s="2"/>
      <c r="BY166" s="2">
        <v>18409.91</v>
      </c>
      <c r="BZ166" s="2" t="s">
        <v>27</v>
      </c>
      <c r="CA166" s="2" t="s">
        <v>129</v>
      </c>
      <c r="CB166" s="2"/>
      <c r="CC166" s="2" t="s">
        <v>144</v>
      </c>
      <c r="CD166" s="2">
        <v>5201</v>
      </c>
      <c r="CE166" s="2" t="s">
        <v>108</v>
      </c>
      <c r="CF166" s="5">
        <v>42653</v>
      </c>
      <c r="CG166" s="2"/>
      <c r="CH166" s="2"/>
      <c r="CI166" s="2">
        <v>0</v>
      </c>
      <c r="CJ166" s="2">
        <v>0</v>
      </c>
      <c r="CK166" s="2">
        <v>21</v>
      </c>
      <c r="CL166" s="2" t="s">
        <v>88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"FES1162505195"</f>
        <v>FES1162505195</v>
      </c>
      <c r="F167" s="3">
        <v>42650</v>
      </c>
      <c r="G167" s="2">
        <v>201704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160</v>
      </c>
      <c r="M167" s="2" t="s">
        <v>161</v>
      </c>
      <c r="N167" s="2" t="s">
        <v>470</v>
      </c>
      <c r="O167" s="2" t="s">
        <v>96</v>
      </c>
      <c r="P167" s="2" t="str">
        <f>"2170526916                    "</f>
        <v xml:space="preserve">2170526916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4.1500000000000004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2.4</v>
      </c>
      <c r="BJ167" s="2">
        <v>1.1000000000000001</v>
      </c>
      <c r="BK167" s="2">
        <v>2.5</v>
      </c>
      <c r="BL167" s="2">
        <v>50.95</v>
      </c>
      <c r="BM167" s="2">
        <v>7.13</v>
      </c>
      <c r="BN167" s="2">
        <v>58.08</v>
      </c>
      <c r="BO167" s="2">
        <v>58.08</v>
      </c>
      <c r="BP167" s="2"/>
      <c r="BQ167" s="2" t="s">
        <v>471</v>
      </c>
      <c r="BR167" s="2" t="s">
        <v>83</v>
      </c>
      <c r="BS167" s="3">
        <v>42653</v>
      </c>
      <c r="BT167" s="4">
        <v>0.34375</v>
      </c>
      <c r="BU167" s="2" t="s">
        <v>472</v>
      </c>
      <c r="BV167" s="2" t="s">
        <v>85</v>
      </c>
      <c r="BW167" s="2"/>
      <c r="BX167" s="2"/>
      <c r="BY167" s="2">
        <v>5271.86</v>
      </c>
      <c r="BZ167" s="2"/>
      <c r="CA167" s="2"/>
      <c r="CB167" s="2"/>
      <c r="CC167" s="2" t="s">
        <v>161</v>
      </c>
      <c r="CD167" s="2">
        <v>7945</v>
      </c>
      <c r="CE167" s="2" t="s">
        <v>86</v>
      </c>
      <c r="CF167" s="5">
        <v>42654</v>
      </c>
      <c r="CG167" s="2"/>
      <c r="CH167" s="2"/>
      <c r="CI167" s="2">
        <v>1</v>
      </c>
      <c r="CJ167" s="2">
        <v>1</v>
      </c>
      <c r="CK167" s="2">
        <v>21</v>
      </c>
      <c r="CL167" s="2" t="s">
        <v>88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"FES1162505093"</f>
        <v>FES1162505093</v>
      </c>
      <c r="F168" s="3">
        <v>42649</v>
      </c>
      <c r="G168" s="2">
        <v>201704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148</v>
      </c>
      <c r="M168" s="2" t="s">
        <v>149</v>
      </c>
      <c r="N168" s="2" t="s">
        <v>473</v>
      </c>
      <c r="O168" s="2" t="s">
        <v>96</v>
      </c>
      <c r="P168" s="2" t="str">
        <f>"2170528722                    "</f>
        <v xml:space="preserve">2170528722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3.32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1</v>
      </c>
      <c r="BJ168" s="2">
        <v>0.2</v>
      </c>
      <c r="BK168" s="2">
        <v>1</v>
      </c>
      <c r="BL168" s="2">
        <v>40.76</v>
      </c>
      <c r="BM168" s="2">
        <v>5.71</v>
      </c>
      <c r="BN168" s="2">
        <v>46.47</v>
      </c>
      <c r="BO168" s="2">
        <v>46.47</v>
      </c>
      <c r="BP168" s="2"/>
      <c r="BQ168" s="2" t="s">
        <v>117</v>
      </c>
      <c r="BR168" s="2" t="s">
        <v>83</v>
      </c>
      <c r="BS168" s="3">
        <v>42650</v>
      </c>
      <c r="BT168" s="4">
        <v>0.33333333333333331</v>
      </c>
      <c r="BU168" s="2" t="s">
        <v>474</v>
      </c>
      <c r="BV168" s="2" t="s">
        <v>85</v>
      </c>
      <c r="BW168" s="2"/>
      <c r="BX168" s="2"/>
      <c r="BY168" s="2">
        <v>1200</v>
      </c>
      <c r="BZ168" s="2" t="s">
        <v>27</v>
      </c>
      <c r="CA168" s="2"/>
      <c r="CB168" s="2"/>
      <c r="CC168" s="2" t="s">
        <v>149</v>
      </c>
      <c r="CD168" s="2">
        <v>4052</v>
      </c>
      <c r="CE168" s="2" t="s">
        <v>108</v>
      </c>
      <c r="CF168" s="5">
        <v>42653</v>
      </c>
      <c r="CG168" s="2"/>
      <c r="CH168" s="2"/>
      <c r="CI168" s="2">
        <v>1</v>
      </c>
      <c r="CJ168" s="2">
        <v>1</v>
      </c>
      <c r="CK168" s="2">
        <v>21</v>
      </c>
      <c r="CL168" s="2" t="s">
        <v>88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"FES1162505226"</f>
        <v>FES1162505226</v>
      </c>
      <c r="F169" s="3">
        <v>42650</v>
      </c>
      <c r="G169" s="2">
        <v>201704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143</v>
      </c>
      <c r="M169" s="2" t="s">
        <v>144</v>
      </c>
      <c r="N169" s="2" t="s">
        <v>475</v>
      </c>
      <c r="O169" s="2" t="s">
        <v>96</v>
      </c>
      <c r="P169" s="2" t="str">
        <f>"2170526355                    "</f>
        <v xml:space="preserve">2170526355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3.32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1</v>
      </c>
      <c r="BJ169" s="2">
        <v>0.2</v>
      </c>
      <c r="BK169" s="2">
        <v>1</v>
      </c>
      <c r="BL169" s="2">
        <v>40.76</v>
      </c>
      <c r="BM169" s="2">
        <v>5.71</v>
      </c>
      <c r="BN169" s="2">
        <v>46.47</v>
      </c>
      <c r="BO169" s="2">
        <v>46.47</v>
      </c>
      <c r="BP169" s="2"/>
      <c r="BQ169" s="2" t="s">
        <v>476</v>
      </c>
      <c r="BR169" s="2" t="s">
        <v>83</v>
      </c>
      <c r="BS169" s="3">
        <v>42653</v>
      </c>
      <c r="BT169" s="4">
        <v>0.4069444444444445</v>
      </c>
      <c r="BU169" s="2" t="s">
        <v>477</v>
      </c>
      <c r="BV169" s="2" t="s">
        <v>85</v>
      </c>
      <c r="BW169" s="2"/>
      <c r="BX169" s="2"/>
      <c r="BY169" s="2">
        <v>1200</v>
      </c>
      <c r="BZ169" s="2" t="s">
        <v>27</v>
      </c>
      <c r="CA169" s="2"/>
      <c r="CB169" s="2"/>
      <c r="CC169" s="2" t="s">
        <v>144</v>
      </c>
      <c r="CD169" s="2">
        <v>5201</v>
      </c>
      <c r="CE169" s="2" t="s">
        <v>108</v>
      </c>
      <c r="CF169" s="5">
        <v>42654</v>
      </c>
      <c r="CG169" s="2"/>
      <c r="CH169" s="2"/>
      <c r="CI169" s="2">
        <v>1</v>
      </c>
      <c r="CJ169" s="2">
        <v>1</v>
      </c>
      <c r="CK169" s="2">
        <v>21</v>
      </c>
      <c r="CL169" s="2" t="s">
        <v>88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"FES1162505108"</f>
        <v>FES1162505108</v>
      </c>
      <c r="F170" s="3">
        <v>42649</v>
      </c>
      <c r="G170" s="2">
        <v>201704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98</v>
      </c>
      <c r="M170" s="2" t="s">
        <v>99</v>
      </c>
      <c r="N170" s="2" t="s">
        <v>133</v>
      </c>
      <c r="O170" s="2" t="s">
        <v>96</v>
      </c>
      <c r="P170" s="2" t="str">
        <f>"2170528771                    "</f>
        <v xml:space="preserve">2170528771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6.63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4</v>
      </c>
      <c r="BJ170" s="2">
        <v>3.4</v>
      </c>
      <c r="BK170" s="2">
        <v>4</v>
      </c>
      <c r="BL170" s="2">
        <v>81.510000000000005</v>
      </c>
      <c r="BM170" s="2">
        <v>11.41</v>
      </c>
      <c r="BN170" s="2">
        <v>92.92</v>
      </c>
      <c r="BO170" s="2">
        <v>92.92</v>
      </c>
      <c r="BP170" s="2"/>
      <c r="BQ170" s="2" t="s">
        <v>134</v>
      </c>
      <c r="BR170" s="2" t="s">
        <v>83</v>
      </c>
      <c r="BS170" s="3">
        <v>42650</v>
      </c>
      <c r="BT170" s="4">
        <v>0.33333333333333331</v>
      </c>
      <c r="BU170" s="2" t="s">
        <v>478</v>
      </c>
      <c r="BV170" s="2" t="s">
        <v>85</v>
      </c>
      <c r="BW170" s="2"/>
      <c r="BX170" s="2"/>
      <c r="BY170" s="2">
        <v>17204</v>
      </c>
      <c r="BZ170" s="2" t="s">
        <v>27</v>
      </c>
      <c r="CA170" s="2"/>
      <c r="CB170" s="2"/>
      <c r="CC170" s="2" t="s">
        <v>99</v>
      </c>
      <c r="CD170" s="2">
        <v>6001</v>
      </c>
      <c r="CE170" s="2" t="s">
        <v>86</v>
      </c>
      <c r="CF170" s="5">
        <v>42653</v>
      </c>
      <c r="CG170" s="2"/>
      <c r="CH170" s="2"/>
      <c r="CI170" s="2">
        <v>1</v>
      </c>
      <c r="CJ170" s="2">
        <v>1</v>
      </c>
      <c r="CK170" s="2">
        <v>21</v>
      </c>
      <c r="CL170" s="2" t="s">
        <v>88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"FES1162505188"</f>
        <v>FES1162505188</v>
      </c>
      <c r="F171" s="3">
        <v>42650</v>
      </c>
      <c r="G171" s="2">
        <v>201704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143</v>
      </c>
      <c r="M171" s="2" t="s">
        <v>144</v>
      </c>
      <c r="N171" s="2" t="s">
        <v>216</v>
      </c>
      <c r="O171" s="2" t="s">
        <v>96</v>
      </c>
      <c r="P171" s="2" t="str">
        <f>"2170526797                    "</f>
        <v xml:space="preserve">2170526797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3.32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1</v>
      </c>
      <c r="BJ171" s="2">
        <v>0.2</v>
      </c>
      <c r="BK171" s="2">
        <v>1</v>
      </c>
      <c r="BL171" s="2">
        <v>40.76</v>
      </c>
      <c r="BM171" s="2">
        <v>5.71</v>
      </c>
      <c r="BN171" s="2">
        <v>46.47</v>
      </c>
      <c r="BO171" s="2">
        <v>46.47</v>
      </c>
      <c r="BP171" s="2"/>
      <c r="BQ171" s="2" t="s">
        <v>91</v>
      </c>
      <c r="BR171" s="2" t="s">
        <v>83</v>
      </c>
      <c r="BS171" s="3">
        <v>42653</v>
      </c>
      <c r="BT171" s="4">
        <v>0.38819444444444445</v>
      </c>
      <c r="BU171" s="2" t="s">
        <v>276</v>
      </c>
      <c r="BV171" s="2" t="s">
        <v>85</v>
      </c>
      <c r="BW171" s="2"/>
      <c r="BX171" s="2"/>
      <c r="BY171" s="2">
        <v>1200</v>
      </c>
      <c r="BZ171" s="2" t="s">
        <v>27</v>
      </c>
      <c r="CA171" s="2"/>
      <c r="CB171" s="2"/>
      <c r="CC171" s="2" t="s">
        <v>144</v>
      </c>
      <c r="CD171" s="2">
        <v>5201</v>
      </c>
      <c r="CE171" s="2" t="s">
        <v>108</v>
      </c>
      <c r="CF171" s="5">
        <v>42654</v>
      </c>
      <c r="CG171" s="2"/>
      <c r="CH171" s="2"/>
      <c r="CI171" s="2">
        <v>1</v>
      </c>
      <c r="CJ171" s="2">
        <v>1</v>
      </c>
      <c r="CK171" s="2">
        <v>21</v>
      </c>
      <c r="CL171" s="2" t="s">
        <v>88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"FES1162505001"</f>
        <v>FES1162505001</v>
      </c>
      <c r="F172" s="3">
        <v>42649</v>
      </c>
      <c r="G172" s="2">
        <v>201704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98</v>
      </c>
      <c r="M172" s="2" t="s">
        <v>99</v>
      </c>
      <c r="N172" s="2" t="s">
        <v>479</v>
      </c>
      <c r="O172" s="2" t="s">
        <v>96</v>
      </c>
      <c r="P172" s="2" t="str">
        <f>"2170528646                    "</f>
        <v xml:space="preserve">2170528646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3.32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1</v>
      </c>
      <c r="BJ172" s="2">
        <v>0.2</v>
      </c>
      <c r="BK172" s="2">
        <v>1</v>
      </c>
      <c r="BL172" s="2">
        <v>40.76</v>
      </c>
      <c r="BM172" s="2">
        <v>5.71</v>
      </c>
      <c r="BN172" s="2">
        <v>46.47</v>
      </c>
      <c r="BO172" s="2">
        <v>46.47</v>
      </c>
      <c r="BP172" s="2"/>
      <c r="BQ172" s="2" t="s">
        <v>480</v>
      </c>
      <c r="BR172" s="2" t="s">
        <v>83</v>
      </c>
      <c r="BS172" s="3">
        <v>42653</v>
      </c>
      <c r="BT172" s="4">
        <v>0.625</v>
      </c>
      <c r="BU172" s="2" t="s">
        <v>481</v>
      </c>
      <c r="BV172" s="2" t="s">
        <v>88</v>
      </c>
      <c r="BW172" s="2"/>
      <c r="BX172" s="2"/>
      <c r="BY172" s="2">
        <v>1200</v>
      </c>
      <c r="BZ172" s="2"/>
      <c r="CA172" s="2" t="s">
        <v>482</v>
      </c>
      <c r="CB172" s="2"/>
      <c r="CC172" s="2" t="s">
        <v>99</v>
      </c>
      <c r="CD172" s="2">
        <v>6055</v>
      </c>
      <c r="CE172" s="2" t="s">
        <v>108</v>
      </c>
      <c r="CF172" s="5">
        <v>42653</v>
      </c>
      <c r="CG172" s="2"/>
      <c r="CH172" s="2"/>
      <c r="CI172" s="2">
        <v>1</v>
      </c>
      <c r="CJ172" s="2">
        <v>2</v>
      </c>
      <c r="CK172" s="2">
        <v>21</v>
      </c>
      <c r="CL172" s="2" t="s">
        <v>88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"FES1162505368"</f>
        <v>FES1162505368</v>
      </c>
      <c r="F173" s="3">
        <v>42650</v>
      </c>
      <c r="G173" s="2">
        <v>201704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153</v>
      </c>
      <c r="M173" s="2" t="s">
        <v>153</v>
      </c>
      <c r="N173" s="2" t="s">
        <v>200</v>
      </c>
      <c r="O173" s="2" t="s">
        <v>96</v>
      </c>
      <c r="P173" s="2" t="str">
        <f>"2170524648                    "</f>
        <v xml:space="preserve">2170524648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6.63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3.6</v>
      </c>
      <c r="BJ173" s="2">
        <v>3.8</v>
      </c>
      <c r="BK173" s="2">
        <v>4</v>
      </c>
      <c r="BL173" s="2">
        <v>81.510000000000005</v>
      </c>
      <c r="BM173" s="2">
        <v>11.41</v>
      </c>
      <c r="BN173" s="2">
        <v>92.92</v>
      </c>
      <c r="BO173" s="2">
        <v>92.92</v>
      </c>
      <c r="BP173" s="2"/>
      <c r="BQ173" s="2" t="s">
        <v>201</v>
      </c>
      <c r="BR173" s="2" t="s">
        <v>83</v>
      </c>
      <c r="BS173" s="3">
        <v>42653</v>
      </c>
      <c r="BT173" s="4">
        <v>0.46180555555555558</v>
      </c>
      <c r="BU173" s="2" t="s">
        <v>448</v>
      </c>
      <c r="BV173" s="2"/>
      <c r="BW173" s="2"/>
      <c r="BX173" s="2"/>
      <c r="BY173" s="2">
        <v>19226.66</v>
      </c>
      <c r="BZ173" s="2"/>
      <c r="CA173" s="2"/>
      <c r="CB173" s="2"/>
      <c r="CC173" s="2" t="s">
        <v>153</v>
      </c>
      <c r="CD173" s="2">
        <v>7646</v>
      </c>
      <c r="CE173" s="2" t="s">
        <v>86</v>
      </c>
      <c r="CF173" s="5">
        <v>42655</v>
      </c>
      <c r="CG173" s="2"/>
      <c r="CH173" s="2"/>
      <c r="CI173" s="2">
        <v>0</v>
      </c>
      <c r="CJ173" s="2">
        <v>0</v>
      </c>
      <c r="CK173" s="2">
        <v>21</v>
      </c>
      <c r="CL173" s="2" t="s">
        <v>88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"FES1162505031"</f>
        <v>FES1162505031</v>
      </c>
      <c r="F174" s="3">
        <v>42649</v>
      </c>
      <c r="G174" s="2">
        <v>201704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148</v>
      </c>
      <c r="M174" s="2" t="s">
        <v>149</v>
      </c>
      <c r="N174" s="2" t="s">
        <v>483</v>
      </c>
      <c r="O174" s="2" t="s">
        <v>96</v>
      </c>
      <c r="P174" s="2" t="str">
        <f>"2170526561                    "</f>
        <v xml:space="preserve">2170526561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3.32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1</v>
      </c>
      <c r="BJ174" s="2">
        <v>0.2</v>
      </c>
      <c r="BK174" s="2">
        <v>1</v>
      </c>
      <c r="BL174" s="2">
        <v>40.76</v>
      </c>
      <c r="BM174" s="2">
        <v>5.71</v>
      </c>
      <c r="BN174" s="2">
        <v>46.47</v>
      </c>
      <c r="BO174" s="2">
        <v>46.47</v>
      </c>
      <c r="BP174" s="2"/>
      <c r="BQ174" s="2" t="s">
        <v>484</v>
      </c>
      <c r="BR174" s="2" t="s">
        <v>83</v>
      </c>
      <c r="BS174" s="3">
        <v>42650</v>
      </c>
      <c r="BT174" s="4">
        <v>0.35416666666666669</v>
      </c>
      <c r="BU174" s="2" t="s">
        <v>485</v>
      </c>
      <c r="BV174" s="2"/>
      <c r="BW174" s="2"/>
      <c r="BX174" s="2"/>
      <c r="BY174" s="2">
        <v>1200</v>
      </c>
      <c r="BZ174" s="2" t="s">
        <v>27</v>
      </c>
      <c r="CA174" s="2" t="s">
        <v>129</v>
      </c>
      <c r="CB174" s="2"/>
      <c r="CC174" s="2" t="s">
        <v>149</v>
      </c>
      <c r="CD174" s="2">
        <v>4001</v>
      </c>
      <c r="CE174" s="2" t="s">
        <v>108</v>
      </c>
      <c r="CF174" s="5">
        <v>42653</v>
      </c>
      <c r="CG174" s="2"/>
      <c r="CH174" s="2"/>
      <c r="CI174" s="2">
        <v>0</v>
      </c>
      <c r="CJ174" s="2">
        <v>0</v>
      </c>
      <c r="CK174" s="2">
        <v>21</v>
      </c>
      <c r="CL174" s="2" t="s">
        <v>88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"FES1162505273"</f>
        <v>FES1162505273</v>
      </c>
      <c r="F175" s="3">
        <v>42650</v>
      </c>
      <c r="G175" s="2">
        <v>201704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93</v>
      </c>
      <c r="M175" s="2" t="s">
        <v>94</v>
      </c>
      <c r="N175" s="2" t="s">
        <v>486</v>
      </c>
      <c r="O175" s="2" t="s">
        <v>96</v>
      </c>
      <c r="P175" s="2" t="str">
        <f>"2170528915 DIDACTIC           "</f>
        <v xml:space="preserve">2170528915 DIDACTIC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234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39.81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24</v>
      </c>
      <c r="BJ175" s="2">
        <v>18.3</v>
      </c>
      <c r="BK175" s="2">
        <v>24</v>
      </c>
      <c r="BL175" s="2">
        <v>723.09</v>
      </c>
      <c r="BM175" s="2">
        <v>101.23</v>
      </c>
      <c r="BN175" s="2">
        <v>824.32</v>
      </c>
      <c r="BO175" s="2">
        <v>824.32</v>
      </c>
      <c r="BP175" s="2" t="s">
        <v>487</v>
      </c>
      <c r="BQ175" s="2" t="s">
        <v>488</v>
      </c>
      <c r="BR175" s="2" t="s">
        <v>83</v>
      </c>
      <c r="BS175" s="3">
        <v>42653</v>
      </c>
      <c r="BT175" s="4">
        <v>0.4375</v>
      </c>
      <c r="BU175" s="2" t="s">
        <v>489</v>
      </c>
      <c r="BV175" s="2" t="s">
        <v>85</v>
      </c>
      <c r="BW175" s="2"/>
      <c r="BX175" s="2"/>
      <c r="BY175" s="2">
        <v>91264</v>
      </c>
      <c r="BZ175" s="2" t="s">
        <v>490</v>
      </c>
      <c r="CA175" s="2"/>
      <c r="CB175" s="2"/>
      <c r="CC175" s="2" t="s">
        <v>94</v>
      </c>
      <c r="CD175" s="2">
        <v>4300</v>
      </c>
      <c r="CE175" s="2" t="s">
        <v>86</v>
      </c>
      <c r="CF175" s="5">
        <v>42654</v>
      </c>
      <c r="CG175" s="2"/>
      <c r="CH175" s="2"/>
      <c r="CI175" s="2">
        <v>1</v>
      </c>
      <c r="CJ175" s="2">
        <v>1</v>
      </c>
      <c r="CK175" s="2">
        <v>21</v>
      </c>
      <c r="CL175" s="2" t="s">
        <v>85</v>
      </c>
      <c r="CM175" s="4">
        <v>0.4375</v>
      </c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"FES1162504979"</f>
        <v>FES1162504979</v>
      </c>
      <c r="F176" s="3">
        <v>42649</v>
      </c>
      <c r="G176" s="2">
        <v>201704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160</v>
      </c>
      <c r="M176" s="2" t="s">
        <v>161</v>
      </c>
      <c r="N176" s="2" t="s">
        <v>411</v>
      </c>
      <c r="O176" s="2" t="s">
        <v>96</v>
      </c>
      <c r="P176" s="2" t="str">
        <f>"2170521673                    "</f>
        <v xml:space="preserve">2170521673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3.32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1</v>
      </c>
      <c r="BJ176" s="2">
        <v>0.2</v>
      </c>
      <c r="BK176" s="2">
        <v>1</v>
      </c>
      <c r="BL176" s="2">
        <v>40.76</v>
      </c>
      <c r="BM176" s="2">
        <v>5.71</v>
      </c>
      <c r="BN176" s="2">
        <v>46.47</v>
      </c>
      <c r="BO176" s="2">
        <v>46.47</v>
      </c>
      <c r="BP176" s="2"/>
      <c r="BQ176" s="2" t="s">
        <v>412</v>
      </c>
      <c r="BR176" s="2" t="s">
        <v>83</v>
      </c>
      <c r="BS176" s="3">
        <v>42650</v>
      </c>
      <c r="BT176" s="4">
        <v>0.47916666666666669</v>
      </c>
      <c r="BU176" s="2" t="s">
        <v>413</v>
      </c>
      <c r="BV176" s="2" t="s">
        <v>85</v>
      </c>
      <c r="BW176" s="2"/>
      <c r="BX176" s="2"/>
      <c r="BY176" s="2">
        <v>1200</v>
      </c>
      <c r="BZ176" s="2"/>
      <c r="CA176" s="2"/>
      <c r="CB176" s="2"/>
      <c r="CC176" s="2" t="s">
        <v>161</v>
      </c>
      <c r="CD176" s="2">
        <v>7945</v>
      </c>
      <c r="CE176" s="2" t="s">
        <v>108</v>
      </c>
      <c r="CF176" s="5">
        <v>42654</v>
      </c>
      <c r="CG176" s="2"/>
      <c r="CH176" s="2"/>
      <c r="CI176" s="2">
        <v>1</v>
      </c>
      <c r="CJ176" s="2">
        <v>1</v>
      </c>
      <c r="CK176" s="2">
        <v>21</v>
      </c>
      <c r="CL176" s="2" t="s">
        <v>88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"FES1162505198"</f>
        <v>FES1162505198</v>
      </c>
      <c r="F177" s="3">
        <v>42650</v>
      </c>
      <c r="G177" s="2">
        <v>201704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491</v>
      </c>
      <c r="M177" s="2" t="s">
        <v>492</v>
      </c>
      <c r="N177" s="2" t="s">
        <v>493</v>
      </c>
      <c r="O177" s="2" t="s">
        <v>96</v>
      </c>
      <c r="P177" s="2" t="str">
        <f>"2170528233                    "</f>
        <v xml:space="preserve">2170528233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3.32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1</v>
      </c>
      <c r="BJ177" s="2">
        <v>0.2</v>
      </c>
      <c r="BK177" s="2">
        <v>1</v>
      </c>
      <c r="BL177" s="2">
        <v>40.76</v>
      </c>
      <c r="BM177" s="2">
        <v>5.71</v>
      </c>
      <c r="BN177" s="2">
        <v>46.47</v>
      </c>
      <c r="BO177" s="2">
        <v>46.47</v>
      </c>
      <c r="BP177" s="2"/>
      <c r="BQ177" s="2" t="s">
        <v>494</v>
      </c>
      <c r="BR177" s="2" t="s">
        <v>83</v>
      </c>
      <c r="BS177" s="3">
        <v>42653</v>
      </c>
      <c r="BT177" s="4">
        <v>0.42708333333333331</v>
      </c>
      <c r="BU177" s="2" t="s">
        <v>495</v>
      </c>
      <c r="BV177" s="2" t="s">
        <v>85</v>
      </c>
      <c r="BW177" s="2"/>
      <c r="BX177" s="2"/>
      <c r="BY177" s="2">
        <v>1200</v>
      </c>
      <c r="BZ177" s="2" t="s">
        <v>27</v>
      </c>
      <c r="CA177" s="2"/>
      <c r="CB177" s="2"/>
      <c r="CC177" s="2" t="s">
        <v>492</v>
      </c>
      <c r="CD177" s="2">
        <v>3699</v>
      </c>
      <c r="CE177" s="2" t="s">
        <v>108</v>
      </c>
      <c r="CF177" s="5">
        <v>42654</v>
      </c>
      <c r="CG177" s="2"/>
      <c r="CH177" s="2"/>
      <c r="CI177" s="2">
        <v>1</v>
      </c>
      <c r="CJ177" s="2">
        <v>1</v>
      </c>
      <c r="CK177" s="2">
        <v>21</v>
      </c>
      <c r="CL177" s="2" t="s">
        <v>88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"FES1162505242"</f>
        <v>FES1162505242</v>
      </c>
      <c r="F178" s="3">
        <v>42650</v>
      </c>
      <c r="G178" s="2">
        <v>201704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269</v>
      </c>
      <c r="M178" s="2" t="s">
        <v>270</v>
      </c>
      <c r="N178" s="2" t="s">
        <v>496</v>
      </c>
      <c r="O178" s="2" t="s">
        <v>96</v>
      </c>
      <c r="P178" s="2" t="str">
        <f>"1162505245 1162505230         "</f>
        <v xml:space="preserve">1162505245 1162505230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5.81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234</v>
      </c>
      <c r="BF178" s="2">
        <v>0</v>
      </c>
      <c r="BG178" s="2">
        <v>0</v>
      </c>
      <c r="BH178" s="2">
        <v>1</v>
      </c>
      <c r="BI178" s="2">
        <v>2.5</v>
      </c>
      <c r="BJ178" s="2">
        <v>3.4</v>
      </c>
      <c r="BK178" s="2">
        <v>3.5</v>
      </c>
      <c r="BL178" s="2">
        <v>305.33</v>
      </c>
      <c r="BM178" s="2">
        <v>42.75</v>
      </c>
      <c r="BN178" s="2">
        <v>348.08</v>
      </c>
      <c r="BO178" s="2">
        <v>348.08</v>
      </c>
      <c r="BP178" s="2" t="s">
        <v>497</v>
      </c>
      <c r="BQ178" s="2" t="s">
        <v>498</v>
      </c>
      <c r="BR178" s="2" t="s">
        <v>83</v>
      </c>
      <c r="BS178" s="3">
        <v>42651</v>
      </c>
      <c r="BT178" s="4">
        <v>0.32222222222222224</v>
      </c>
      <c r="BU178" s="2" t="s">
        <v>499</v>
      </c>
      <c r="BV178" s="2" t="s">
        <v>85</v>
      </c>
      <c r="BW178" s="2"/>
      <c r="BX178" s="2"/>
      <c r="BY178" s="2">
        <v>16795.63</v>
      </c>
      <c r="BZ178" s="2" t="s">
        <v>500</v>
      </c>
      <c r="CA178" s="2" t="s">
        <v>129</v>
      </c>
      <c r="CB178" s="2"/>
      <c r="CC178" s="2" t="s">
        <v>270</v>
      </c>
      <c r="CD178" s="2">
        <v>3610</v>
      </c>
      <c r="CE178" s="2" t="s">
        <v>86</v>
      </c>
      <c r="CF178" s="5">
        <v>42654</v>
      </c>
      <c r="CG178" s="2"/>
      <c r="CH178" s="2"/>
      <c r="CI178" s="2">
        <v>1</v>
      </c>
      <c r="CJ178" s="2">
        <v>1</v>
      </c>
      <c r="CK178" s="2">
        <v>21</v>
      </c>
      <c r="CL178" s="2" t="s">
        <v>88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"FES1162505059"</f>
        <v>FES1162505059</v>
      </c>
      <c r="F179" s="3">
        <v>42649</v>
      </c>
      <c r="G179" s="2">
        <v>201704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153</v>
      </c>
      <c r="M179" s="2" t="s">
        <v>153</v>
      </c>
      <c r="N179" s="2" t="s">
        <v>501</v>
      </c>
      <c r="O179" s="2" t="s">
        <v>96</v>
      </c>
      <c r="P179" s="2" t="str">
        <f>"2170528164                    "</f>
        <v xml:space="preserve">2170528164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6.63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4</v>
      </c>
      <c r="BJ179" s="2">
        <v>2.6</v>
      </c>
      <c r="BK179" s="2">
        <v>4</v>
      </c>
      <c r="BL179" s="2">
        <v>81.510000000000005</v>
      </c>
      <c r="BM179" s="2">
        <v>11.41</v>
      </c>
      <c r="BN179" s="2">
        <v>92.92</v>
      </c>
      <c r="BO179" s="2">
        <v>92.92</v>
      </c>
      <c r="BP179" s="2"/>
      <c r="BQ179" s="2" t="s">
        <v>82</v>
      </c>
      <c r="BR179" s="2" t="s">
        <v>83</v>
      </c>
      <c r="BS179" s="3">
        <v>42650</v>
      </c>
      <c r="BT179" s="4">
        <v>0.56041666666666667</v>
      </c>
      <c r="BU179" s="2" t="s">
        <v>502</v>
      </c>
      <c r="BV179" s="2" t="s">
        <v>85</v>
      </c>
      <c r="BW179" s="2"/>
      <c r="BX179" s="2"/>
      <c r="BY179" s="2">
        <v>12852</v>
      </c>
      <c r="BZ179" s="2" t="s">
        <v>27</v>
      </c>
      <c r="CA179" s="2"/>
      <c r="CB179" s="2"/>
      <c r="CC179" s="2" t="s">
        <v>153</v>
      </c>
      <c r="CD179" s="2">
        <v>7620</v>
      </c>
      <c r="CE179" s="2" t="s">
        <v>368</v>
      </c>
      <c r="CF179" s="5">
        <v>42653</v>
      </c>
      <c r="CG179" s="2"/>
      <c r="CH179" s="2"/>
      <c r="CI179" s="2">
        <v>1</v>
      </c>
      <c r="CJ179" s="2">
        <v>1</v>
      </c>
      <c r="CK179" s="2">
        <v>21</v>
      </c>
      <c r="CL179" s="2" t="s">
        <v>88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"FES1162505200"</f>
        <v>FES1162505200</v>
      </c>
      <c r="F180" s="3">
        <v>42650</v>
      </c>
      <c r="G180" s="2">
        <v>201704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503</v>
      </c>
      <c r="M180" s="2" t="s">
        <v>504</v>
      </c>
      <c r="N180" s="2" t="s">
        <v>505</v>
      </c>
      <c r="O180" s="2" t="s">
        <v>96</v>
      </c>
      <c r="P180" s="2" t="str">
        <f>"2170528584                    "</f>
        <v xml:space="preserve">2170528584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6.43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1.2</v>
      </c>
      <c r="BJ180" s="2">
        <v>1</v>
      </c>
      <c r="BK180" s="2">
        <v>1.5</v>
      </c>
      <c r="BL180" s="2">
        <v>78.97</v>
      </c>
      <c r="BM180" s="2">
        <v>11.06</v>
      </c>
      <c r="BN180" s="2">
        <v>90.03</v>
      </c>
      <c r="BO180" s="2">
        <v>90.03</v>
      </c>
      <c r="BP180" s="2"/>
      <c r="BQ180" s="2" t="s">
        <v>91</v>
      </c>
      <c r="BR180" s="2" t="s">
        <v>83</v>
      </c>
      <c r="BS180" s="3">
        <v>42653</v>
      </c>
      <c r="BT180" s="4">
        <v>0.41666666666666669</v>
      </c>
      <c r="BU180" s="2" t="s">
        <v>506</v>
      </c>
      <c r="BV180" s="2" t="s">
        <v>85</v>
      </c>
      <c r="BW180" s="2"/>
      <c r="BX180" s="2"/>
      <c r="BY180" s="2">
        <v>5041.53</v>
      </c>
      <c r="BZ180" s="2"/>
      <c r="CA180" s="2"/>
      <c r="CB180" s="2"/>
      <c r="CC180" s="2" t="s">
        <v>504</v>
      </c>
      <c r="CD180" s="2">
        <v>7349</v>
      </c>
      <c r="CE180" s="2" t="s">
        <v>86</v>
      </c>
      <c r="CF180" s="5">
        <v>42654</v>
      </c>
      <c r="CG180" s="2"/>
      <c r="CH180" s="2"/>
      <c r="CI180" s="2">
        <v>1</v>
      </c>
      <c r="CJ180" s="2">
        <v>1</v>
      </c>
      <c r="CK180" s="2">
        <v>23</v>
      </c>
      <c r="CL180" s="2" t="s">
        <v>88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"FES1162504970"</f>
        <v>FES1162504970</v>
      </c>
      <c r="F181" s="3">
        <v>42649</v>
      </c>
      <c r="G181" s="2">
        <v>201704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156</v>
      </c>
      <c r="M181" s="2" t="s">
        <v>157</v>
      </c>
      <c r="N181" s="2" t="s">
        <v>507</v>
      </c>
      <c r="O181" s="2" t="s">
        <v>96</v>
      </c>
      <c r="P181" s="2" t="str">
        <f>"2170528346                    "</f>
        <v xml:space="preserve">2170528346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3.32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2</v>
      </c>
      <c r="BJ181" s="2">
        <v>1.1000000000000001</v>
      </c>
      <c r="BK181" s="2">
        <v>2</v>
      </c>
      <c r="BL181" s="2">
        <v>40.76</v>
      </c>
      <c r="BM181" s="2">
        <v>5.71</v>
      </c>
      <c r="BN181" s="2">
        <v>46.47</v>
      </c>
      <c r="BO181" s="2">
        <v>46.47</v>
      </c>
      <c r="BP181" s="2"/>
      <c r="BQ181" s="2" t="s">
        <v>508</v>
      </c>
      <c r="BR181" s="2" t="s">
        <v>83</v>
      </c>
      <c r="BS181" s="3">
        <v>42650</v>
      </c>
      <c r="BT181" s="4">
        <v>0.41666666666666669</v>
      </c>
      <c r="BU181" s="2" t="s">
        <v>509</v>
      </c>
      <c r="BV181" s="2" t="s">
        <v>85</v>
      </c>
      <c r="BW181" s="2"/>
      <c r="BX181" s="2"/>
      <c r="BY181" s="2">
        <v>5320</v>
      </c>
      <c r="BZ181" s="2" t="s">
        <v>27</v>
      </c>
      <c r="CA181" s="2" t="s">
        <v>129</v>
      </c>
      <c r="CB181" s="2"/>
      <c r="CC181" s="2" t="s">
        <v>157</v>
      </c>
      <c r="CD181" s="2">
        <v>7130</v>
      </c>
      <c r="CE181" s="2" t="s">
        <v>86</v>
      </c>
      <c r="CF181" s="5">
        <v>42653</v>
      </c>
      <c r="CG181" s="2"/>
      <c r="CH181" s="2"/>
      <c r="CI181" s="2">
        <v>1</v>
      </c>
      <c r="CJ181" s="2">
        <v>1</v>
      </c>
      <c r="CK181" s="2">
        <v>21</v>
      </c>
      <c r="CL181" s="2" t="s">
        <v>88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"FES1162505254"</f>
        <v>FES1162505254</v>
      </c>
      <c r="F182" s="3">
        <v>42650</v>
      </c>
      <c r="G182" s="2">
        <v>201704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510</v>
      </c>
      <c r="M182" s="2" t="s">
        <v>511</v>
      </c>
      <c r="N182" s="2" t="s">
        <v>512</v>
      </c>
      <c r="O182" s="2" t="s">
        <v>96</v>
      </c>
      <c r="P182" s="2" t="str">
        <f>"2170528901                    "</f>
        <v xml:space="preserve">2170528901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3.32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1</v>
      </c>
      <c r="BJ182" s="2">
        <v>0.2</v>
      </c>
      <c r="BK182" s="2">
        <v>1</v>
      </c>
      <c r="BL182" s="2">
        <v>40.76</v>
      </c>
      <c r="BM182" s="2">
        <v>5.71</v>
      </c>
      <c r="BN182" s="2">
        <v>46.47</v>
      </c>
      <c r="BO182" s="2">
        <v>46.47</v>
      </c>
      <c r="BP182" s="2"/>
      <c r="BQ182" s="2" t="s">
        <v>117</v>
      </c>
      <c r="BR182" s="2" t="s">
        <v>83</v>
      </c>
      <c r="BS182" s="3">
        <v>42653</v>
      </c>
      <c r="BT182" s="4">
        <v>0.3743055555555555</v>
      </c>
      <c r="BU182" s="2" t="s">
        <v>513</v>
      </c>
      <c r="BV182" s="2" t="s">
        <v>85</v>
      </c>
      <c r="BW182" s="2"/>
      <c r="BX182" s="2"/>
      <c r="BY182" s="2">
        <v>1200</v>
      </c>
      <c r="BZ182" s="2"/>
      <c r="CA182" s="2"/>
      <c r="CB182" s="2"/>
      <c r="CC182" s="2" t="s">
        <v>511</v>
      </c>
      <c r="CD182" s="2">
        <v>3291</v>
      </c>
      <c r="CE182" s="2" t="s">
        <v>108</v>
      </c>
      <c r="CF182" s="5">
        <v>42654</v>
      </c>
      <c r="CG182" s="2"/>
      <c r="CH182" s="2"/>
      <c r="CI182" s="2">
        <v>1</v>
      </c>
      <c r="CJ182" s="2">
        <v>1</v>
      </c>
      <c r="CK182" s="2">
        <v>21</v>
      </c>
      <c r="CL182" s="2" t="s">
        <v>88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"FES1162505115"</f>
        <v>FES1162505115</v>
      </c>
      <c r="F183" s="3">
        <v>42649</v>
      </c>
      <c r="G183" s="2">
        <v>201704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137</v>
      </c>
      <c r="M183" s="2" t="s">
        <v>138</v>
      </c>
      <c r="N183" s="2" t="s">
        <v>514</v>
      </c>
      <c r="O183" s="2" t="s">
        <v>96</v>
      </c>
      <c r="P183" s="2" t="str">
        <f>"2170528745                    "</f>
        <v xml:space="preserve">2170528745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3.32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1</v>
      </c>
      <c r="BJ183" s="2">
        <v>0.2</v>
      </c>
      <c r="BK183" s="2">
        <v>1</v>
      </c>
      <c r="BL183" s="2">
        <v>40.76</v>
      </c>
      <c r="BM183" s="2">
        <v>5.71</v>
      </c>
      <c r="BN183" s="2">
        <v>46.47</v>
      </c>
      <c r="BO183" s="2">
        <v>46.47</v>
      </c>
      <c r="BP183" s="2"/>
      <c r="BQ183" s="2" t="s">
        <v>515</v>
      </c>
      <c r="BR183" s="2" t="s">
        <v>83</v>
      </c>
      <c r="BS183" s="3">
        <v>42650</v>
      </c>
      <c r="BT183" s="4">
        <v>0.35069444444444442</v>
      </c>
      <c r="BU183" s="2" t="s">
        <v>516</v>
      </c>
      <c r="BV183" s="2"/>
      <c r="BW183" s="2"/>
      <c r="BX183" s="2"/>
      <c r="BY183" s="2">
        <v>1200</v>
      </c>
      <c r="BZ183" s="2" t="s">
        <v>27</v>
      </c>
      <c r="CA183" s="2"/>
      <c r="CB183" s="2"/>
      <c r="CC183" s="2" t="s">
        <v>138</v>
      </c>
      <c r="CD183" s="2">
        <v>3201</v>
      </c>
      <c r="CE183" s="2" t="s">
        <v>108</v>
      </c>
      <c r="CF183" s="5">
        <v>42653</v>
      </c>
      <c r="CG183" s="2"/>
      <c r="CH183" s="2"/>
      <c r="CI183" s="2">
        <v>0</v>
      </c>
      <c r="CJ183" s="2">
        <v>0</v>
      </c>
      <c r="CK183" s="2">
        <v>21</v>
      </c>
      <c r="CL183" s="2" t="s">
        <v>88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"FES1162505364"</f>
        <v>FES1162505364</v>
      </c>
      <c r="F184" s="3">
        <v>42650</v>
      </c>
      <c r="G184" s="2">
        <v>201704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148</v>
      </c>
      <c r="M184" s="2" t="s">
        <v>149</v>
      </c>
      <c r="N184" s="2" t="s">
        <v>517</v>
      </c>
      <c r="O184" s="2" t="s">
        <v>96</v>
      </c>
      <c r="P184" s="2" t="str">
        <f>"2170529040                    "</f>
        <v xml:space="preserve">2170529040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3.32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1</v>
      </c>
      <c r="BJ184" s="2">
        <v>0.2</v>
      </c>
      <c r="BK184" s="2">
        <v>1</v>
      </c>
      <c r="BL184" s="2">
        <v>40.76</v>
      </c>
      <c r="BM184" s="2">
        <v>5.71</v>
      </c>
      <c r="BN184" s="2">
        <v>46.47</v>
      </c>
      <c r="BO184" s="2">
        <v>46.47</v>
      </c>
      <c r="BP184" s="2"/>
      <c r="BQ184" s="2" t="s">
        <v>518</v>
      </c>
      <c r="BR184" s="2" t="s">
        <v>83</v>
      </c>
      <c r="BS184" s="3">
        <v>42653</v>
      </c>
      <c r="BT184" s="4">
        <v>0.30902777777777779</v>
      </c>
      <c r="BU184" s="2" t="s">
        <v>519</v>
      </c>
      <c r="BV184" s="2"/>
      <c r="BW184" s="2"/>
      <c r="BX184" s="2"/>
      <c r="BY184" s="2">
        <v>1200</v>
      </c>
      <c r="BZ184" s="2" t="s">
        <v>27</v>
      </c>
      <c r="CA184" s="2"/>
      <c r="CB184" s="2"/>
      <c r="CC184" s="2" t="s">
        <v>149</v>
      </c>
      <c r="CD184" s="2">
        <v>4001</v>
      </c>
      <c r="CE184" s="2" t="s">
        <v>108</v>
      </c>
      <c r="CF184" s="5">
        <v>42654</v>
      </c>
      <c r="CG184" s="2"/>
      <c r="CH184" s="2"/>
      <c r="CI184" s="2">
        <v>0</v>
      </c>
      <c r="CJ184" s="2">
        <v>0</v>
      </c>
      <c r="CK184" s="2">
        <v>21</v>
      </c>
      <c r="CL184" s="2" t="s">
        <v>88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"FES1162504929"</f>
        <v>FES1162504929</v>
      </c>
      <c r="F185" s="3">
        <v>42649</v>
      </c>
      <c r="G185" s="2">
        <v>201704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491</v>
      </c>
      <c r="M185" s="2" t="s">
        <v>492</v>
      </c>
      <c r="N185" s="2" t="s">
        <v>493</v>
      </c>
      <c r="O185" s="2" t="s">
        <v>96</v>
      </c>
      <c r="P185" s="2" t="str">
        <f>"2170528028                    "</f>
        <v xml:space="preserve">2170528028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6.63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1</v>
      </c>
      <c r="BJ185" s="2">
        <v>3.9</v>
      </c>
      <c r="BK185" s="2">
        <v>4</v>
      </c>
      <c r="BL185" s="2">
        <v>81.510000000000005</v>
      </c>
      <c r="BM185" s="2">
        <v>11.41</v>
      </c>
      <c r="BN185" s="2">
        <v>92.92</v>
      </c>
      <c r="BO185" s="2">
        <v>92.92</v>
      </c>
      <c r="BP185" s="2"/>
      <c r="BQ185" s="2" t="s">
        <v>494</v>
      </c>
      <c r="BR185" s="2" t="s">
        <v>83</v>
      </c>
      <c r="BS185" s="3">
        <v>42650</v>
      </c>
      <c r="BT185" s="4">
        <v>0.41666666666666669</v>
      </c>
      <c r="BU185" s="2" t="s">
        <v>428</v>
      </c>
      <c r="BV185" s="2" t="s">
        <v>85</v>
      </c>
      <c r="BW185" s="2"/>
      <c r="BX185" s="2"/>
      <c r="BY185" s="2">
        <v>19599.36</v>
      </c>
      <c r="BZ185" s="2" t="s">
        <v>27</v>
      </c>
      <c r="CA185" s="2"/>
      <c r="CB185" s="2"/>
      <c r="CC185" s="2" t="s">
        <v>492</v>
      </c>
      <c r="CD185" s="2">
        <v>3699</v>
      </c>
      <c r="CE185" s="2" t="s">
        <v>108</v>
      </c>
      <c r="CF185" s="5">
        <v>42653</v>
      </c>
      <c r="CG185" s="2"/>
      <c r="CH185" s="2"/>
      <c r="CI185" s="2">
        <v>1</v>
      </c>
      <c r="CJ185" s="2">
        <v>1</v>
      </c>
      <c r="CK185" s="2">
        <v>21</v>
      </c>
      <c r="CL185" s="2" t="s">
        <v>88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"FES1162505183"</f>
        <v>FES1162505183</v>
      </c>
      <c r="F186" s="3">
        <v>42650</v>
      </c>
      <c r="G186" s="2">
        <v>201704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160</v>
      </c>
      <c r="M186" s="2" t="s">
        <v>161</v>
      </c>
      <c r="N186" s="2" t="s">
        <v>227</v>
      </c>
      <c r="O186" s="2" t="s">
        <v>96</v>
      </c>
      <c r="P186" s="2" t="str">
        <f>"2170526725                    "</f>
        <v xml:space="preserve">2170526725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3.32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1</v>
      </c>
      <c r="BJ186" s="2">
        <v>0.2</v>
      </c>
      <c r="BK186" s="2">
        <v>1</v>
      </c>
      <c r="BL186" s="2">
        <v>40.76</v>
      </c>
      <c r="BM186" s="2">
        <v>5.71</v>
      </c>
      <c r="BN186" s="2">
        <v>46.47</v>
      </c>
      <c r="BO186" s="2">
        <v>46.47</v>
      </c>
      <c r="BP186" s="2"/>
      <c r="BQ186" s="2" t="s">
        <v>91</v>
      </c>
      <c r="BR186" s="2" t="s">
        <v>83</v>
      </c>
      <c r="BS186" s="3">
        <v>42653</v>
      </c>
      <c r="BT186" s="4">
        <v>0.41666666666666669</v>
      </c>
      <c r="BU186" s="2" t="s">
        <v>520</v>
      </c>
      <c r="BV186" s="2" t="s">
        <v>85</v>
      </c>
      <c r="BW186" s="2"/>
      <c r="BX186" s="2"/>
      <c r="BY186" s="2">
        <v>1200</v>
      </c>
      <c r="BZ186" s="2" t="s">
        <v>27</v>
      </c>
      <c r="CA186" s="2"/>
      <c r="CB186" s="2"/>
      <c r="CC186" s="2" t="s">
        <v>161</v>
      </c>
      <c r="CD186" s="2">
        <v>7460</v>
      </c>
      <c r="CE186" s="2" t="s">
        <v>108</v>
      </c>
      <c r="CF186" s="5">
        <v>42654</v>
      </c>
      <c r="CG186" s="2"/>
      <c r="CH186" s="2"/>
      <c r="CI186" s="2">
        <v>1</v>
      </c>
      <c r="CJ186" s="2">
        <v>1</v>
      </c>
      <c r="CK186" s="2">
        <v>21</v>
      </c>
      <c r="CL186" s="2" t="s">
        <v>88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"FES1162504980"</f>
        <v>FES1162504980</v>
      </c>
      <c r="F187" s="3">
        <v>42649</v>
      </c>
      <c r="G187" s="2">
        <v>201704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160</v>
      </c>
      <c r="M187" s="2" t="s">
        <v>161</v>
      </c>
      <c r="N187" s="2" t="s">
        <v>411</v>
      </c>
      <c r="O187" s="2" t="s">
        <v>96</v>
      </c>
      <c r="P187" s="2" t="str">
        <f>"2170527191                    "</f>
        <v xml:space="preserve">2170527191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4.1500000000000004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2.5</v>
      </c>
      <c r="BJ187" s="2">
        <v>1.9</v>
      </c>
      <c r="BK187" s="2">
        <v>2.5</v>
      </c>
      <c r="BL187" s="2">
        <v>50.95</v>
      </c>
      <c r="BM187" s="2">
        <v>7.13</v>
      </c>
      <c r="BN187" s="2">
        <v>58.08</v>
      </c>
      <c r="BO187" s="2">
        <v>58.08</v>
      </c>
      <c r="BP187" s="2"/>
      <c r="BQ187" s="2" t="s">
        <v>412</v>
      </c>
      <c r="BR187" s="2" t="s">
        <v>83</v>
      </c>
      <c r="BS187" s="3">
        <v>42650</v>
      </c>
      <c r="BT187" s="4">
        <v>0.45833333333333331</v>
      </c>
      <c r="BU187" s="2" t="s">
        <v>413</v>
      </c>
      <c r="BV187" s="2" t="s">
        <v>85</v>
      </c>
      <c r="BW187" s="2"/>
      <c r="BX187" s="2"/>
      <c r="BY187" s="2">
        <v>9280</v>
      </c>
      <c r="BZ187" s="2"/>
      <c r="CA187" s="2"/>
      <c r="CB187" s="2"/>
      <c r="CC187" s="2" t="s">
        <v>161</v>
      </c>
      <c r="CD187" s="2">
        <v>7945</v>
      </c>
      <c r="CE187" s="2" t="s">
        <v>86</v>
      </c>
      <c r="CF187" s="5">
        <v>42654</v>
      </c>
      <c r="CG187" s="2"/>
      <c r="CH187" s="2"/>
      <c r="CI187" s="2">
        <v>1</v>
      </c>
      <c r="CJ187" s="2">
        <v>1</v>
      </c>
      <c r="CK187" s="2">
        <v>21</v>
      </c>
      <c r="CL187" s="2" t="s">
        <v>88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"FES1162505343"</f>
        <v>FES1162505343</v>
      </c>
      <c r="F188" s="3">
        <v>42650</v>
      </c>
      <c r="G188" s="2">
        <v>201704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148</v>
      </c>
      <c r="M188" s="2" t="s">
        <v>149</v>
      </c>
      <c r="N188" s="2" t="s">
        <v>521</v>
      </c>
      <c r="O188" s="2" t="s">
        <v>96</v>
      </c>
      <c r="P188" s="2" t="str">
        <f>"2170529007                    "</f>
        <v xml:space="preserve">2170529007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3.32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1</v>
      </c>
      <c r="BJ188" s="2">
        <v>0.2</v>
      </c>
      <c r="BK188" s="2">
        <v>1</v>
      </c>
      <c r="BL188" s="2">
        <v>40.76</v>
      </c>
      <c r="BM188" s="2">
        <v>5.71</v>
      </c>
      <c r="BN188" s="2">
        <v>46.47</v>
      </c>
      <c r="BO188" s="2">
        <v>46.47</v>
      </c>
      <c r="BP188" s="2"/>
      <c r="BQ188" s="2" t="s">
        <v>168</v>
      </c>
      <c r="BR188" s="2" t="s">
        <v>83</v>
      </c>
      <c r="BS188" s="3">
        <v>42653</v>
      </c>
      <c r="BT188" s="4">
        <v>0.4375</v>
      </c>
      <c r="BU188" s="2" t="s">
        <v>238</v>
      </c>
      <c r="BV188" s="2" t="s">
        <v>85</v>
      </c>
      <c r="BW188" s="2"/>
      <c r="BX188" s="2"/>
      <c r="BY188" s="2">
        <v>1200</v>
      </c>
      <c r="BZ188" s="2" t="s">
        <v>27</v>
      </c>
      <c r="CA188" s="2"/>
      <c r="CB188" s="2"/>
      <c r="CC188" s="2" t="s">
        <v>149</v>
      </c>
      <c r="CD188" s="2">
        <v>4052</v>
      </c>
      <c r="CE188" s="2" t="s">
        <v>108</v>
      </c>
      <c r="CF188" s="5">
        <v>42654</v>
      </c>
      <c r="CG188" s="2"/>
      <c r="CH188" s="2"/>
      <c r="CI188" s="2">
        <v>1</v>
      </c>
      <c r="CJ188" s="2">
        <v>1</v>
      </c>
      <c r="CK188" s="2">
        <v>21</v>
      </c>
      <c r="CL188" s="2" t="s">
        <v>88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"FES1162504511"</f>
        <v>FES1162504511</v>
      </c>
      <c r="F189" s="3">
        <v>42649</v>
      </c>
      <c r="G189" s="2">
        <v>201704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160</v>
      </c>
      <c r="M189" s="2" t="s">
        <v>161</v>
      </c>
      <c r="N189" s="2" t="s">
        <v>357</v>
      </c>
      <c r="O189" s="2" t="s">
        <v>96</v>
      </c>
      <c r="P189" s="2" t="str">
        <f>"2170527696                    "</f>
        <v xml:space="preserve">2170527696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4.9800000000000004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3</v>
      </c>
      <c r="BJ189" s="2">
        <v>0.8</v>
      </c>
      <c r="BK189" s="2">
        <v>3</v>
      </c>
      <c r="BL189" s="2">
        <v>61.14</v>
      </c>
      <c r="BM189" s="2">
        <v>8.56</v>
      </c>
      <c r="BN189" s="2">
        <v>69.7</v>
      </c>
      <c r="BO189" s="2">
        <v>69.7</v>
      </c>
      <c r="BP189" s="2"/>
      <c r="BQ189" s="2" t="s">
        <v>358</v>
      </c>
      <c r="BR189" s="2" t="s">
        <v>83</v>
      </c>
      <c r="BS189" s="3">
        <v>42650</v>
      </c>
      <c r="BT189" s="4">
        <v>0.375</v>
      </c>
      <c r="BU189" s="2" t="s">
        <v>522</v>
      </c>
      <c r="BV189" s="2" t="s">
        <v>85</v>
      </c>
      <c r="BW189" s="2"/>
      <c r="BX189" s="2"/>
      <c r="BY189" s="2">
        <v>3960</v>
      </c>
      <c r="BZ189" s="2" t="s">
        <v>27</v>
      </c>
      <c r="CA189" s="2"/>
      <c r="CB189" s="2"/>
      <c r="CC189" s="2" t="s">
        <v>161</v>
      </c>
      <c r="CD189" s="2">
        <v>7441</v>
      </c>
      <c r="CE189" s="2" t="s">
        <v>86</v>
      </c>
      <c r="CF189" s="5">
        <v>42653</v>
      </c>
      <c r="CG189" s="2"/>
      <c r="CH189" s="2"/>
      <c r="CI189" s="2">
        <v>1</v>
      </c>
      <c r="CJ189" s="2">
        <v>1</v>
      </c>
      <c r="CK189" s="2">
        <v>21</v>
      </c>
      <c r="CL189" s="2" t="s">
        <v>88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"FES1162505340"</f>
        <v>FES1162505340</v>
      </c>
      <c r="F190" s="3">
        <v>42650</v>
      </c>
      <c r="G190" s="2">
        <v>201704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269</v>
      </c>
      <c r="M190" s="2" t="s">
        <v>270</v>
      </c>
      <c r="N190" s="2" t="s">
        <v>523</v>
      </c>
      <c r="O190" s="2" t="s">
        <v>96</v>
      </c>
      <c r="P190" s="2" t="str">
        <f>"2170529004                    "</f>
        <v xml:space="preserve">2170529004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3.32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1</v>
      </c>
      <c r="BJ190" s="2">
        <v>0.2</v>
      </c>
      <c r="BK190" s="2">
        <v>1</v>
      </c>
      <c r="BL190" s="2">
        <v>40.76</v>
      </c>
      <c r="BM190" s="2">
        <v>5.71</v>
      </c>
      <c r="BN190" s="2">
        <v>46.47</v>
      </c>
      <c r="BO190" s="2">
        <v>46.47</v>
      </c>
      <c r="BP190" s="2"/>
      <c r="BQ190" s="2" t="s">
        <v>524</v>
      </c>
      <c r="BR190" s="2" t="s">
        <v>83</v>
      </c>
      <c r="BS190" s="3">
        <v>42653</v>
      </c>
      <c r="BT190" s="4">
        <v>0.34513888888888888</v>
      </c>
      <c r="BU190" s="2" t="s">
        <v>525</v>
      </c>
      <c r="BV190" s="2" t="s">
        <v>85</v>
      </c>
      <c r="BW190" s="2"/>
      <c r="BX190" s="2"/>
      <c r="BY190" s="2">
        <v>1200</v>
      </c>
      <c r="BZ190" s="2" t="s">
        <v>27</v>
      </c>
      <c r="CA190" s="2"/>
      <c r="CB190" s="2"/>
      <c r="CC190" s="2" t="s">
        <v>270</v>
      </c>
      <c r="CD190" s="2">
        <v>3610</v>
      </c>
      <c r="CE190" s="2" t="s">
        <v>108</v>
      </c>
      <c r="CF190" s="5">
        <v>42653</v>
      </c>
      <c r="CG190" s="2"/>
      <c r="CH190" s="2"/>
      <c r="CI190" s="2">
        <v>1</v>
      </c>
      <c r="CJ190" s="2">
        <v>1</v>
      </c>
      <c r="CK190" s="2">
        <v>21</v>
      </c>
      <c r="CL190" s="2" t="s">
        <v>88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"FES1162505116"</f>
        <v>FES1162505116</v>
      </c>
      <c r="F191" s="3">
        <v>42649</v>
      </c>
      <c r="G191" s="2">
        <v>201704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137</v>
      </c>
      <c r="M191" s="2" t="s">
        <v>138</v>
      </c>
      <c r="N191" s="2" t="s">
        <v>526</v>
      </c>
      <c r="O191" s="2" t="s">
        <v>96</v>
      </c>
      <c r="P191" s="2" t="str">
        <f>"2170528757                    "</f>
        <v xml:space="preserve">2170528757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15.76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7</v>
      </c>
      <c r="BJ191" s="2">
        <v>9.1</v>
      </c>
      <c r="BK191" s="2">
        <v>9.5</v>
      </c>
      <c r="BL191" s="2">
        <v>193.6</v>
      </c>
      <c r="BM191" s="2">
        <v>27.1</v>
      </c>
      <c r="BN191" s="2">
        <v>220.7</v>
      </c>
      <c r="BO191" s="2">
        <v>220.7</v>
      </c>
      <c r="BP191" s="2"/>
      <c r="BQ191" s="2" t="s">
        <v>117</v>
      </c>
      <c r="BR191" s="2" t="s">
        <v>83</v>
      </c>
      <c r="BS191" s="3">
        <v>42650</v>
      </c>
      <c r="BT191" s="4">
        <v>0.37847222222222227</v>
      </c>
      <c r="BU191" s="2" t="s">
        <v>527</v>
      </c>
      <c r="BV191" s="2"/>
      <c r="BW191" s="2"/>
      <c r="BX191" s="2"/>
      <c r="BY191" s="2">
        <v>45632</v>
      </c>
      <c r="BZ191" s="2" t="s">
        <v>27</v>
      </c>
      <c r="CA191" s="2" t="s">
        <v>129</v>
      </c>
      <c r="CB191" s="2"/>
      <c r="CC191" s="2" t="s">
        <v>138</v>
      </c>
      <c r="CD191" s="2">
        <v>3201</v>
      </c>
      <c r="CE191" s="2" t="s">
        <v>86</v>
      </c>
      <c r="CF191" s="5">
        <v>42653</v>
      </c>
      <c r="CG191" s="2"/>
      <c r="CH191" s="2"/>
      <c r="CI191" s="2">
        <v>0</v>
      </c>
      <c r="CJ191" s="2">
        <v>0</v>
      </c>
      <c r="CK191" s="2">
        <v>21</v>
      </c>
      <c r="CL191" s="2" t="s">
        <v>88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"FES1162505303"</f>
        <v>FES1162505303</v>
      </c>
      <c r="F192" s="3">
        <v>42650</v>
      </c>
      <c r="G192" s="2">
        <v>201704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93</v>
      </c>
      <c r="M192" s="2" t="s">
        <v>94</v>
      </c>
      <c r="N192" s="2" t="s">
        <v>130</v>
      </c>
      <c r="O192" s="2" t="s">
        <v>96</v>
      </c>
      <c r="P192" s="2" t="str">
        <f>"2170528954                    "</f>
        <v xml:space="preserve">2170528954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16.59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2</v>
      </c>
      <c r="BI192" s="2">
        <v>10</v>
      </c>
      <c r="BJ192" s="2">
        <v>1.7</v>
      </c>
      <c r="BK192" s="2">
        <v>10</v>
      </c>
      <c r="BL192" s="2">
        <v>203.79</v>
      </c>
      <c r="BM192" s="2">
        <v>28.53</v>
      </c>
      <c r="BN192" s="2">
        <v>232.32</v>
      </c>
      <c r="BO192" s="2">
        <v>232.32</v>
      </c>
      <c r="BP192" s="2"/>
      <c r="BQ192" s="2" t="s">
        <v>131</v>
      </c>
      <c r="BR192" s="2" t="s">
        <v>83</v>
      </c>
      <c r="BS192" s="3">
        <v>42653</v>
      </c>
      <c r="BT192" s="4">
        <v>0.2986111111111111</v>
      </c>
      <c r="BU192" s="2" t="s">
        <v>132</v>
      </c>
      <c r="BV192" s="2" t="s">
        <v>85</v>
      </c>
      <c r="BW192" s="2"/>
      <c r="BX192" s="2"/>
      <c r="BY192" s="2">
        <v>8366.4599999999991</v>
      </c>
      <c r="BZ192" s="2" t="s">
        <v>27</v>
      </c>
      <c r="CA192" s="2"/>
      <c r="CB192" s="2"/>
      <c r="CC192" s="2" t="s">
        <v>94</v>
      </c>
      <c r="CD192" s="2">
        <v>4302</v>
      </c>
      <c r="CE192" s="2" t="s">
        <v>257</v>
      </c>
      <c r="CF192" s="5">
        <v>42654</v>
      </c>
      <c r="CG192" s="2"/>
      <c r="CH192" s="2"/>
      <c r="CI192" s="2">
        <v>1</v>
      </c>
      <c r="CJ192" s="2">
        <v>1</v>
      </c>
      <c r="CK192" s="2">
        <v>21</v>
      </c>
      <c r="CL192" s="2" t="s">
        <v>88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"FES1162504975"</f>
        <v>FES1162504975</v>
      </c>
      <c r="F193" s="3">
        <v>42649</v>
      </c>
      <c r="G193" s="2">
        <v>201704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156</v>
      </c>
      <c r="M193" s="2" t="s">
        <v>157</v>
      </c>
      <c r="N193" s="2" t="s">
        <v>507</v>
      </c>
      <c r="O193" s="2" t="s">
        <v>96</v>
      </c>
      <c r="P193" s="2" t="str">
        <f>"2170527828                    "</f>
        <v xml:space="preserve">2170527828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4.9800000000000004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3</v>
      </c>
      <c r="BJ193" s="2">
        <v>1.4</v>
      </c>
      <c r="BK193" s="2">
        <v>3</v>
      </c>
      <c r="BL193" s="2">
        <v>61.14</v>
      </c>
      <c r="BM193" s="2">
        <v>8.56</v>
      </c>
      <c r="BN193" s="2">
        <v>69.7</v>
      </c>
      <c r="BO193" s="2">
        <v>69.7</v>
      </c>
      <c r="BP193" s="2"/>
      <c r="BQ193" s="2" t="s">
        <v>508</v>
      </c>
      <c r="BR193" s="2" t="s">
        <v>83</v>
      </c>
      <c r="BS193" s="3">
        <v>42650</v>
      </c>
      <c r="BT193" s="4">
        <v>0.41666666666666669</v>
      </c>
      <c r="BU193" s="2" t="s">
        <v>509</v>
      </c>
      <c r="BV193" s="2" t="s">
        <v>85</v>
      </c>
      <c r="BW193" s="2"/>
      <c r="BX193" s="2"/>
      <c r="BY193" s="2">
        <v>6860</v>
      </c>
      <c r="BZ193" s="2" t="s">
        <v>27</v>
      </c>
      <c r="CA193" s="2" t="s">
        <v>129</v>
      </c>
      <c r="CB193" s="2"/>
      <c r="CC193" s="2" t="s">
        <v>157</v>
      </c>
      <c r="CD193" s="2">
        <v>7130</v>
      </c>
      <c r="CE193" s="2" t="s">
        <v>86</v>
      </c>
      <c r="CF193" s="5">
        <v>42653</v>
      </c>
      <c r="CG193" s="2"/>
      <c r="CH193" s="2"/>
      <c r="CI193" s="2">
        <v>1</v>
      </c>
      <c r="CJ193" s="2">
        <v>1</v>
      </c>
      <c r="CK193" s="2">
        <v>21</v>
      </c>
      <c r="CL193" s="2" t="s">
        <v>88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"FES1162505274"</f>
        <v>FES1162505274</v>
      </c>
      <c r="F194" s="3">
        <v>42650</v>
      </c>
      <c r="G194" s="2">
        <v>201704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98</v>
      </c>
      <c r="M194" s="2" t="s">
        <v>99</v>
      </c>
      <c r="N194" s="2" t="s">
        <v>528</v>
      </c>
      <c r="O194" s="2" t="s">
        <v>96</v>
      </c>
      <c r="P194" s="2" t="str">
        <f>"2170528920 DIDACTIC           "</f>
        <v xml:space="preserve">2170528920 DIDACTIC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43.95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26.1</v>
      </c>
      <c r="BJ194" s="2">
        <v>17.399999999999999</v>
      </c>
      <c r="BK194" s="2">
        <v>26.5</v>
      </c>
      <c r="BL194" s="2">
        <v>540.03</v>
      </c>
      <c r="BM194" s="2">
        <v>75.599999999999994</v>
      </c>
      <c r="BN194" s="2">
        <v>615.63</v>
      </c>
      <c r="BO194" s="2">
        <v>615.63</v>
      </c>
      <c r="BP194" s="2" t="s">
        <v>529</v>
      </c>
      <c r="BQ194" s="2" t="s">
        <v>530</v>
      </c>
      <c r="BR194" s="2" t="s">
        <v>83</v>
      </c>
      <c r="BS194" s="3">
        <v>42653</v>
      </c>
      <c r="BT194" s="4">
        <v>0.41319444444444442</v>
      </c>
      <c r="BU194" s="2" t="s">
        <v>531</v>
      </c>
      <c r="BV194" s="2"/>
      <c r="BW194" s="2" t="s">
        <v>222</v>
      </c>
      <c r="BX194" s="2" t="s">
        <v>250</v>
      </c>
      <c r="BY194" s="2">
        <v>87056.639999999999</v>
      </c>
      <c r="BZ194" s="2"/>
      <c r="CA194" s="2" t="s">
        <v>437</v>
      </c>
      <c r="CB194" s="2"/>
      <c r="CC194" s="2" t="s">
        <v>99</v>
      </c>
      <c r="CD194" s="2">
        <v>6001</v>
      </c>
      <c r="CE194" s="2" t="s">
        <v>86</v>
      </c>
      <c r="CF194" s="5">
        <v>42653</v>
      </c>
      <c r="CG194" s="2"/>
      <c r="CH194" s="2"/>
      <c r="CI194" s="2">
        <v>0</v>
      </c>
      <c r="CJ194" s="2">
        <v>0</v>
      </c>
      <c r="CK194" s="2">
        <v>21</v>
      </c>
      <c r="CL194" s="2" t="s">
        <v>88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"FES1162505099"</f>
        <v>FES1162505099</v>
      </c>
      <c r="F195" s="3">
        <v>42649</v>
      </c>
      <c r="G195" s="2">
        <v>201704</v>
      </c>
      <c r="H195" s="2" t="s">
        <v>74</v>
      </c>
      <c r="I195" s="2" t="s">
        <v>75</v>
      </c>
      <c r="J195" s="2" t="s">
        <v>76</v>
      </c>
      <c r="K195" s="2" t="s">
        <v>77</v>
      </c>
      <c r="L195" s="2" t="s">
        <v>377</v>
      </c>
      <c r="M195" s="2" t="s">
        <v>378</v>
      </c>
      <c r="N195" s="2" t="s">
        <v>532</v>
      </c>
      <c r="O195" s="2" t="s">
        <v>96</v>
      </c>
      <c r="P195" s="2" t="str">
        <f>"2170528286                    "</f>
        <v xml:space="preserve">2170528286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3.32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1.3</v>
      </c>
      <c r="BJ195" s="2">
        <v>1.7</v>
      </c>
      <c r="BK195" s="2">
        <v>2</v>
      </c>
      <c r="BL195" s="2">
        <v>40.76</v>
      </c>
      <c r="BM195" s="2">
        <v>5.71</v>
      </c>
      <c r="BN195" s="2">
        <v>46.47</v>
      </c>
      <c r="BO195" s="2">
        <v>46.47</v>
      </c>
      <c r="BP195" s="2"/>
      <c r="BQ195" s="2" t="s">
        <v>533</v>
      </c>
      <c r="BR195" s="2" t="s">
        <v>83</v>
      </c>
      <c r="BS195" s="3">
        <v>42650</v>
      </c>
      <c r="BT195" s="4">
        <v>0.40347222222222223</v>
      </c>
      <c r="BU195" s="2" t="s">
        <v>534</v>
      </c>
      <c r="BV195" s="2" t="s">
        <v>85</v>
      </c>
      <c r="BW195" s="2"/>
      <c r="BX195" s="2"/>
      <c r="BY195" s="2">
        <v>8327.26</v>
      </c>
      <c r="BZ195" s="2" t="s">
        <v>27</v>
      </c>
      <c r="CA195" s="2" t="s">
        <v>535</v>
      </c>
      <c r="CB195" s="2"/>
      <c r="CC195" s="2" t="s">
        <v>378</v>
      </c>
      <c r="CD195" s="2">
        <v>6536</v>
      </c>
      <c r="CE195" s="2" t="s">
        <v>86</v>
      </c>
      <c r="CF195" s="5">
        <v>42650</v>
      </c>
      <c r="CG195" s="2"/>
      <c r="CH195" s="2"/>
      <c r="CI195" s="2">
        <v>1</v>
      </c>
      <c r="CJ195" s="2">
        <v>1</v>
      </c>
      <c r="CK195" s="2">
        <v>21</v>
      </c>
      <c r="CL195" s="2" t="s">
        <v>88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"FES1162505344"</f>
        <v>FES1162505344</v>
      </c>
      <c r="F196" s="3">
        <v>42650</v>
      </c>
      <c r="G196" s="2">
        <v>201704</v>
      </c>
      <c r="H196" s="2" t="s">
        <v>74</v>
      </c>
      <c r="I196" s="2" t="s">
        <v>75</v>
      </c>
      <c r="J196" s="2" t="s">
        <v>76</v>
      </c>
      <c r="K196" s="2" t="s">
        <v>77</v>
      </c>
      <c r="L196" s="2" t="s">
        <v>93</v>
      </c>
      <c r="M196" s="2" t="s">
        <v>94</v>
      </c>
      <c r="N196" s="2" t="s">
        <v>536</v>
      </c>
      <c r="O196" s="2" t="s">
        <v>96</v>
      </c>
      <c r="P196" s="2" t="str">
        <f>"2170529008                    "</f>
        <v xml:space="preserve">2170529008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30.68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15.8</v>
      </c>
      <c r="BJ196" s="2">
        <v>18.100000000000001</v>
      </c>
      <c r="BK196" s="2">
        <v>18.5</v>
      </c>
      <c r="BL196" s="2">
        <v>377</v>
      </c>
      <c r="BM196" s="2">
        <v>52.78</v>
      </c>
      <c r="BN196" s="2">
        <v>429.78</v>
      </c>
      <c r="BO196" s="2">
        <v>429.78</v>
      </c>
      <c r="BP196" s="2"/>
      <c r="BQ196" s="2" t="s">
        <v>537</v>
      </c>
      <c r="BR196" s="2" t="s">
        <v>83</v>
      </c>
      <c r="BS196" s="3">
        <v>42653</v>
      </c>
      <c r="BT196" s="4">
        <v>0.54166666666666663</v>
      </c>
      <c r="BU196" s="2" t="s">
        <v>538</v>
      </c>
      <c r="BV196" s="2" t="s">
        <v>85</v>
      </c>
      <c r="BW196" s="2"/>
      <c r="BX196" s="2"/>
      <c r="BY196" s="2">
        <v>90299.65</v>
      </c>
      <c r="BZ196" s="2" t="s">
        <v>27</v>
      </c>
      <c r="CA196" s="2"/>
      <c r="CB196" s="2"/>
      <c r="CC196" s="2" t="s">
        <v>94</v>
      </c>
      <c r="CD196" s="2">
        <v>4300</v>
      </c>
      <c r="CE196" s="2" t="s">
        <v>86</v>
      </c>
      <c r="CF196" s="5">
        <v>42654</v>
      </c>
      <c r="CG196" s="2"/>
      <c r="CH196" s="2"/>
      <c r="CI196" s="2">
        <v>1</v>
      </c>
      <c r="CJ196" s="2">
        <v>1</v>
      </c>
      <c r="CK196" s="2">
        <v>21</v>
      </c>
      <c r="CL196" s="2" t="s">
        <v>88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"FES1162505129"</f>
        <v>FES1162505129</v>
      </c>
      <c r="F197" s="3">
        <v>42649</v>
      </c>
      <c r="G197" s="2">
        <v>201704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148</v>
      </c>
      <c r="M197" s="2" t="s">
        <v>149</v>
      </c>
      <c r="N197" s="2" t="s">
        <v>473</v>
      </c>
      <c r="O197" s="2" t="s">
        <v>96</v>
      </c>
      <c r="P197" s="2" t="str">
        <f>"2170528780                    "</f>
        <v xml:space="preserve">2170528780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3.32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40.76</v>
      </c>
      <c r="BM197" s="2">
        <v>5.71</v>
      </c>
      <c r="BN197" s="2">
        <v>46.47</v>
      </c>
      <c r="BO197" s="2">
        <v>46.47</v>
      </c>
      <c r="BP197" s="2"/>
      <c r="BQ197" s="2" t="s">
        <v>117</v>
      </c>
      <c r="BR197" s="2" t="s">
        <v>83</v>
      </c>
      <c r="BS197" s="3">
        <v>42650</v>
      </c>
      <c r="BT197" s="4">
        <v>0.33333333333333331</v>
      </c>
      <c r="BU197" s="2" t="s">
        <v>474</v>
      </c>
      <c r="BV197" s="2" t="s">
        <v>85</v>
      </c>
      <c r="BW197" s="2"/>
      <c r="BX197" s="2"/>
      <c r="BY197" s="2">
        <v>1200</v>
      </c>
      <c r="BZ197" s="2" t="s">
        <v>27</v>
      </c>
      <c r="CA197" s="2"/>
      <c r="CB197" s="2"/>
      <c r="CC197" s="2" t="s">
        <v>149</v>
      </c>
      <c r="CD197" s="2">
        <v>4052</v>
      </c>
      <c r="CE197" s="2" t="s">
        <v>108</v>
      </c>
      <c r="CF197" s="5">
        <v>42653</v>
      </c>
      <c r="CG197" s="2"/>
      <c r="CH197" s="2"/>
      <c r="CI197" s="2">
        <v>1</v>
      </c>
      <c r="CJ197" s="2">
        <v>1</v>
      </c>
      <c r="CK197" s="2">
        <v>21</v>
      </c>
      <c r="CL197" s="2" t="s">
        <v>88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"FES1162505338"</f>
        <v>FES1162505338</v>
      </c>
      <c r="F198" s="3">
        <v>42650</v>
      </c>
      <c r="G198" s="2">
        <v>201704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143</v>
      </c>
      <c r="M198" s="2" t="s">
        <v>144</v>
      </c>
      <c r="N198" s="2" t="s">
        <v>317</v>
      </c>
      <c r="O198" s="2" t="s">
        <v>96</v>
      </c>
      <c r="P198" s="2" t="str">
        <f>"2170529001                    "</f>
        <v xml:space="preserve">2170529001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3.32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40.76</v>
      </c>
      <c r="BM198" s="2">
        <v>5.71</v>
      </c>
      <c r="BN198" s="2">
        <v>46.47</v>
      </c>
      <c r="BO198" s="2">
        <v>46.47</v>
      </c>
      <c r="BP198" s="2"/>
      <c r="BQ198" s="2" t="s">
        <v>318</v>
      </c>
      <c r="BR198" s="2" t="s">
        <v>83</v>
      </c>
      <c r="BS198" s="3">
        <v>42653</v>
      </c>
      <c r="BT198" s="4">
        <v>0.34583333333333338</v>
      </c>
      <c r="BU198" s="2" t="s">
        <v>539</v>
      </c>
      <c r="BV198" s="2"/>
      <c r="BW198" s="2"/>
      <c r="BX198" s="2"/>
      <c r="BY198" s="2">
        <v>1200</v>
      </c>
      <c r="BZ198" s="2" t="s">
        <v>27</v>
      </c>
      <c r="CA198" s="2"/>
      <c r="CB198" s="2"/>
      <c r="CC198" s="2" t="s">
        <v>144</v>
      </c>
      <c r="CD198" s="2">
        <v>5200</v>
      </c>
      <c r="CE198" s="2" t="s">
        <v>108</v>
      </c>
      <c r="CF198" s="5">
        <v>42654</v>
      </c>
      <c r="CG198" s="2"/>
      <c r="CH198" s="2"/>
      <c r="CI198" s="2">
        <v>0</v>
      </c>
      <c r="CJ198" s="2">
        <v>0</v>
      </c>
      <c r="CK198" s="2">
        <v>21</v>
      </c>
      <c r="CL198" s="2" t="s">
        <v>88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"FES1162505144"</f>
        <v>FES1162505144</v>
      </c>
      <c r="F199" s="3">
        <v>42649</v>
      </c>
      <c r="G199" s="2">
        <v>201704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93</v>
      </c>
      <c r="M199" s="2" t="s">
        <v>94</v>
      </c>
      <c r="N199" s="2" t="s">
        <v>536</v>
      </c>
      <c r="O199" s="2" t="s">
        <v>96</v>
      </c>
      <c r="P199" s="2" t="str">
        <f>"2170528808                    "</f>
        <v xml:space="preserve">2170528808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3.32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1</v>
      </c>
      <c r="BJ199" s="2">
        <v>0.2</v>
      </c>
      <c r="BK199" s="2">
        <v>1</v>
      </c>
      <c r="BL199" s="2">
        <v>40.76</v>
      </c>
      <c r="BM199" s="2">
        <v>5.71</v>
      </c>
      <c r="BN199" s="2">
        <v>46.47</v>
      </c>
      <c r="BO199" s="2">
        <v>46.47</v>
      </c>
      <c r="BP199" s="2"/>
      <c r="BQ199" s="2" t="s">
        <v>537</v>
      </c>
      <c r="BR199" s="2" t="s">
        <v>83</v>
      </c>
      <c r="BS199" s="3">
        <v>42650</v>
      </c>
      <c r="BT199" s="4">
        <v>0.4375</v>
      </c>
      <c r="BU199" s="2" t="s">
        <v>540</v>
      </c>
      <c r="BV199" s="2" t="s">
        <v>85</v>
      </c>
      <c r="BW199" s="2"/>
      <c r="BX199" s="2"/>
      <c r="BY199" s="2">
        <v>1200</v>
      </c>
      <c r="BZ199" s="2" t="s">
        <v>27</v>
      </c>
      <c r="CA199" s="2"/>
      <c r="CB199" s="2"/>
      <c r="CC199" s="2" t="s">
        <v>94</v>
      </c>
      <c r="CD199" s="2">
        <v>4300</v>
      </c>
      <c r="CE199" s="2" t="s">
        <v>108</v>
      </c>
      <c r="CF199" s="5">
        <v>42654</v>
      </c>
      <c r="CG199" s="2"/>
      <c r="CH199" s="2"/>
      <c r="CI199" s="2">
        <v>1</v>
      </c>
      <c r="CJ199" s="2">
        <v>1</v>
      </c>
      <c r="CK199" s="2">
        <v>21</v>
      </c>
      <c r="CL199" s="2" t="s">
        <v>88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"FES1162505375"</f>
        <v>FES1162505375</v>
      </c>
      <c r="F200" s="3">
        <v>42650</v>
      </c>
      <c r="G200" s="2">
        <v>201704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160</v>
      </c>
      <c r="M200" s="2" t="s">
        <v>161</v>
      </c>
      <c r="N200" s="2" t="s">
        <v>409</v>
      </c>
      <c r="O200" s="2" t="s">
        <v>96</v>
      </c>
      <c r="P200" s="2" t="str">
        <f>"2170527984                    "</f>
        <v xml:space="preserve">2170527984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7.46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4.0999999999999996</v>
      </c>
      <c r="BK200" s="2">
        <v>4.5</v>
      </c>
      <c r="BL200" s="2">
        <v>91.7</v>
      </c>
      <c r="BM200" s="2">
        <v>12.84</v>
      </c>
      <c r="BN200" s="2">
        <v>104.54</v>
      </c>
      <c r="BO200" s="2">
        <v>104.54</v>
      </c>
      <c r="BP200" s="2"/>
      <c r="BQ200" s="2" t="s">
        <v>410</v>
      </c>
      <c r="BR200" s="2" t="s">
        <v>83</v>
      </c>
      <c r="BS200" s="3">
        <v>42653</v>
      </c>
      <c r="BT200" s="4">
        <v>0.34375</v>
      </c>
      <c r="BU200" s="2" t="s">
        <v>410</v>
      </c>
      <c r="BV200" s="2" t="s">
        <v>85</v>
      </c>
      <c r="BW200" s="2"/>
      <c r="BX200" s="2"/>
      <c r="BY200" s="2">
        <v>20358</v>
      </c>
      <c r="BZ200" s="2" t="s">
        <v>27</v>
      </c>
      <c r="CA200" s="2"/>
      <c r="CB200" s="2"/>
      <c r="CC200" s="2" t="s">
        <v>161</v>
      </c>
      <c r="CD200" s="2">
        <v>7975</v>
      </c>
      <c r="CE200" s="2" t="s">
        <v>86</v>
      </c>
      <c r="CF200" s="5">
        <v>42654</v>
      </c>
      <c r="CG200" s="2"/>
      <c r="CH200" s="2"/>
      <c r="CI200" s="2">
        <v>1</v>
      </c>
      <c r="CJ200" s="2">
        <v>1</v>
      </c>
      <c r="CK200" s="2">
        <v>21</v>
      </c>
      <c r="CL200" s="2" t="s">
        <v>88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"FES1162505086"</f>
        <v>FES1162505086</v>
      </c>
      <c r="F201" s="3">
        <v>42649</v>
      </c>
      <c r="G201" s="2">
        <v>201704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541</v>
      </c>
      <c r="M201" s="2" t="s">
        <v>542</v>
      </c>
      <c r="N201" s="2" t="s">
        <v>455</v>
      </c>
      <c r="O201" s="2" t="s">
        <v>96</v>
      </c>
      <c r="P201" s="2" t="str">
        <f>"2170528747                    "</f>
        <v xml:space="preserve">2170528747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6.43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0.2</v>
      </c>
      <c r="BK201" s="2">
        <v>1</v>
      </c>
      <c r="BL201" s="2">
        <v>78.97</v>
      </c>
      <c r="BM201" s="2">
        <v>11.06</v>
      </c>
      <c r="BN201" s="2">
        <v>90.03</v>
      </c>
      <c r="BO201" s="2">
        <v>90.03</v>
      </c>
      <c r="BP201" s="2"/>
      <c r="BQ201" s="2" t="s">
        <v>91</v>
      </c>
      <c r="BR201" s="2" t="s">
        <v>83</v>
      </c>
      <c r="BS201" s="3">
        <v>42650</v>
      </c>
      <c r="BT201" s="4">
        <v>0.54166666666666663</v>
      </c>
      <c r="BU201" s="2" t="s">
        <v>543</v>
      </c>
      <c r="BV201" s="2" t="s">
        <v>85</v>
      </c>
      <c r="BW201" s="2"/>
      <c r="BX201" s="2"/>
      <c r="BY201" s="2">
        <v>1200</v>
      </c>
      <c r="BZ201" s="2" t="s">
        <v>27</v>
      </c>
      <c r="CA201" s="2"/>
      <c r="CB201" s="2"/>
      <c r="CC201" s="2" t="s">
        <v>542</v>
      </c>
      <c r="CD201" s="2">
        <v>4490</v>
      </c>
      <c r="CE201" s="2" t="s">
        <v>108</v>
      </c>
      <c r="CF201" s="5">
        <v>42654</v>
      </c>
      <c r="CG201" s="2"/>
      <c r="CH201" s="2"/>
      <c r="CI201" s="2">
        <v>1</v>
      </c>
      <c r="CJ201" s="2">
        <v>1</v>
      </c>
      <c r="CK201" s="2">
        <v>23</v>
      </c>
      <c r="CL201" s="2" t="s">
        <v>88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"FES1162505384"</f>
        <v>FES1162505384</v>
      </c>
      <c r="F202" s="3">
        <v>42650</v>
      </c>
      <c r="G202" s="2">
        <v>201704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260</v>
      </c>
      <c r="M202" s="2" t="s">
        <v>261</v>
      </c>
      <c r="N202" s="2" t="s">
        <v>262</v>
      </c>
      <c r="O202" s="2" t="s">
        <v>96</v>
      </c>
      <c r="P202" s="2" t="str">
        <f>"2170528919                    "</f>
        <v xml:space="preserve">2170528919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3.32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0.5</v>
      </c>
      <c r="BJ202" s="2">
        <v>0.2</v>
      </c>
      <c r="BK202" s="2">
        <v>0.5</v>
      </c>
      <c r="BL202" s="2">
        <v>40.76</v>
      </c>
      <c r="BM202" s="2">
        <v>5.71</v>
      </c>
      <c r="BN202" s="2">
        <v>46.47</v>
      </c>
      <c r="BO202" s="2">
        <v>46.47</v>
      </c>
      <c r="BP202" s="2"/>
      <c r="BQ202" s="2" t="s">
        <v>91</v>
      </c>
      <c r="BR202" s="2" t="s">
        <v>83</v>
      </c>
      <c r="BS202" s="3">
        <v>42653</v>
      </c>
      <c r="BT202" s="4">
        <v>0.39444444444444443</v>
      </c>
      <c r="BU202" s="2" t="s">
        <v>544</v>
      </c>
      <c r="BV202" s="2" t="s">
        <v>85</v>
      </c>
      <c r="BW202" s="2"/>
      <c r="BX202" s="2"/>
      <c r="BY202" s="2">
        <v>1200</v>
      </c>
      <c r="BZ202" s="2"/>
      <c r="CA202" s="2" t="s">
        <v>451</v>
      </c>
      <c r="CB202" s="2"/>
      <c r="CC202" s="2" t="s">
        <v>261</v>
      </c>
      <c r="CD202" s="2">
        <v>6850</v>
      </c>
      <c r="CE202" s="2" t="s">
        <v>108</v>
      </c>
      <c r="CF202" s="5">
        <v>42653</v>
      </c>
      <c r="CG202" s="2"/>
      <c r="CH202" s="2"/>
      <c r="CI202" s="2">
        <v>3</v>
      </c>
      <c r="CJ202" s="2">
        <v>1</v>
      </c>
      <c r="CK202" s="2">
        <v>21</v>
      </c>
      <c r="CL202" s="2" t="s">
        <v>88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"FES1162505057"</f>
        <v>FES1162505057</v>
      </c>
      <c r="F203" s="3">
        <v>42649</v>
      </c>
      <c r="G203" s="2">
        <v>201704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78</v>
      </c>
      <c r="M203" s="2" t="s">
        <v>79</v>
      </c>
      <c r="N203" s="2" t="s">
        <v>80</v>
      </c>
      <c r="O203" s="2" t="s">
        <v>96</v>
      </c>
      <c r="P203" s="2" t="str">
        <f>"2170528177                    "</f>
        <v xml:space="preserve">2170528177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3.32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2</v>
      </c>
      <c r="BJ203" s="2">
        <v>1.6</v>
      </c>
      <c r="BK203" s="2">
        <v>2</v>
      </c>
      <c r="BL203" s="2">
        <v>40.76</v>
      </c>
      <c r="BM203" s="2">
        <v>5.71</v>
      </c>
      <c r="BN203" s="2">
        <v>46.47</v>
      </c>
      <c r="BO203" s="2">
        <v>46.47</v>
      </c>
      <c r="BP203" s="2"/>
      <c r="BQ203" s="2" t="s">
        <v>82</v>
      </c>
      <c r="BR203" s="2" t="s">
        <v>83</v>
      </c>
      <c r="BS203" s="3">
        <v>42650</v>
      </c>
      <c r="BT203" s="4">
        <v>0.41666666666666669</v>
      </c>
      <c r="BU203" s="2" t="s">
        <v>545</v>
      </c>
      <c r="BV203" s="2" t="s">
        <v>85</v>
      </c>
      <c r="BW203" s="2"/>
      <c r="BX203" s="2"/>
      <c r="BY203" s="2">
        <v>8120</v>
      </c>
      <c r="BZ203" s="2" t="s">
        <v>27</v>
      </c>
      <c r="CA203" s="2"/>
      <c r="CB203" s="2"/>
      <c r="CC203" s="2" t="s">
        <v>79</v>
      </c>
      <c r="CD203" s="2">
        <v>1930</v>
      </c>
      <c r="CE203" s="2" t="s">
        <v>86</v>
      </c>
      <c r="CF203" s="5">
        <v>42654</v>
      </c>
      <c r="CG203" s="2"/>
      <c r="CH203" s="2"/>
      <c r="CI203" s="2">
        <v>1</v>
      </c>
      <c r="CJ203" s="2">
        <v>1</v>
      </c>
      <c r="CK203" s="2">
        <v>21</v>
      </c>
      <c r="CL203" s="2" t="s">
        <v>88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"FES1162505348"</f>
        <v>FES1162505348</v>
      </c>
      <c r="F204" s="3">
        <v>42650</v>
      </c>
      <c r="G204" s="2">
        <v>201704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143</v>
      </c>
      <c r="M204" s="2" t="s">
        <v>144</v>
      </c>
      <c r="N204" s="2" t="s">
        <v>546</v>
      </c>
      <c r="O204" s="2" t="s">
        <v>96</v>
      </c>
      <c r="P204" s="2" t="str">
        <f>"2175029012                    "</f>
        <v xml:space="preserve">2175029012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3.32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40.76</v>
      </c>
      <c r="BM204" s="2">
        <v>5.71</v>
      </c>
      <c r="BN204" s="2">
        <v>46.47</v>
      </c>
      <c r="BO204" s="2">
        <v>46.47</v>
      </c>
      <c r="BP204" s="2"/>
      <c r="BQ204" s="2" t="s">
        <v>91</v>
      </c>
      <c r="BR204" s="2" t="s">
        <v>83</v>
      </c>
      <c r="BS204" s="3">
        <v>42653</v>
      </c>
      <c r="BT204" s="4">
        <v>0.45</v>
      </c>
      <c r="BU204" s="2" t="s">
        <v>547</v>
      </c>
      <c r="BV204" s="2"/>
      <c r="BW204" s="2" t="s">
        <v>277</v>
      </c>
      <c r="BX204" s="2" t="s">
        <v>548</v>
      </c>
      <c r="BY204" s="2">
        <v>1200</v>
      </c>
      <c r="BZ204" s="2" t="s">
        <v>27</v>
      </c>
      <c r="CA204" s="2"/>
      <c r="CB204" s="2"/>
      <c r="CC204" s="2" t="s">
        <v>144</v>
      </c>
      <c r="CD204" s="2">
        <v>5201</v>
      </c>
      <c r="CE204" s="2" t="s">
        <v>108</v>
      </c>
      <c r="CF204" s="5">
        <v>42654</v>
      </c>
      <c r="CG204" s="2"/>
      <c r="CH204" s="2"/>
      <c r="CI204" s="2">
        <v>0</v>
      </c>
      <c r="CJ204" s="2">
        <v>0</v>
      </c>
      <c r="CK204" s="2">
        <v>21</v>
      </c>
      <c r="CL204" s="2" t="s">
        <v>88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"FES1162505349"</f>
        <v>FES1162505349</v>
      </c>
      <c r="F205" s="3">
        <v>42650</v>
      </c>
      <c r="G205" s="2">
        <v>201704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143</v>
      </c>
      <c r="M205" s="2" t="s">
        <v>144</v>
      </c>
      <c r="N205" s="2" t="s">
        <v>549</v>
      </c>
      <c r="O205" s="2" t="s">
        <v>96</v>
      </c>
      <c r="P205" s="2" t="str">
        <f>"2170529014                    "</f>
        <v xml:space="preserve">2170529014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3.32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</v>
      </c>
      <c r="BJ205" s="2">
        <v>0.2</v>
      </c>
      <c r="BK205" s="2">
        <v>1</v>
      </c>
      <c r="BL205" s="2">
        <v>40.76</v>
      </c>
      <c r="BM205" s="2">
        <v>5.71</v>
      </c>
      <c r="BN205" s="2">
        <v>46.47</v>
      </c>
      <c r="BO205" s="2">
        <v>46.47</v>
      </c>
      <c r="BP205" s="2"/>
      <c r="BQ205" s="2" t="s">
        <v>168</v>
      </c>
      <c r="BR205" s="2" t="s">
        <v>83</v>
      </c>
      <c r="BS205" s="3">
        <v>42653</v>
      </c>
      <c r="BT205" s="4">
        <v>0.4291666666666667</v>
      </c>
      <c r="BU205" s="2" t="s">
        <v>550</v>
      </c>
      <c r="BV205" s="2" t="s">
        <v>85</v>
      </c>
      <c r="BW205" s="2"/>
      <c r="BX205" s="2"/>
      <c r="BY205" s="2">
        <v>1200</v>
      </c>
      <c r="BZ205" s="2" t="s">
        <v>27</v>
      </c>
      <c r="CA205" s="2"/>
      <c r="CB205" s="2"/>
      <c r="CC205" s="2" t="s">
        <v>144</v>
      </c>
      <c r="CD205" s="2">
        <v>5205</v>
      </c>
      <c r="CE205" s="2" t="s">
        <v>108</v>
      </c>
      <c r="CF205" s="5">
        <v>42654</v>
      </c>
      <c r="CG205" s="2"/>
      <c r="CH205" s="2"/>
      <c r="CI205" s="2">
        <v>1</v>
      </c>
      <c r="CJ205" s="2">
        <v>1</v>
      </c>
      <c r="CK205" s="2">
        <v>21</v>
      </c>
      <c r="CL205" s="2" t="s">
        <v>88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"FES1162505083"</f>
        <v>FES1162505083</v>
      </c>
      <c r="F206" s="3">
        <v>42649</v>
      </c>
      <c r="G206" s="2">
        <v>201704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98</v>
      </c>
      <c r="M206" s="2" t="s">
        <v>99</v>
      </c>
      <c r="N206" s="2" t="s">
        <v>551</v>
      </c>
      <c r="O206" s="2" t="s">
        <v>96</v>
      </c>
      <c r="P206" s="2" t="str">
        <f>"2170528743                    "</f>
        <v xml:space="preserve">2170528743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3.32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40.76</v>
      </c>
      <c r="BM206" s="2">
        <v>5.71</v>
      </c>
      <c r="BN206" s="2">
        <v>46.47</v>
      </c>
      <c r="BO206" s="2">
        <v>46.47</v>
      </c>
      <c r="BP206" s="2"/>
      <c r="BQ206" s="2" t="s">
        <v>552</v>
      </c>
      <c r="BR206" s="2" t="s">
        <v>83</v>
      </c>
      <c r="BS206" s="3">
        <v>42654</v>
      </c>
      <c r="BT206" s="4">
        <v>0.36805555555555558</v>
      </c>
      <c r="BU206" s="2" t="s">
        <v>553</v>
      </c>
      <c r="BV206" s="2" t="s">
        <v>88</v>
      </c>
      <c r="BW206" s="2" t="s">
        <v>222</v>
      </c>
      <c r="BX206" s="2" t="s">
        <v>250</v>
      </c>
      <c r="BY206" s="2">
        <v>1200</v>
      </c>
      <c r="BZ206" s="2"/>
      <c r="CA206" s="2"/>
      <c r="CB206" s="2"/>
      <c r="CC206" s="2" t="s">
        <v>99</v>
      </c>
      <c r="CD206" s="2">
        <v>6001</v>
      </c>
      <c r="CE206" s="2" t="s">
        <v>108</v>
      </c>
      <c r="CF206" s="5">
        <v>42655</v>
      </c>
      <c r="CG206" s="2"/>
      <c r="CH206" s="2"/>
      <c r="CI206" s="2">
        <v>1</v>
      </c>
      <c r="CJ206" s="2">
        <v>3</v>
      </c>
      <c r="CK206" s="2">
        <v>21</v>
      </c>
      <c r="CL206" s="2" t="s">
        <v>88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"FES1162505194"</f>
        <v>FES1162505194</v>
      </c>
      <c r="F207" s="3">
        <v>42650</v>
      </c>
      <c r="G207" s="2">
        <v>201704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153</v>
      </c>
      <c r="M207" s="2" t="s">
        <v>153</v>
      </c>
      <c r="N207" s="2" t="s">
        <v>353</v>
      </c>
      <c r="O207" s="2" t="s">
        <v>96</v>
      </c>
      <c r="P207" s="2" t="str">
        <f>"2170526885                    "</f>
        <v xml:space="preserve">2170526885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3.32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1</v>
      </c>
      <c r="BJ207" s="2">
        <v>0.2</v>
      </c>
      <c r="BK207" s="2">
        <v>1</v>
      </c>
      <c r="BL207" s="2">
        <v>40.76</v>
      </c>
      <c r="BM207" s="2">
        <v>5.71</v>
      </c>
      <c r="BN207" s="2">
        <v>46.47</v>
      </c>
      <c r="BO207" s="2">
        <v>46.47</v>
      </c>
      <c r="BP207" s="2"/>
      <c r="BQ207" s="2" t="s">
        <v>354</v>
      </c>
      <c r="BR207" s="2" t="s">
        <v>83</v>
      </c>
      <c r="BS207" s="3">
        <v>42653</v>
      </c>
      <c r="BT207" s="4">
        <v>0.4513888888888889</v>
      </c>
      <c r="BU207" s="2" t="s">
        <v>434</v>
      </c>
      <c r="BV207" s="2" t="s">
        <v>85</v>
      </c>
      <c r="BW207" s="2"/>
      <c r="BX207" s="2"/>
      <c r="BY207" s="2">
        <v>1200</v>
      </c>
      <c r="BZ207" s="2"/>
      <c r="CA207" s="2"/>
      <c r="CB207" s="2"/>
      <c r="CC207" s="2" t="s">
        <v>153</v>
      </c>
      <c r="CD207" s="2">
        <v>7646</v>
      </c>
      <c r="CE207" s="2" t="s">
        <v>108</v>
      </c>
      <c r="CF207" s="5">
        <v>42654</v>
      </c>
      <c r="CG207" s="2"/>
      <c r="CH207" s="2"/>
      <c r="CI207" s="2">
        <v>1</v>
      </c>
      <c r="CJ207" s="2">
        <v>1</v>
      </c>
      <c r="CK207" s="2">
        <v>21</v>
      </c>
      <c r="CL207" s="2" t="s">
        <v>88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"FES1162505082"</f>
        <v>FES1162505082</v>
      </c>
      <c r="F208" s="3">
        <v>42649</v>
      </c>
      <c r="G208" s="2">
        <v>201704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98</v>
      </c>
      <c r="M208" s="2" t="s">
        <v>99</v>
      </c>
      <c r="N208" s="2" t="s">
        <v>224</v>
      </c>
      <c r="O208" s="2" t="s">
        <v>96</v>
      </c>
      <c r="P208" s="2" t="str">
        <f>"2170528740                    "</f>
        <v xml:space="preserve">2170528740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3.32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40.76</v>
      </c>
      <c r="BM208" s="2">
        <v>5.71</v>
      </c>
      <c r="BN208" s="2">
        <v>46.47</v>
      </c>
      <c r="BO208" s="2">
        <v>46.47</v>
      </c>
      <c r="BP208" s="2"/>
      <c r="BQ208" s="2" t="s">
        <v>225</v>
      </c>
      <c r="BR208" s="2" t="s">
        <v>83</v>
      </c>
      <c r="BS208" s="3">
        <v>42650</v>
      </c>
      <c r="BT208" s="4">
        <v>0.33680555555555558</v>
      </c>
      <c r="BU208" s="2" t="s">
        <v>554</v>
      </c>
      <c r="BV208" s="2" t="s">
        <v>85</v>
      </c>
      <c r="BW208" s="2"/>
      <c r="BX208" s="2"/>
      <c r="BY208" s="2">
        <v>1200</v>
      </c>
      <c r="BZ208" s="2" t="s">
        <v>27</v>
      </c>
      <c r="CA208" s="2"/>
      <c r="CB208" s="2"/>
      <c r="CC208" s="2" t="s">
        <v>99</v>
      </c>
      <c r="CD208" s="2">
        <v>6001</v>
      </c>
      <c r="CE208" s="2" t="s">
        <v>108</v>
      </c>
      <c r="CF208" s="5">
        <v>42653</v>
      </c>
      <c r="CG208" s="2"/>
      <c r="CH208" s="2"/>
      <c r="CI208" s="2">
        <v>1</v>
      </c>
      <c r="CJ208" s="2">
        <v>1</v>
      </c>
      <c r="CK208" s="2">
        <v>21</v>
      </c>
      <c r="CL208" s="2" t="s">
        <v>88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"FES1162505353"</f>
        <v>FES1162505353</v>
      </c>
      <c r="F209" s="3">
        <v>42650</v>
      </c>
      <c r="G209" s="2">
        <v>201704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160</v>
      </c>
      <c r="M209" s="2" t="s">
        <v>161</v>
      </c>
      <c r="N209" s="2" t="s">
        <v>555</v>
      </c>
      <c r="O209" s="2" t="s">
        <v>96</v>
      </c>
      <c r="P209" s="2" t="str">
        <f>"2170529022                    "</f>
        <v xml:space="preserve">2170529022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3.32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0.5</v>
      </c>
      <c r="BJ209" s="2">
        <v>0.2</v>
      </c>
      <c r="BK209" s="2">
        <v>0.5</v>
      </c>
      <c r="BL209" s="2">
        <v>40.76</v>
      </c>
      <c r="BM209" s="2">
        <v>5.71</v>
      </c>
      <c r="BN209" s="2">
        <v>46.47</v>
      </c>
      <c r="BO209" s="2">
        <v>46.47</v>
      </c>
      <c r="BP209" s="2"/>
      <c r="BQ209" s="2"/>
      <c r="BR209" s="2" t="s">
        <v>83</v>
      </c>
      <c r="BS209" s="3">
        <v>42653</v>
      </c>
      <c r="BT209" s="4">
        <v>0.44791666666666669</v>
      </c>
      <c r="BU209" s="2" t="s">
        <v>556</v>
      </c>
      <c r="BV209" s="2" t="s">
        <v>85</v>
      </c>
      <c r="BW209" s="2"/>
      <c r="BX209" s="2"/>
      <c r="BY209" s="2">
        <v>1200</v>
      </c>
      <c r="BZ209" s="2"/>
      <c r="CA209" s="2"/>
      <c r="CB209" s="2"/>
      <c r="CC209" s="2" t="s">
        <v>161</v>
      </c>
      <c r="CD209" s="2">
        <v>7945</v>
      </c>
      <c r="CE209" s="2" t="s">
        <v>108</v>
      </c>
      <c r="CF209" s="5">
        <v>42654</v>
      </c>
      <c r="CG209" s="2"/>
      <c r="CH209" s="2"/>
      <c r="CI209" s="2">
        <v>1</v>
      </c>
      <c r="CJ209" s="2">
        <v>1</v>
      </c>
      <c r="CK209" s="2">
        <v>21</v>
      </c>
      <c r="CL209" s="2" t="s">
        <v>88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"FES1162505044"</f>
        <v>FES1162505044</v>
      </c>
      <c r="F210" s="3">
        <v>42649</v>
      </c>
      <c r="G210" s="2">
        <v>201704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137</v>
      </c>
      <c r="M210" s="2" t="s">
        <v>138</v>
      </c>
      <c r="N210" s="2" t="s">
        <v>557</v>
      </c>
      <c r="O210" s="2" t="s">
        <v>96</v>
      </c>
      <c r="P210" s="2" t="str">
        <f>"2170528693                    "</f>
        <v xml:space="preserve">2170528693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3.32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</v>
      </c>
      <c r="BJ210" s="2">
        <v>0.2</v>
      </c>
      <c r="BK210" s="2">
        <v>1</v>
      </c>
      <c r="BL210" s="2">
        <v>40.76</v>
      </c>
      <c r="BM210" s="2">
        <v>5.71</v>
      </c>
      <c r="BN210" s="2">
        <v>46.47</v>
      </c>
      <c r="BO210" s="2">
        <v>46.47</v>
      </c>
      <c r="BP210" s="2"/>
      <c r="BQ210" s="2" t="s">
        <v>168</v>
      </c>
      <c r="BR210" s="2" t="s">
        <v>83</v>
      </c>
      <c r="BS210" s="3">
        <v>42650</v>
      </c>
      <c r="BT210" s="4">
        <v>0.38819444444444445</v>
      </c>
      <c r="BU210" s="2" t="s">
        <v>558</v>
      </c>
      <c r="BV210" s="2"/>
      <c r="BW210" s="2"/>
      <c r="BX210" s="2"/>
      <c r="BY210" s="2">
        <v>1200</v>
      </c>
      <c r="BZ210" s="2" t="s">
        <v>27</v>
      </c>
      <c r="CA210" s="2" t="s">
        <v>170</v>
      </c>
      <c r="CB210" s="2"/>
      <c r="CC210" s="2" t="s">
        <v>138</v>
      </c>
      <c r="CD210" s="2">
        <v>3201</v>
      </c>
      <c r="CE210" s="2" t="s">
        <v>108</v>
      </c>
      <c r="CF210" s="5">
        <v>42650</v>
      </c>
      <c r="CG210" s="2"/>
      <c r="CH210" s="2"/>
      <c r="CI210" s="2">
        <v>0</v>
      </c>
      <c r="CJ210" s="2">
        <v>0</v>
      </c>
      <c r="CK210" s="2">
        <v>21</v>
      </c>
      <c r="CL210" s="2" t="s">
        <v>88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"FES1162505316"</f>
        <v>FES1162505316</v>
      </c>
      <c r="F211" s="3">
        <v>42650</v>
      </c>
      <c r="G211" s="2">
        <v>201704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153</v>
      </c>
      <c r="M211" s="2" t="s">
        <v>153</v>
      </c>
      <c r="N211" s="2" t="s">
        <v>343</v>
      </c>
      <c r="O211" s="2" t="s">
        <v>96</v>
      </c>
      <c r="P211" s="2" t="str">
        <f>"2170528972                    "</f>
        <v xml:space="preserve">2170528972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3.32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1</v>
      </c>
      <c r="BJ211" s="2">
        <v>1.1000000000000001</v>
      </c>
      <c r="BK211" s="2">
        <v>1.5</v>
      </c>
      <c r="BL211" s="2">
        <v>40.76</v>
      </c>
      <c r="BM211" s="2">
        <v>5.71</v>
      </c>
      <c r="BN211" s="2">
        <v>46.47</v>
      </c>
      <c r="BO211" s="2">
        <v>46.47</v>
      </c>
      <c r="BP211" s="2"/>
      <c r="BQ211" s="2" t="s">
        <v>344</v>
      </c>
      <c r="BR211" s="2" t="s">
        <v>83</v>
      </c>
      <c r="BS211" s="3">
        <v>42653</v>
      </c>
      <c r="BT211" s="4">
        <v>0.44444444444444442</v>
      </c>
      <c r="BU211" s="2" t="s">
        <v>345</v>
      </c>
      <c r="BV211" s="2" t="s">
        <v>85</v>
      </c>
      <c r="BW211" s="2"/>
      <c r="BX211" s="2"/>
      <c r="BY211" s="2">
        <v>5320</v>
      </c>
      <c r="BZ211" s="2"/>
      <c r="CA211" s="2"/>
      <c r="CB211" s="2"/>
      <c r="CC211" s="2" t="s">
        <v>153</v>
      </c>
      <c r="CD211" s="2">
        <v>7646</v>
      </c>
      <c r="CE211" s="2" t="s">
        <v>86</v>
      </c>
      <c r="CF211" s="5">
        <v>42654</v>
      </c>
      <c r="CG211" s="2"/>
      <c r="CH211" s="2"/>
      <c r="CI211" s="2">
        <v>1</v>
      </c>
      <c r="CJ211" s="2">
        <v>1</v>
      </c>
      <c r="CK211" s="2">
        <v>21</v>
      </c>
      <c r="CL211" s="2" t="s">
        <v>88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"FES1162504922"</f>
        <v>FES1162504922</v>
      </c>
      <c r="F212" s="3">
        <v>42649</v>
      </c>
      <c r="G212" s="2">
        <v>201704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137</v>
      </c>
      <c r="M212" s="2" t="s">
        <v>138</v>
      </c>
      <c r="N212" s="2" t="s">
        <v>167</v>
      </c>
      <c r="O212" s="2" t="s">
        <v>96</v>
      </c>
      <c r="P212" s="2" t="str">
        <f>"2170526615                    "</f>
        <v xml:space="preserve">2170526615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3.32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</v>
      </c>
      <c r="BJ212" s="2">
        <v>0.3</v>
      </c>
      <c r="BK212" s="2">
        <v>1</v>
      </c>
      <c r="BL212" s="2">
        <v>40.76</v>
      </c>
      <c r="BM212" s="2">
        <v>5.71</v>
      </c>
      <c r="BN212" s="2">
        <v>46.47</v>
      </c>
      <c r="BO212" s="2">
        <v>46.47</v>
      </c>
      <c r="BP212" s="2"/>
      <c r="BQ212" s="2" t="s">
        <v>168</v>
      </c>
      <c r="BR212" s="2" t="s">
        <v>83</v>
      </c>
      <c r="BS212" s="3">
        <v>42650</v>
      </c>
      <c r="BT212" s="4">
        <v>0.3979166666666667</v>
      </c>
      <c r="BU212" s="2" t="s">
        <v>559</v>
      </c>
      <c r="BV212" s="2" t="s">
        <v>85</v>
      </c>
      <c r="BW212" s="2"/>
      <c r="BX212" s="2"/>
      <c r="BY212" s="2">
        <v>1740</v>
      </c>
      <c r="BZ212" s="2" t="s">
        <v>27</v>
      </c>
      <c r="CA212" s="2" t="s">
        <v>170</v>
      </c>
      <c r="CB212" s="2"/>
      <c r="CC212" s="2" t="s">
        <v>138</v>
      </c>
      <c r="CD212" s="2">
        <v>3201</v>
      </c>
      <c r="CE212" s="2" t="s">
        <v>86</v>
      </c>
      <c r="CF212" s="5">
        <v>42650</v>
      </c>
      <c r="CG212" s="2"/>
      <c r="CH212" s="2"/>
      <c r="CI212" s="2">
        <v>1</v>
      </c>
      <c r="CJ212" s="2">
        <v>1</v>
      </c>
      <c r="CK212" s="2">
        <v>21</v>
      </c>
      <c r="CL212" s="2" t="s">
        <v>88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"FES1162505292"</f>
        <v>FES1162505292</v>
      </c>
      <c r="F213" s="3">
        <v>42650</v>
      </c>
      <c r="G213" s="2">
        <v>201704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148</v>
      </c>
      <c r="M213" s="2" t="s">
        <v>149</v>
      </c>
      <c r="N213" s="2" t="s">
        <v>560</v>
      </c>
      <c r="O213" s="2" t="s">
        <v>96</v>
      </c>
      <c r="P213" s="2" t="str">
        <f>"2170528939                    "</f>
        <v xml:space="preserve">2170528939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3.32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1.6</v>
      </c>
      <c r="BJ213" s="2">
        <v>1.4</v>
      </c>
      <c r="BK213" s="2">
        <v>2</v>
      </c>
      <c r="BL213" s="2">
        <v>40.76</v>
      </c>
      <c r="BM213" s="2">
        <v>5.71</v>
      </c>
      <c r="BN213" s="2">
        <v>46.47</v>
      </c>
      <c r="BO213" s="2">
        <v>46.47</v>
      </c>
      <c r="BP213" s="2"/>
      <c r="BQ213" s="2" t="s">
        <v>91</v>
      </c>
      <c r="BR213" s="2" t="s">
        <v>83</v>
      </c>
      <c r="BS213" s="3">
        <v>42653</v>
      </c>
      <c r="BT213" s="4">
        <v>0.4375</v>
      </c>
      <c r="BU213" s="2" t="s">
        <v>561</v>
      </c>
      <c r="BV213" s="2"/>
      <c r="BW213" s="2"/>
      <c r="BX213" s="2"/>
      <c r="BY213" s="2">
        <v>6863.92</v>
      </c>
      <c r="BZ213" s="2" t="s">
        <v>27</v>
      </c>
      <c r="CA213" s="2"/>
      <c r="CB213" s="2"/>
      <c r="CC213" s="2" t="s">
        <v>149</v>
      </c>
      <c r="CD213" s="2">
        <v>4001</v>
      </c>
      <c r="CE213" s="2" t="s">
        <v>86</v>
      </c>
      <c r="CF213" s="5">
        <v>42654</v>
      </c>
      <c r="CG213" s="2"/>
      <c r="CH213" s="2"/>
      <c r="CI213" s="2">
        <v>0</v>
      </c>
      <c r="CJ213" s="2">
        <v>0</v>
      </c>
      <c r="CK213" s="2">
        <v>21</v>
      </c>
      <c r="CL213" s="2" t="s">
        <v>88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"FES1162504936"</f>
        <v>FES1162504936</v>
      </c>
      <c r="F214" s="3">
        <v>42649</v>
      </c>
      <c r="G214" s="2">
        <v>201704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253</v>
      </c>
      <c r="M214" s="2" t="s">
        <v>254</v>
      </c>
      <c r="N214" s="2" t="s">
        <v>255</v>
      </c>
      <c r="O214" s="2" t="s">
        <v>96</v>
      </c>
      <c r="P214" s="2" t="str">
        <f>"2170528580                    "</f>
        <v xml:space="preserve">2170528580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6.43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2</v>
      </c>
      <c r="BJ214" s="2">
        <v>1.9</v>
      </c>
      <c r="BK214" s="2">
        <v>2</v>
      </c>
      <c r="BL214" s="2">
        <v>78.97</v>
      </c>
      <c r="BM214" s="2">
        <v>11.06</v>
      </c>
      <c r="BN214" s="2">
        <v>90.03</v>
      </c>
      <c r="BO214" s="2">
        <v>90.03</v>
      </c>
      <c r="BP214" s="2"/>
      <c r="BQ214" s="2" t="s">
        <v>117</v>
      </c>
      <c r="BR214" s="2" t="s">
        <v>83</v>
      </c>
      <c r="BS214" s="3">
        <v>42650</v>
      </c>
      <c r="BT214" s="4">
        <v>0.52083333333333337</v>
      </c>
      <c r="BU214" s="2" t="s">
        <v>457</v>
      </c>
      <c r="BV214" s="2" t="s">
        <v>85</v>
      </c>
      <c r="BW214" s="2"/>
      <c r="BX214" s="2"/>
      <c r="BY214" s="2">
        <v>9280</v>
      </c>
      <c r="BZ214" s="2" t="s">
        <v>27</v>
      </c>
      <c r="CA214" s="2"/>
      <c r="CB214" s="2"/>
      <c r="CC214" s="2" t="s">
        <v>254</v>
      </c>
      <c r="CD214" s="2">
        <v>3370</v>
      </c>
      <c r="CE214" s="2" t="s">
        <v>86</v>
      </c>
      <c r="CF214" s="5">
        <v>42654</v>
      </c>
      <c r="CG214" s="2"/>
      <c r="CH214" s="2"/>
      <c r="CI214" s="2">
        <v>3</v>
      </c>
      <c r="CJ214" s="2">
        <v>1</v>
      </c>
      <c r="CK214" s="2">
        <v>23</v>
      </c>
      <c r="CL214" s="2" t="s">
        <v>88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"FES1162505390"</f>
        <v>FES1162505390</v>
      </c>
      <c r="F215" s="3">
        <v>42650</v>
      </c>
      <c r="G215" s="2">
        <v>201704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98</v>
      </c>
      <c r="M215" s="2" t="s">
        <v>99</v>
      </c>
      <c r="N215" s="2" t="s">
        <v>133</v>
      </c>
      <c r="O215" s="2" t="s">
        <v>96</v>
      </c>
      <c r="P215" s="2" t="str">
        <f>"2170529071                    "</f>
        <v xml:space="preserve">2170529071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14.1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8.1</v>
      </c>
      <c r="BJ215" s="2">
        <v>3.3</v>
      </c>
      <c r="BK215" s="2">
        <v>8.5</v>
      </c>
      <c r="BL215" s="2">
        <v>173.22</v>
      </c>
      <c r="BM215" s="2">
        <v>24.25</v>
      </c>
      <c r="BN215" s="2">
        <v>197.47</v>
      </c>
      <c r="BO215" s="2">
        <v>197.47</v>
      </c>
      <c r="BP215" s="2"/>
      <c r="BQ215" s="2" t="s">
        <v>134</v>
      </c>
      <c r="BR215" s="2" t="s">
        <v>83</v>
      </c>
      <c r="BS215" s="3">
        <v>42653</v>
      </c>
      <c r="BT215" s="4">
        <v>0.30208333333333331</v>
      </c>
      <c r="BU215" s="2" t="s">
        <v>562</v>
      </c>
      <c r="BV215" s="2" t="s">
        <v>85</v>
      </c>
      <c r="BW215" s="2"/>
      <c r="BX215" s="2"/>
      <c r="BY215" s="2">
        <v>16327.8</v>
      </c>
      <c r="BZ215" s="2"/>
      <c r="CA215" s="2" t="s">
        <v>437</v>
      </c>
      <c r="CB215" s="2"/>
      <c r="CC215" s="2" t="s">
        <v>99</v>
      </c>
      <c r="CD215" s="2">
        <v>6001</v>
      </c>
      <c r="CE215" s="2" t="s">
        <v>86</v>
      </c>
      <c r="CF215" s="5">
        <v>42653</v>
      </c>
      <c r="CG215" s="2"/>
      <c r="CH215" s="2"/>
      <c r="CI215" s="2">
        <v>1</v>
      </c>
      <c r="CJ215" s="2">
        <v>1</v>
      </c>
      <c r="CK215" s="2">
        <v>21</v>
      </c>
      <c r="CL215" s="2" t="s">
        <v>88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"FES1162505308"</f>
        <v>FES1162505308</v>
      </c>
      <c r="F216" s="3">
        <v>42650</v>
      </c>
      <c r="G216" s="2">
        <v>201704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491</v>
      </c>
      <c r="M216" s="2" t="s">
        <v>492</v>
      </c>
      <c r="N216" s="2" t="s">
        <v>563</v>
      </c>
      <c r="O216" s="2" t="s">
        <v>96</v>
      </c>
      <c r="P216" s="2" t="str">
        <f>"2170528961                    "</f>
        <v xml:space="preserve">2170528961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13.27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2</v>
      </c>
      <c r="BJ216" s="2">
        <v>8</v>
      </c>
      <c r="BK216" s="2">
        <v>8</v>
      </c>
      <c r="BL216" s="2">
        <v>163.03</v>
      </c>
      <c r="BM216" s="2">
        <v>22.82</v>
      </c>
      <c r="BN216" s="2">
        <v>185.85</v>
      </c>
      <c r="BO216" s="2">
        <v>185.85</v>
      </c>
      <c r="BP216" s="2"/>
      <c r="BQ216" s="2" t="s">
        <v>564</v>
      </c>
      <c r="BR216" s="2" t="s">
        <v>83</v>
      </c>
      <c r="BS216" s="3">
        <v>42653</v>
      </c>
      <c r="BT216" s="4">
        <v>0.42708333333333331</v>
      </c>
      <c r="BU216" s="2" t="s">
        <v>259</v>
      </c>
      <c r="BV216" s="2" t="s">
        <v>85</v>
      </c>
      <c r="BW216" s="2"/>
      <c r="BX216" s="2"/>
      <c r="BY216" s="2">
        <v>39840</v>
      </c>
      <c r="BZ216" s="2" t="s">
        <v>27</v>
      </c>
      <c r="CA216" s="2"/>
      <c r="CB216" s="2"/>
      <c r="CC216" s="2" t="s">
        <v>492</v>
      </c>
      <c r="CD216" s="2">
        <v>3699</v>
      </c>
      <c r="CE216" s="2" t="s">
        <v>368</v>
      </c>
      <c r="CF216" s="5">
        <v>42654</v>
      </c>
      <c r="CG216" s="2"/>
      <c r="CH216" s="2"/>
      <c r="CI216" s="2">
        <v>1</v>
      </c>
      <c r="CJ216" s="2">
        <v>1</v>
      </c>
      <c r="CK216" s="2">
        <v>21</v>
      </c>
      <c r="CL216" s="2" t="s">
        <v>88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"FES1162504912"</f>
        <v>FES1162504912</v>
      </c>
      <c r="F217" s="3">
        <v>42649</v>
      </c>
      <c r="G217" s="2">
        <v>201704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269</v>
      </c>
      <c r="M217" s="2" t="s">
        <v>270</v>
      </c>
      <c r="N217" s="2" t="s">
        <v>565</v>
      </c>
      <c r="O217" s="2" t="s">
        <v>96</v>
      </c>
      <c r="P217" s="2" t="str">
        <f>"2170526464                    "</f>
        <v xml:space="preserve">2170526464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30.68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8</v>
      </c>
      <c r="BJ217" s="2">
        <v>18.3</v>
      </c>
      <c r="BK217" s="2">
        <v>18.5</v>
      </c>
      <c r="BL217" s="2">
        <v>377</v>
      </c>
      <c r="BM217" s="2">
        <v>52.78</v>
      </c>
      <c r="BN217" s="2">
        <v>429.78</v>
      </c>
      <c r="BO217" s="2">
        <v>429.78</v>
      </c>
      <c r="BP217" s="2"/>
      <c r="BQ217" s="2" t="s">
        <v>566</v>
      </c>
      <c r="BR217" s="2" t="s">
        <v>83</v>
      </c>
      <c r="BS217" s="3">
        <v>42650</v>
      </c>
      <c r="BT217" s="4">
        <v>0.42777777777777781</v>
      </c>
      <c r="BU217" s="2" t="s">
        <v>567</v>
      </c>
      <c r="BV217" s="2" t="s">
        <v>85</v>
      </c>
      <c r="BW217" s="2"/>
      <c r="BX217" s="2"/>
      <c r="BY217" s="2">
        <v>91264</v>
      </c>
      <c r="BZ217" s="2" t="s">
        <v>27</v>
      </c>
      <c r="CA217" s="2" t="s">
        <v>129</v>
      </c>
      <c r="CB217" s="2"/>
      <c r="CC217" s="2" t="s">
        <v>270</v>
      </c>
      <c r="CD217" s="2">
        <v>3620</v>
      </c>
      <c r="CE217" s="2" t="s">
        <v>86</v>
      </c>
      <c r="CF217" s="5">
        <v>42653</v>
      </c>
      <c r="CG217" s="2"/>
      <c r="CH217" s="2"/>
      <c r="CI217" s="2">
        <v>1</v>
      </c>
      <c r="CJ217" s="2">
        <v>1</v>
      </c>
      <c r="CK217" s="2">
        <v>21</v>
      </c>
      <c r="CL217" s="2" t="s">
        <v>88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"FES1162505395"</f>
        <v>FES1162505395</v>
      </c>
      <c r="F218" s="3">
        <v>42650</v>
      </c>
      <c r="G218" s="2">
        <v>201704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377</v>
      </c>
      <c r="M218" s="2" t="s">
        <v>378</v>
      </c>
      <c r="N218" s="2" t="s">
        <v>532</v>
      </c>
      <c r="O218" s="2" t="s">
        <v>96</v>
      </c>
      <c r="P218" s="2" t="str">
        <f>"2170529076                    "</f>
        <v xml:space="preserve">2170529076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4.9800000000000004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1.9</v>
      </c>
      <c r="BJ218" s="2">
        <v>3</v>
      </c>
      <c r="BK218" s="2">
        <v>3</v>
      </c>
      <c r="BL218" s="2">
        <v>61.14</v>
      </c>
      <c r="BM218" s="2">
        <v>8.56</v>
      </c>
      <c r="BN218" s="2">
        <v>69.7</v>
      </c>
      <c r="BO218" s="2">
        <v>69.7</v>
      </c>
      <c r="BP218" s="2"/>
      <c r="BQ218" s="2" t="s">
        <v>533</v>
      </c>
      <c r="BR218" s="2" t="s">
        <v>83</v>
      </c>
      <c r="BS218" s="3">
        <v>42653</v>
      </c>
      <c r="BT218" s="4">
        <v>0.43055555555555558</v>
      </c>
      <c r="BU218" s="2" t="s">
        <v>568</v>
      </c>
      <c r="BV218" s="2" t="s">
        <v>85</v>
      </c>
      <c r="BW218" s="2"/>
      <c r="BX218" s="2"/>
      <c r="BY218" s="2">
        <v>14794.3</v>
      </c>
      <c r="BZ218" s="2"/>
      <c r="CA218" s="2" t="s">
        <v>129</v>
      </c>
      <c r="CB218" s="2"/>
      <c r="CC218" s="2" t="s">
        <v>378</v>
      </c>
      <c r="CD218" s="2">
        <v>6536</v>
      </c>
      <c r="CE218" s="2" t="s">
        <v>108</v>
      </c>
      <c r="CF218" s="5">
        <v>42660</v>
      </c>
      <c r="CG218" s="2"/>
      <c r="CH218" s="2"/>
      <c r="CI218" s="2">
        <v>1</v>
      </c>
      <c r="CJ218" s="2">
        <v>1</v>
      </c>
      <c r="CK218" s="2">
        <v>21</v>
      </c>
      <c r="CL218" s="2" t="s">
        <v>88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"FES1162505054"</f>
        <v>FES1162505054</v>
      </c>
      <c r="F219" s="3">
        <v>42649</v>
      </c>
      <c r="G219" s="2">
        <v>201704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119</v>
      </c>
      <c r="M219" s="2" t="s">
        <v>120</v>
      </c>
      <c r="N219" s="2" t="s">
        <v>569</v>
      </c>
      <c r="O219" s="2" t="s">
        <v>96</v>
      </c>
      <c r="P219" s="2" t="str">
        <f>"2170528712                    "</f>
        <v xml:space="preserve">2170528712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3.32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1</v>
      </c>
      <c r="BJ219" s="2">
        <v>0.2</v>
      </c>
      <c r="BK219" s="2">
        <v>1</v>
      </c>
      <c r="BL219" s="2">
        <v>40.76</v>
      </c>
      <c r="BM219" s="2">
        <v>5.71</v>
      </c>
      <c r="BN219" s="2">
        <v>46.47</v>
      </c>
      <c r="BO219" s="2">
        <v>46.47</v>
      </c>
      <c r="BP219" s="2"/>
      <c r="BQ219" s="2" t="s">
        <v>117</v>
      </c>
      <c r="BR219" s="2" t="s">
        <v>83</v>
      </c>
      <c r="BS219" s="3">
        <v>42650</v>
      </c>
      <c r="BT219" s="4">
        <v>0.40833333333333338</v>
      </c>
      <c r="BU219" s="2" t="s">
        <v>570</v>
      </c>
      <c r="BV219" s="2" t="s">
        <v>85</v>
      </c>
      <c r="BW219" s="2"/>
      <c r="BX219" s="2"/>
      <c r="BY219" s="2">
        <v>1200</v>
      </c>
      <c r="BZ219" s="2" t="s">
        <v>27</v>
      </c>
      <c r="CA219" s="2"/>
      <c r="CB219" s="2"/>
      <c r="CC219" s="2" t="s">
        <v>120</v>
      </c>
      <c r="CD219" s="2">
        <v>6230</v>
      </c>
      <c r="CE219" s="2" t="s">
        <v>108</v>
      </c>
      <c r="CF219" s="5">
        <v>42653</v>
      </c>
      <c r="CG219" s="2"/>
      <c r="CH219" s="2"/>
      <c r="CI219" s="2">
        <v>1</v>
      </c>
      <c r="CJ219" s="2">
        <v>1</v>
      </c>
      <c r="CK219" s="2">
        <v>21</v>
      </c>
      <c r="CL219" s="2" t="s">
        <v>88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"FES1162505190"</f>
        <v>FES1162505190</v>
      </c>
      <c r="F220" s="3">
        <v>42650</v>
      </c>
      <c r="G220" s="2">
        <v>201704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93</v>
      </c>
      <c r="M220" s="2" t="s">
        <v>94</v>
      </c>
      <c r="N220" s="2" t="s">
        <v>130</v>
      </c>
      <c r="O220" s="2" t="s">
        <v>96</v>
      </c>
      <c r="P220" s="2" t="str">
        <f>"2170526825                    "</f>
        <v xml:space="preserve">2170526825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3.32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1</v>
      </c>
      <c r="BJ220" s="2">
        <v>0.2</v>
      </c>
      <c r="BK220" s="2">
        <v>1</v>
      </c>
      <c r="BL220" s="2">
        <v>40.76</v>
      </c>
      <c r="BM220" s="2">
        <v>5.71</v>
      </c>
      <c r="BN220" s="2">
        <v>46.47</v>
      </c>
      <c r="BO220" s="2">
        <v>46.47</v>
      </c>
      <c r="BP220" s="2"/>
      <c r="BQ220" s="2" t="s">
        <v>131</v>
      </c>
      <c r="BR220" s="2" t="s">
        <v>83</v>
      </c>
      <c r="BS220" s="3">
        <v>42653</v>
      </c>
      <c r="BT220" s="4">
        <v>0.2986111111111111</v>
      </c>
      <c r="BU220" s="2" t="s">
        <v>132</v>
      </c>
      <c r="BV220" s="2" t="s">
        <v>85</v>
      </c>
      <c r="BW220" s="2"/>
      <c r="BX220" s="2"/>
      <c r="BY220" s="2">
        <v>1200</v>
      </c>
      <c r="BZ220" s="2" t="s">
        <v>27</v>
      </c>
      <c r="CA220" s="2"/>
      <c r="CB220" s="2"/>
      <c r="CC220" s="2" t="s">
        <v>94</v>
      </c>
      <c r="CD220" s="2">
        <v>4302</v>
      </c>
      <c r="CE220" s="2" t="s">
        <v>108</v>
      </c>
      <c r="CF220" s="5">
        <v>42654</v>
      </c>
      <c r="CG220" s="2"/>
      <c r="CH220" s="2"/>
      <c r="CI220" s="2">
        <v>1</v>
      </c>
      <c r="CJ220" s="2">
        <v>1</v>
      </c>
      <c r="CK220" s="2">
        <v>21</v>
      </c>
      <c r="CL220" s="2" t="s">
        <v>88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"FES1162505051"</f>
        <v>FES1162505051</v>
      </c>
      <c r="F221" s="3">
        <v>42649</v>
      </c>
      <c r="G221" s="2">
        <v>201704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98</v>
      </c>
      <c r="M221" s="2" t="s">
        <v>99</v>
      </c>
      <c r="N221" s="2" t="s">
        <v>571</v>
      </c>
      <c r="O221" s="2" t="s">
        <v>96</v>
      </c>
      <c r="P221" s="2" t="str">
        <f>"2170528709                    "</f>
        <v xml:space="preserve">2170528709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3.32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40.76</v>
      </c>
      <c r="BM221" s="2">
        <v>5.71</v>
      </c>
      <c r="BN221" s="2">
        <v>46.47</v>
      </c>
      <c r="BO221" s="2">
        <v>46.47</v>
      </c>
      <c r="BP221" s="2"/>
      <c r="BQ221" s="2" t="s">
        <v>572</v>
      </c>
      <c r="BR221" s="2" t="s">
        <v>83</v>
      </c>
      <c r="BS221" s="3">
        <v>42650</v>
      </c>
      <c r="BT221" s="4">
        <v>0.38541666666666669</v>
      </c>
      <c r="BU221" s="2" t="s">
        <v>573</v>
      </c>
      <c r="BV221" s="2" t="s">
        <v>85</v>
      </c>
      <c r="BW221" s="2"/>
      <c r="BX221" s="2"/>
      <c r="BY221" s="2">
        <v>1200</v>
      </c>
      <c r="BZ221" s="2" t="s">
        <v>27</v>
      </c>
      <c r="CA221" s="2" t="s">
        <v>129</v>
      </c>
      <c r="CB221" s="2"/>
      <c r="CC221" s="2" t="s">
        <v>99</v>
      </c>
      <c r="CD221" s="2">
        <v>6100</v>
      </c>
      <c r="CE221" s="2" t="s">
        <v>108</v>
      </c>
      <c r="CF221" s="5">
        <v>42653</v>
      </c>
      <c r="CG221" s="2"/>
      <c r="CH221" s="2"/>
      <c r="CI221" s="2">
        <v>1</v>
      </c>
      <c r="CJ221" s="2">
        <v>1</v>
      </c>
      <c r="CK221" s="2">
        <v>21</v>
      </c>
      <c r="CL221" s="2" t="s">
        <v>88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"FES1162505324"</f>
        <v>FES1162505324</v>
      </c>
      <c r="F222" s="3">
        <v>42650</v>
      </c>
      <c r="G222" s="2">
        <v>201704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160</v>
      </c>
      <c r="M222" s="2" t="s">
        <v>161</v>
      </c>
      <c r="N222" s="2" t="s">
        <v>265</v>
      </c>
      <c r="O222" s="2" t="s">
        <v>96</v>
      </c>
      <c r="P222" s="2" t="str">
        <f>"2170528982                    "</f>
        <v xml:space="preserve">2170528982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3.32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0.5</v>
      </c>
      <c r="BJ222" s="2">
        <v>0.2</v>
      </c>
      <c r="BK222" s="2">
        <v>0.5</v>
      </c>
      <c r="BL222" s="2">
        <v>40.76</v>
      </c>
      <c r="BM222" s="2">
        <v>5.71</v>
      </c>
      <c r="BN222" s="2">
        <v>46.47</v>
      </c>
      <c r="BO222" s="2">
        <v>46.47</v>
      </c>
      <c r="BP222" s="2"/>
      <c r="BQ222" s="2" t="s">
        <v>91</v>
      </c>
      <c r="BR222" s="2" t="s">
        <v>83</v>
      </c>
      <c r="BS222" s="3">
        <v>42653</v>
      </c>
      <c r="BT222" s="4">
        <v>0.36805555555555558</v>
      </c>
      <c r="BU222" s="2" t="s">
        <v>574</v>
      </c>
      <c r="BV222" s="2" t="s">
        <v>85</v>
      </c>
      <c r="BW222" s="2"/>
      <c r="BX222" s="2"/>
      <c r="BY222" s="2">
        <v>1200</v>
      </c>
      <c r="BZ222" s="2"/>
      <c r="CA222" s="2"/>
      <c r="CB222" s="2"/>
      <c r="CC222" s="2" t="s">
        <v>161</v>
      </c>
      <c r="CD222" s="2">
        <v>7405</v>
      </c>
      <c r="CE222" s="2" t="s">
        <v>108</v>
      </c>
      <c r="CF222" s="5">
        <v>42654</v>
      </c>
      <c r="CG222" s="2"/>
      <c r="CH222" s="2"/>
      <c r="CI222" s="2">
        <v>1</v>
      </c>
      <c r="CJ222" s="2">
        <v>1</v>
      </c>
      <c r="CK222" s="2">
        <v>21</v>
      </c>
      <c r="CL222" s="2" t="s">
        <v>88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"FES1162505025"</f>
        <v>FES1162505025</v>
      </c>
      <c r="F223" s="3">
        <v>42649</v>
      </c>
      <c r="G223" s="2">
        <v>201704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171</v>
      </c>
      <c r="M223" s="2" t="s">
        <v>172</v>
      </c>
      <c r="N223" s="2" t="s">
        <v>429</v>
      </c>
      <c r="O223" s="2" t="s">
        <v>96</v>
      </c>
      <c r="P223" s="2" t="str">
        <f>"2170528641                    "</f>
        <v xml:space="preserve">2170528641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3.32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40.76</v>
      </c>
      <c r="BM223" s="2">
        <v>5.71</v>
      </c>
      <c r="BN223" s="2">
        <v>46.47</v>
      </c>
      <c r="BO223" s="2">
        <v>46.47</v>
      </c>
      <c r="BP223" s="2"/>
      <c r="BQ223" s="2" t="s">
        <v>430</v>
      </c>
      <c r="BR223" s="2" t="s">
        <v>83</v>
      </c>
      <c r="BS223" s="3">
        <v>42650</v>
      </c>
      <c r="BT223" s="4">
        <v>0.41666666666666669</v>
      </c>
      <c r="BU223" s="2" t="s">
        <v>431</v>
      </c>
      <c r="BV223" s="2" t="s">
        <v>85</v>
      </c>
      <c r="BW223" s="2"/>
      <c r="BX223" s="2"/>
      <c r="BY223" s="2">
        <v>1200</v>
      </c>
      <c r="BZ223" s="2"/>
      <c r="CA223" s="2"/>
      <c r="CB223" s="2"/>
      <c r="CC223" s="2" t="s">
        <v>172</v>
      </c>
      <c r="CD223" s="2">
        <v>6220</v>
      </c>
      <c r="CE223" s="2" t="s">
        <v>108</v>
      </c>
      <c r="CF223" s="5">
        <v>42655</v>
      </c>
      <c r="CG223" s="2"/>
      <c r="CH223" s="2"/>
      <c r="CI223" s="2">
        <v>1</v>
      </c>
      <c r="CJ223" s="2">
        <v>1</v>
      </c>
      <c r="CK223" s="2">
        <v>21</v>
      </c>
      <c r="CL223" s="2" t="s">
        <v>88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"FES1162505192"</f>
        <v>FES1162505192</v>
      </c>
      <c r="F224" s="3">
        <v>42650</v>
      </c>
      <c r="G224" s="2">
        <v>201704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148</v>
      </c>
      <c r="M224" s="2" t="s">
        <v>149</v>
      </c>
      <c r="N224" s="2" t="s">
        <v>575</v>
      </c>
      <c r="O224" s="2" t="s">
        <v>96</v>
      </c>
      <c r="P224" s="2" t="str">
        <f>"2170526862                    "</f>
        <v xml:space="preserve">2170526862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3.32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1</v>
      </c>
      <c r="BJ224" s="2">
        <v>0.2</v>
      </c>
      <c r="BK224" s="2">
        <v>1</v>
      </c>
      <c r="BL224" s="2">
        <v>40.76</v>
      </c>
      <c r="BM224" s="2">
        <v>5.71</v>
      </c>
      <c r="BN224" s="2">
        <v>46.47</v>
      </c>
      <c r="BO224" s="2">
        <v>46.47</v>
      </c>
      <c r="BP224" s="2"/>
      <c r="BQ224" s="2" t="s">
        <v>117</v>
      </c>
      <c r="BR224" s="2" t="s">
        <v>83</v>
      </c>
      <c r="BS224" s="3">
        <v>42653</v>
      </c>
      <c r="BT224" s="4">
        <v>0.42430555555555555</v>
      </c>
      <c r="BU224" s="2" t="s">
        <v>576</v>
      </c>
      <c r="BV224" s="2" t="s">
        <v>85</v>
      </c>
      <c r="BW224" s="2"/>
      <c r="BX224" s="2"/>
      <c r="BY224" s="2">
        <v>1200</v>
      </c>
      <c r="BZ224" s="2" t="s">
        <v>27</v>
      </c>
      <c r="CA224" s="2"/>
      <c r="CB224" s="2"/>
      <c r="CC224" s="2" t="s">
        <v>149</v>
      </c>
      <c r="CD224" s="2">
        <v>3629</v>
      </c>
      <c r="CE224" s="2" t="s">
        <v>108</v>
      </c>
      <c r="CF224" s="5">
        <v>42653</v>
      </c>
      <c r="CG224" s="2"/>
      <c r="CH224" s="2"/>
      <c r="CI224" s="2">
        <v>1</v>
      </c>
      <c r="CJ224" s="2">
        <v>1</v>
      </c>
      <c r="CK224" s="2">
        <v>21</v>
      </c>
      <c r="CL224" s="2" t="s">
        <v>88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"FES1162504942"</f>
        <v>FES1162504942</v>
      </c>
      <c r="F225" s="3">
        <v>42649</v>
      </c>
      <c r="G225" s="2">
        <v>201704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93</v>
      </c>
      <c r="M225" s="2" t="s">
        <v>94</v>
      </c>
      <c r="N225" s="2" t="s">
        <v>130</v>
      </c>
      <c r="O225" s="2" t="s">
        <v>96</v>
      </c>
      <c r="P225" s="2" t="str">
        <f>"2170528590                    "</f>
        <v xml:space="preserve">2170528590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3.32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40.76</v>
      </c>
      <c r="BM225" s="2">
        <v>5.71</v>
      </c>
      <c r="BN225" s="2">
        <v>46.47</v>
      </c>
      <c r="BO225" s="2">
        <v>46.47</v>
      </c>
      <c r="BP225" s="2"/>
      <c r="BQ225" s="2" t="s">
        <v>131</v>
      </c>
      <c r="BR225" s="2" t="s">
        <v>83</v>
      </c>
      <c r="BS225" s="3">
        <v>42650</v>
      </c>
      <c r="BT225" s="4">
        <v>0.4375</v>
      </c>
      <c r="BU225" s="2" t="s">
        <v>577</v>
      </c>
      <c r="BV225" s="2" t="s">
        <v>85</v>
      </c>
      <c r="BW225" s="2"/>
      <c r="BX225" s="2"/>
      <c r="BY225" s="2">
        <v>1200</v>
      </c>
      <c r="BZ225" s="2" t="s">
        <v>27</v>
      </c>
      <c r="CA225" s="2"/>
      <c r="CB225" s="2"/>
      <c r="CC225" s="2" t="s">
        <v>94</v>
      </c>
      <c r="CD225" s="2">
        <v>4302</v>
      </c>
      <c r="CE225" s="2" t="s">
        <v>108</v>
      </c>
      <c r="CF225" s="5">
        <v>42653</v>
      </c>
      <c r="CG225" s="2"/>
      <c r="CH225" s="2"/>
      <c r="CI225" s="2">
        <v>1</v>
      </c>
      <c r="CJ225" s="2">
        <v>1</v>
      </c>
      <c r="CK225" s="2">
        <v>21</v>
      </c>
      <c r="CL225" s="2" t="s">
        <v>88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"FES1162505255"</f>
        <v>FES1162505255</v>
      </c>
      <c r="F226" s="3">
        <v>42650</v>
      </c>
      <c r="G226" s="2">
        <v>201704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160</v>
      </c>
      <c r="M226" s="2" t="s">
        <v>161</v>
      </c>
      <c r="N226" s="2" t="s">
        <v>578</v>
      </c>
      <c r="O226" s="2" t="s">
        <v>96</v>
      </c>
      <c r="P226" s="2" t="str">
        <f>"2170528902                    "</f>
        <v xml:space="preserve">2170528902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3.32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0.5</v>
      </c>
      <c r="BJ226" s="2">
        <v>0.2</v>
      </c>
      <c r="BK226" s="2">
        <v>0.5</v>
      </c>
      <c r="BL226" s="2">
        <v>40.76</v>
      </c>
      <c r="BM226" s="2">
        <v>5.71</v>
      </c>
      <c r="BN226" s="2">
        <v>46.47</v>
      </c>
      <c r="BO226" s="2">
        <v>46.47</v>
      </c>
      <c r="BP226" s="2"/>
      <c r="BQ226" s="2" t="s">
        <v>579</v>
      </c>
      <c r="BR226" s="2" t="s">
        <v>83</v>
      </c>
      <c r="BS226" s="3">
        <v>42653</v>
      </c>
      <c r="BT226" s="4">
        <v>0.42708333333333331</v>
      </c>
      <c r="BU226" s="2" t="s">
        <v>580</v>
      </c>
      <c r="BV226" s="2" t="s">
        <v>85</v>
      </c>
      <c r="BW226" s="2"/>
      <c r="BX226" s="2"/>
      <c r="BY226" s="2">
        <v>1200</v>
      </c>
      <c r="BZ226" s="2"/>
      <c r="CA226" s="2"/>
      <c r="CB226" s="2"/>
      <c r="CC226" s="2" t="s">
        <v>161</v>
      </c>
      <c r="CD226" s="2">
        <v>7441</v>
      </c>
      <c r="CE226" s="2" t="s">
        <v>108</v>
      </c>
      <c r="CF226" s="5">
        <v>42654</v>
      </c>
      <c r="CG226" s="2"/>
      <c r="CH226" s="2"/>
      <c r="CI226" s="2">
        <v>1</v>
      </c>
      <c r="CJ226" s="2">
        <v>1</v>
      </c>
      <c r="CK226" s="2">
        <v>21</v>
      </c>
      <c r="CL226" s="2" t="s">
        <v>88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"FES1162504954"</f>
        <v>FES1162504954</v>
      </c>
      <c r="F227" s="3">
        <v>42649</v>
      </c>
      <c r="G227" s="2">
        <v>201704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207</v>
      </c>
      <c r="M227" s="2" t="s">
        <v>208</v>
      </c>
      <c r="N227" s="2" t="s">
        <v>581</v>
      </c>
      <c r="O227" s="2" t="s">
        <v>96</v>
      </c>
      <c r="P227" s="2" t="str">
        <f>"2170528060                    "</f>
        <v xml:space="preserve">2170528060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3.32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1</v>
      </c>
      <c r="BJ227" s="2">
        <v>0.2</v>
      </c>
      <c r="BK227" s="2">
        <v>1</v>
      </c>
      <c r="BL227" s="2">
        <v>40.76</v>
      </c>
      <c r="BM227" s="2">
        <v>5.71</v>
      </c>
      <c r="BN227" s="2">
        <v>46.47</v>
      </c>
      <c r="BO227" s="2">
        <v>46.47</v>
      </c>
      <c r="BP227" s="2"/>
      <c r="BQ227" s="2" t="s">
        <v>91</v>
      </c>
      <c r="BR227" s="2" t="s">
        <v>83</v>
      </c>
      <c r="BS227" s="3">
        <v>42650</v>
      </c>
      <c r="BT227" s="4">
        <v>0.4375</v>
      </c>
      <c r="BU227" s="2" t="s">
        <v>582</v>
      </c>
      <c r="BV227" s="2" t="s">
        <v>85</v>
      </c>
      <c r="BW227" s="2"/>
      <c r="BX227" s="2"/>
      <c r="BY227" s="2">
        <v>1200</v>
      </c>
      <c r="BZ227" s="2" t="s">
        <v>27</v>
      </c>
      <c r="CA227" s="2"/>
      <c r="CB227" s="2"/>
      <c r="CC227" s="2" t="s">
        <v>208</v>
      </c>
      <c r="CD227" s="2">
        <v>4133</v>
      </c>
      <c r="CE227" s="2" t="s">
        <v>108</v>
      </c>
      <c r="CF227" s="5">
        <v>42653</v>
      </c>
      <c r="CG227" s="2"/>
      <c r="CH227" s="2"/>
      <c r="CI227" s="2">
        <v>1</v>
      </c>
      <c r="CJ227" s="2">
        <v>1</v>
      </c>
      <c r="CK227" s="2">
        <v>21</v>
      </c>
      <c r="CL227" s="2" t="s">
        <v>88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"FES1162505314"</f>
        <v>FES1162505314</v>
      </c>
      <c r="F228" s="3">
        <v>42650</v>
      </c>
      <c r="G228" s="2">
        <v>201704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124</v>
      </c>
      <c r="M228" s="2" t="s">
        <v>125</v>
      </c>
      <c r="N228" s="2" t="s">
        <v>583</v>
      </c>
      <c r="O228" s="2" t="s">
        <v>96</v>
      </c>
      <c r="P228" s="2" t="str">
        <f>"2170528858                    "</f>
        <v xml:space="preserve">2170528858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10.78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6.1</v>
      </c>
      <c r="BJ228" s="2">
        <v>4.7</v>
      </c>
      <c r="BK228" s="2">
        <v>6.5</v>
      </c>
      <c r="BL228" s="2">
        <v>132.46</v>
      </c>
      <c r="BM228" s="2">
        <v>18.54</v>
      </c>
      <c r="BN228" s="2">
        <v>151</v>
      </c>
      <c r="BO228" s="2">
        <v>151</v>
      </c>
      <c r="BP228" s="2"/>
      <c r="BQ228" s="2" t="s">
        <v>117</v>
      </c>
      <c r="BR228" s="2" t="s">
        <v>83</v>
      </c>
      <c r="BS228" s="3">
        <v>42653</v>
      </c>
      <c r="BT228" s="4">
        <v>0.41666666666666669</v>
      </c>
      <c r="BU228" s="2" t="s">
        <v>584</v>
      </c>
      <c r="BV228" s="2" t="s">
        <v>85</v>
      </c>
      <c r="BW228" s="2"/>
      <c r="BX228" s="2"/>
      <c r="BY228" s="2">
        <v>23589.72</v>
      </c>
      <c r="BZ228" s="2"/>
      <c r="CA228" s="2"/>
      <c r="CB228" s="2"/>
      <c r="CC228" s="2" t="s">
        <v>125</v>
      </c>
      <c r="CD228" s="2">
        <v>7140</v>
      </c>
      <c r="CE228" s="2" t="s">
        <v>368</v>
      </c>
      <c r="CF228" s="5">
        <v>42654</v>
      </c>
      <c r="CG228" s="2"/>
      <c r="CH228" s="2"/>
      <c r="CI228" s="2">
        <v>1</v>
      </c>
      <c r="CJ228" s="2">
        <v>1</v>
      </c>
      <c r="CK228" s="2">
        <v>21</v>
      </c>
      <c r="CL228" s="2" t="s">
        <v>88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"FES1162505040"</f>
        <v>FES1162505040</v>
      </c>
      <c r="F229" s="3">
        <v>42649</v>
      </c>
      <c r="G229" s="2">
        <v>201704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148</v>
      </c>
      <c r="M229" s="2" t="s">
        <v>149</v>
      </c>
      <c r="N229" s="2" t="s">
        <v>432</v>
      </c>
      <c r="O229" s="2" t="s">
        <v>96</v>
      </c>
      <c r="P229" s="2" t="str">
        <f>"2170528696                    "</f>
        <v xml:space="preserve">2170528696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3.32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1</v>
      </c>
      <c r="BJ229" s="2">
        <v>0.2</v>
      </c>
      <c r="BK229" s="2">
        <v>1</v>
      </c>
      <c r="BL229" s="2">
        <v>40.76</v>
      </c>
      <c r="BM229" s="2">
        <v>5.71</v>
      </c>
      <c r="BN229" s="2">
        <v>46.47</v>
      </c>
      <c r="BO229" s="2">
        <v>46.47</v>
      </c>
      <c r="BP229" s="2"/>
      <c r="BQ229" s="2" t="s">
        <v>91</v>
      </c>
      <c r="BR229" s="2" t="s">
        <v>83</v>
      </c>
      <c r="BS229" s="3">
        <v>42650</v>
      </c>
      <c r="BT229" s="4">
        <v>0.32291666666666669</v>
      </c>
      <c r="BU229" s="2" t="s">
        <v>367</v>
      </c>
      <c r="BV229" s="2" t="s">
        <v>85</v>
      </c>
      <c r="BW229" s="2"/>
      <c r="BX229" s="2"/>
      <c r="BY229" s="2">
        <v>1200</v>
      </c>
      <c r="BZ229" s="2" t="s">
        <v>27</v>
      </c>
      <c r="CA229" s="2"/>
      <c r="CB229" s="2"/>
      <c r="CC229" s="2" t="s">
        <v>149</v>
      </c>
      <c r="CD229" s="2">
        <v>4052</v>
      </c>
      <c r="CE229" s="2" t="s">
        <v>108</v>
      </c>
      <c r="CF229" s="5">
        <v>42653</v>
      </c>
      <c r="CG229" s="2"/>
      <c r="CH229" s="2"/>
      <c r="CI229" s="2">
        <v>1</v>
      </c>
      <c r="CJ229" s="2">
        <v>1</v>
      </c>
      <c r="CK229" s="2">
        <v>21</v>
      </c>
      <c r="CL229" s="2" t="s">
        <v>88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"FES1162505326"</f>
        <v>FES1162505326</v>
      </c>
      <c r="F230" s="3">
        <v>42650</v>
      </c>
      <c r="G230" s="2">
        <v>201704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119</v>
      </c>
      <c r="M230" s="2" t="s">
        <v>120</v>
      </c>
      <c r="N230" s="2" t="s">
        <v>585</v>
      </c>
      <c r="O230" s="2" t="s">
        <v>96</v>
      </c>
      <c r="P230" s="2" t="str">
        <f>"2170528986                    "</f>
        <v xml:space="preserve">2170528986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5.81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3.1</v>
      </c>
      <c r="BJ230" s="2">
        <v>1.3</v>
      </c>
      <c r="BK230" s="2">
        <v>3.5</v>
      </c>
      <c r="BL230" s="2">
        <v>71.33</v>
      </c>
      <c r="BM230" s="2">
        <v>9.99</v>
      </c>
      <c r="BN230" s="2">
        <v>81.319999999999993</v>
      </c>
      <c r="BO230" s="2">
        <v>81.319999999999993</v>
      </c>
      <c r="BP230" s="2"/>
      <c r="BQ230" s="2" t="s">
        <v>586</v>
      </c>
      <c r="BR230" s="2" t="s">
        <v>83</v>
      </c>
      <c r="BS230" s="3">
        <v>42653</v>
      </c>
      <c r="BT230" s="4">
        <v>0.38194444444444442</v>
      </c>
      <c r="BU230" s="2" t="s">
        <v>587</v>
      </c>
      <c r="BV230" s="2" t="s">
        <v>85</v>
      </c>
      <c r="BW230" s="2"/>
      <c r="BX230" s="2"/>
      <c r="BY230" s="2">
        <v>6303.95</v>
      </c>
      <c r="BZ230" s="2" t="s">
        <v>27</v>
      </c>
      <c r="CA230" s="2"/>
      <c r="CB230" s="2"/>
      <c r="CC230" s="2" t="s">
        <v>120</v>
      </c>
      <c r="CD230" s="2">
        <v>6229</v>
      </c>
      <c r="CE230" s="2" t="s">
        <v>368</v>
      </c>
      <c r="CF230" s="5">
        <v>42654</v>
      </c>
      <c r="CG230" s="2"/>
      <c r="CH230" s="2"/>
      <c r="CI230" s="2">
        <v>1</v>
      </c>
      <c r="CJ230" s="2">
        <v>1</v>
      </c>
      <c r="CK230" s="2">
        <v>21</v>
      </c>
      <c r="CL230" s="2" t="s">
        <v>88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"FES1162504938"</f>
        <v>FES1162504938</v>
      </c>
      <c r="F231" s="3">
        <v>42649</v>
      </c>
      <c r="G231" s="2">
        <v>201704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207</v>
      </c>
      <c r="M231" s="2" t="s">
        <v>208</v>
      </c>
      <c r="N231" s="2" t="s">
        <v>209</v>
      </c>
      <c r="O231" s="2" t="s">
        <v>96</v>
      </c>
      <c r="P231" s="2" t="str">
        <f>"2170528585                    "</f>
        <v xml:space="preserve">2170528585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3.32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1</v>
      </c>
      <c r="BJ231" s="2">
        <v>0.2</v>
      </c>
      <c r="BK231" s="2">
        <v>1</v>
      </c>
      <c r="BL231" s="2">
        <v>40.76</v>
      </c>
      <c r="BM231" s="2">
        <v>5.71</v>
      </c>
      <c r="BN231" s="2">
        <v>46.47</v>
      </c>
      <c r="BO231" s="2">
        <v>46.47</v>
      </c>
      <c r="BP231" s="2"/>
      <c r="BQ231" s="2" t="s">
        <v>82</v>
      </c>
      <c r="BR231" s="2" t="s">
        <v>83</v>
      </c>
      <c r="BS231" s="3">
        <v>42650</v>
      </c>
      <c r="BT231" s="4">
        <v>0.4375</v>
      </c>
      <c r="BU231" s="2" t="s">
        <v>588</v>
      </c>
      <c r="BV231" s="2" t="s">
        <v>85</v>
      </c>
      <c r="BW231" s="2"/>
      <c r="BX231" s="2"/>
      <c r="BY231" s="2">
        <v>1200</v>
      </c>
      <c r="BZ231" s="2" t="s">
        <v>27</v>
      </c>
      <c r="CA231" s="2"/>
      <c r="CB231" s="2"/>
      <c r="CC231" s="2" t="s">
        <v>208</v>
      </c>
      <c r="CD231" s="2">
        <v>4133</v>
      </c>
      <c r="CE231" s="2" t="s">
        <v>108</v>
      </c>
      <c r="CF231" s="5">
        <v>42653</v>
      </c>
      <c r="CG231" s="2"/>
      <c r="CH231" s="2"/>
      <c r="CI231" s="2">
        <v>1</v>
      </c>
      <c r="CJ231" s="2">
        <v>1</v>
      </c>
      <c r="CK231" s="2">
        <v>21</v>
      </c>
      <c r="CL231" s="2" t="s">
        <v>88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"FES1162505249"</f>
        <v>FES1162505249</v>
      </c>
      <c r="F232" s="3">
        <v>42650</v>
      </c>
      <c r="G232" s="2">
        <v>201704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148</v>
      </c>
      <c r="M232" s="2" t="s">
        <v>149</v>
      </c>
      <c r="N232" s="2" t="s">
        <v>483</v>
      </c>
      <c r="O232" s="2" t="s">
        <v>96</v>
      </c>
      <c r="P232" s="2" t="str">
        <f>"2170528893                    "</f>
        <v xml:space="preserve">2170528893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3.32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0.5</v>
      </c>
      <c r="BJ232" s="2">
        <v>0.2</v>
      </c>
      <c r="BK232" s="2">
        <v>0.5</v>
      </c>
      <c r="BL232" s="2">
        <v>40.76</v>
      </c>
      <c r="BM232" s="2">
        <v>5.71</v>
      </c>
      <c r="BN232" s="2">
        <v>46.47</v>
      </c>
      <c r="BO232" s="2">
        <v>46.47</v>
      </c>
      <c r="BP232" s="2"/>
      <c r="BQ232" s="2" t="s">
        <v>484</v>
      </c>
      <c r="BR232" s="2" t="s">
        <v>83</v>
      </c>
      <c r="BS232" s="3">
        <v>42653</v>
      </c>
      <c r="BT232" s="4">
        <v>0.35833333333333334</v>
      </c>
      <c r="BU232" s="2" t="s">
        <v>589</v>
      </c>
      <c r="BV232" s="2"/>
      <c r="BW232" s="2"/>
      <c r="BX232" s="2"/>
      <c r="BY232" s="2">
        <v>1200</v>
      </c>
      <c r="BZ232" s="2"/>
      <c r="CA232" s="2"/>
      <c r="CB232" s="2"/>
      <c r="CC232" s="2" t="s">
        <v>149</v>
      </c>
      <c r="CD232" s="2">
        <v>4001</v>
      </c>
      <c r="CE232" s="2" t="s">
        <v>108</v>
      </c>
      <c r="CF232" s="5">
        <v>42656</v>
      </c>
      <c r="CG232" s="2"/>
      <c r="CH232" s="2"/>
      <c r="CI232" s="2">
        <v>0</v>
      </c>
      <c r="CJ232" s="2">
        <v>0</v>
      </c>
      <c r="CK232" s="2">
        <v>21</v>
      </c>
      <c r="CL232" s="2" t="s">
        <v>88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"FES1162504921"</f>
        <v>FES1162504921</v>
      </c>
      <c r="F233" s="3">
        <v>42649</v>
      </c>
      <c r="G233" s="2">
        <v>201704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98</v>
      </c>
      <c r="M233" s="2" t="s">
        <v>99</v>
      </c>
      <c r="N233" s="2" t="s">
        <v>590</v>
      </c>
      <c r="O233" s="2" t="s">
        <v>96</v>
      </c>
      <c r="P233" s="2" t="str">
        <f>"2170526594                    "</f>
        <v xml:space="preserve">2170526594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6.63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3.8</v>
      </c>
      <c r="BJ233" s="2">
        <v>2.1</v>
      </c>
      <c r="BK233" s="2">
        <v>4</v>
      </c>
      <c r="BL233" s="2">
        <v>81.510000000000005</v>
      </c>
      <c r="BM233" s="2">
        <v>11.41</v>
      </c>
      <c r="BN233" s="2">
        <v>92.92</v>
      </c>
      <c r="BO233" s="2">
        <v>92.92</v>
      </c>
      <c r="BP233" s="2"/>
      <c r="BQ233" s="2" t="s">
        <v>168</v>
      </c>
      <c r="BR233" s="2" t="s">
        <v>83</v>
      </c>
      <c r="BS233" s="3">
        <v>42650</v>
      </c>
      <c r="BT233" s="4">
        <v>0.42708333333333331</v>
      </c>
      <c r="BU233" s="2" t="s">
        <v>554</v>
      </c>
      <c r="BV233" s="2"/>
      <c r="BW233" s="2"/>
      <c r="BX233" s="2"/>
      <c r="BY233" s="2">
        <v>10267.6</v>
      </c>
      <c r="BZ233" s="2" t="s">
        <v>27</v>
      </c>
      <c r="CA233" s="2"/>
      <c r="CB233" s="2"/>
      <c r="CC233" s="2" t="s">
        <v>99</v>
      </c>
      <c r="CD233" s="2">
        <v>6001</v>
      </c>
      <c r="CE233" s="2" t="s">
        <v>108</v>
      </c>
      <c r="CF233" s="5">
        <v>42653</v>
      </c>
      <c r="CG233" s="2"/>
      <c r="CH233" s="2"/>
      <c r="CI233" s="2">
        <v>0</v>
      </c>
      <c r="CJ233" s="2">
        <v>0</v>
      </c>
      <c r="CK233" s="2">
        <v>21</v>
      </c>
      <c r="CL233" s="2" t="s">
        <v>88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"FES1162505175"</f>
        <v>FES1162505175</v>
      </c>
      <c r="F234" s="3">
        <v>42650</v>
      </c>
      <c r="G234" s="2">
        <v>201704</v>
      </c>
      <c r="H234" s="2" t="s">
        <v>74</v>
      </c>
      <c r="I234" s="2" t="s">
        <v>75</v>
      </c>
      <c r="J234" s="2" t="s">
        <v>76</v>
      </c>
      <c r="K234" s="2" t="s">
        <v>77</v>
      </c>
      <c r="L234" s="2" t="s">
        <v>148</v>
      </c>
      <c r="M234" s="2" t="s">
        <v>149</v>
      </c>
      <c r="N234" s="2" t="s">
        <v>521</v>
      </c>
      <c r="O234" s="2" t="s">
        <v>96</v>
      </c>
      <c r="P234" s="2" t="str">
        <f>"2170528853                    "</f>
        <v xml:space="preserve">2170528853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3.32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</v>
      </c>
      <c r="BJ234" s="2">
        <v>0.2</v>
      </c>
      <c r="BK234" s="2">
        <v>1</v>
      </c>
      <c r="BL234" s="2">
        <v>40.76</v>
      </c>
      <c r="BM234" s="2">
        <v>5.71</v>
      </c>
      <c r="BN234" s="2">
        <v>46.47</v>
      </c>
      <c r="BO234" s="2">
        <v>46.47</v>
      </c>
      <c r="BP234" s="2"/>
      <c r="BQ234" s="2" t="s">
        <v>168</v>
      </c>
      <c r="BR234" s="2" t="s">
        <v>83</v>
      </c>
      <c r="BS234" s="3">
        <v>42653</v>
      </c>
      <c r="BT234" s="4">
        <v>0.4375</v>
      </c>
      <c r="BU234" s="2" t="s">
        <v>238</v>
      </c>
      <c r="BV234" s="2" t="s">
        <v>85</v>
      </c>
      <c r="BW234" s="2"/>
      <c r="BX234" s="2"/>
      <c r="BY234" s="2">
        <v>1200</v>
      </c>
      <c r="BZ234" s="2" t="s">
        <v>27</v>
      </c>
      <c r="CA234" s="2"/>
      <c r="CB234" s="2"/>
      <c r="CC234" s="2" t="s">
        <v>149</v>
      </c>
      <c r="CD234" s="2">
        <v>4052</v>
      </c>
      <c r="CE234" s="2" t="s">
        <v>108</v>
      </c>
      <c r="CF234" s="5">
        <v>42654</v>
      </c>
      <c r="CG234" s="2"/>
      <c r="CH234" s="2"/>
      <c r="CI234" s="2">
        <v>1</v>
      </c>
      <c r="CJ234" s="2">
        <v>1</v>
      </c>
      <c r="CK234" s="2">
        <v>21</v>
      </c>
      <c r="CL234" s="2" t="s">
        <v>88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"FES1162504920"</f>
        <v>FES1162504920</v>
      </c>
      <c r="F235" s="3">
        <v>42649</v>
      </c>
      <c r="G235" s="2">
        <v>201704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119</v>
      </c>
      <c r="M235" s="2" t="s">
        <v>120</v>
      </c>
      <c r="N235" s="2" t="s">
        <v>591</v>
      </c>
      <c r="O235" s="2" t="s">
        <v>96</v>
      </c>
      <c r="P235" s="2" t="str">
        <f>"2170526589                    "</f>
        <v xml:space="preserve">2170526589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3.32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</v>
      </c>
      <c r="BJ235" s="2">
        <v>0.2</v>
      </c>
      <c r="BK235" s="2">
        <v>1</v>
      </c>
      <c r="BL235" s="2">
        <v>40.76</v>
      </c>
      <c r="BM235" s="2">
        <v>5.71</v>
      </c>
      <c r="BN235" s="2">
        <v>46.47</v>
      </c>
      <c r="BO235" s="2">
        <v>46.47</v>
      </c>
      <c r="BP235" s="2"/>
      <c r="BQ235" s="2" t="s">
        <v>91</v>
      </c>
      <c r="BR235" s="2" t="s">
        <v>83</v>
      </c>
      <c r="BS235" s="3">
        <v>42650</v>
      </c>
      <c r="BT235" s="4">
        <v>0.32708333333333334</v>
      </c>
      <c r="BU235" s="2" t="s">
        <v>592</v>
      </c>
      <c r="BV235" s="2" t="s">
        <v>85</v>
      </c>
      <c r="BW235" s="2"/>
      <c r="BX235" s="2"/>
      <c r="BY235" s="2">
        <v>1200</v>
      </c>
      <c r="BZ235" s="2" t="s">
        <v>27</v>
      </c>
      <c r="CA235" s="2"/>
      <c r="CB235" s="2"/>
      <c r="CC235" s="2" t="s">
        <v>120</v>
      </c>
      <c r="CD235" s="2">
        <v>6229</v>
      </c>
      <c r="CE235" s="2" t="s">
        <v>108</v>
      </c>
      <c r="CF235" s="5">
        <v>42653</v>
      </c>
      <c r="CG235" s="2"/>
      <c r="CH235" s="2"/>
      <c r="CI235" s="2">
        <v>1</v>
      </c>
      <c r="CJ235" s="2">
        <v>1</v>
      </c>
      <c r="CK235" s="2">
        <v>21</v>
      </c>
      <c r="CL235" s="2" t="s">
        <v>88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"FES1162505181"</f>
        <v>FES1162505181</v>
      </c>
      <c r="F236" s="3">
        <v>42650</v>
      </c>
      <c r="G236" s="2">
        <v>201704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137</v>
      </c>
      <c r="M236" s="2" t="s">
        <v>138</v>
      </c>
      <c r="N236" s="2" t="s">
        <v>526</v>
      </c>
      <c r="O236" s="2" t="s">
        <v>96</v>
      </c>
      <c r="P236" s="2" t="str">
        <f>"2170526269                    "</f>
        <v xml:space="preserve">2170526269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3.32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1</v>
      </c>
      <c r="BJ236" s="2">
        <v>1.6</v>
      </c>
      <c r="BK236" s="2">
        <v>2</v>
      </c>
      <c r="BL236" s="2">
        <v>40.76</v>
      </c>
      <c r="BM236" s="2">
        <v>5.71</v>
      </c>
      <c r="BN236" s="2">
        <v>46.47</v>
      </c>
      <c r="BO236" s="2">
        <v>46.47</v>
      </c>
      <c r="BP236" s="2"/>
      <c r="BQ236" s="2" t="s">
        <v>117</v>
      </c>
      <c r="BR236" s="2" t="s">
        <v>83</v>
      </c>
      <c r="BS236" s="3">
        <v>42653</v>
      </c>
      <c r="BT236" s="4">
        <v>0.3840277777777778</v>
      </c>
      <c r="BU236" s="2" t="s">
        <v>527</v>
      </c>
      <c r="BV236" s="2"/>
      <c r="BW236" s="2"/>
      <c r="BX236" s="2"/>
      <c r="BY236" s="2">
        <v>8038.8</v>
      </c>
      <c r="BZ236" s="2" t="s">
        <v>27</v>
      </c>
      <c r="CA236" s="2" t="s">
        <v>593</v>
      </c>
      <c r="CB236" s="2"/>
      <c r="CC236" s="2" t="s">
        <v>138</v>
      </c>
      <c r="CD236" s="2">
        <v>3201</v>
      </c>
      <c r="CE236" s="2" t="s">
        <v>86</v>
      </c>
      <c r="CF236" s="5">
        <v>42653</v>
      </c>
      <c r="CG236" s="2"/>
      <c r="CH236" s="2"/>
      <c r="CI236" s="2">
        <v>0</v>
      </c>
      <c r="CJ236" s="2">
        <v>0</v>
      </c>
      <c r="CK236" s="2">
        <v>21</v>
      </c>
      <c r="CL236" s="2" t="s">
        <v>88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"FES1162504892"</f>
        <v>FES1162504892</v>
      </c>
      <c r="F237" s="3">
        <v>42649</v>
      </c>
      <c r="G237" s="2">
        <v>201704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594</v>
      </c>
      <c r="M237" s="2" t="s">
        <v>595</v>
      </c>
      <c r="N237" s="2" t="s">
        <v>596</v>
      </c>
      <c r="O237" s="2" t="s">
        <v>96</v>
      </c>
      <c r="P237" s="2" t="str">
        <f>"2170527374                    "</f>
        <v xml:space="preserve">2170527374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6.43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2</v>
      </c>
      <c r="BJ237" s="2">
        <v>1.6</v>
      </c>
      <c r="BK237" s="2">
        <v>2</v>
      </c>
      <c r="BL237" s="2">
        <v>78.97</v>
      </c>
      <c r="BM237" s="2">
        <v>11.06</v>
      </c>
      <c r="BN237" s="2">
        <v>90.03</v>
      </c>
      <c r="BO237" s="2">
        <v>90.03</v>
      </c>
      <c r="BP237" s="2"/>
      <c r="BQ237" s="2" t="s">
        <v>597</v>
      </c>
      <c r="BR237" s="2" t="s">
        <v>83</v>
      </c>
      <c r="BS237" s="3">
        <v>42650</v>
      </c>
      <c r="BT237" s="4">
        <v>0.5</v>
      </c>
      <c r="BU237" s="2" t="s">
        <v>598</v>
      </c>
      <c r="BV237" s="2"/>
      <c r="BW237" s="2"/>
      <c r="BX237" s="2"/>
      <c r="BY237" s="2">
        <v>8032.43</v>
      </c>
      <c r="BZ237" s="2"/>
      <c r="CA237" s="2"/>
      <c r="CB237" s="2"/>
      <c r="CC237" s="2" t="s">
        <v>595</v>
      </c>
      <c r="CD237" s="2">
        <v>6170</v>
      </c>
      <c r="CE237" s="2" t="s">
        <v>108</v>
      </c>
      <c r="CF237" s="5">
        <v>42655</v>
      </c>
      <c r="CG237" s="2"/>
      <c r="CH237" s="2"/>
      <c r="CI237" s="2">
        <v>0</v>
      </c>
      <c r="CJ237" s="2">
        <v>0</v>
      </c>
      <c r="CK237" s="2">
        <v>23</v>
      </c>
      <c r="CL237" s="2" t="s">
        <v>88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"FES1162505277"</f>
        <v>FES1162505277</v>
      </c>
      <c r="F238" s="3">
        <v>42650</v>
      </c>
      <c r="G238" s="2">
        <v>201704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93</v>
      </c>
      <c r="M238" s="2" t="s">
        <v>94</v>
      </c>
      <c r="N238" s="2" t="s">
        <v>536</v>
      </c>
      <c r="O238" s="2" t="s">
        <v>96</v>
      </c>
      <c r="P238" s="2" t="str">
        <f>"2170528926                    "</f>
        <v xml:space="preserve">2170528926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3.32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1.4</v>
      </c>
      <c r="BJ238" s="2">
        <v>0.9</v>
      </c>
      <c r="BK238" s="2">
        <v>1.5</v>
      </c>
      <c r="BL238" s="2">
        <v>40.76</v>
      </c>
      <c r="BM238" s="2">
        <v>5.71</v>
      </c>
      <c r="BN238" s="2">
        <v>46.47</v>
      </c>
      <c r="BO238" s="2">
        <v>46.47</v>
      </c>
      <c r="BP238" s="2"/>
      <c r="BQ238" s="2" t="s">
        <v>537</v>
      </c>
      <c r="BR238" s="2" t="s">
        <v>83</v>
      </c>
      <c r="BS238" s="3">
        <v>42653</v>
      </c>
      <c r="BT238" s="4">
        <v>0.54166666666666663</v>
      </c>
      <c r="BU238" s="2" t="s">
        <v>599</v>
      </c>
      <c r="BV238" s="2" t="s">
        <v>85</v>
      </c>
      <c r="BW238" s="2"/>
      <c r="BX238" s="2"/>
      <c r="BY238" s="2">
        <v>4599.0600000000004</v>
      </c>
      <c r="BZ238" s="2"/>
      <c r="CA238" s="2"/>
      <c r="CB238" s="2"/>
      <c r="CC238" s="2" t="s">
        <v>94</v>
      </c>
      <c r="CD238" s="2">
        <v>4300</v>
      </c>
      <c r="CE238" s="2" t="s">
        <v>86</v>
      </c>
      <c r="CF238" s="5">
        <v>42654</v>
      </c>
      <c r="CG238" s="2"/>
      <c r="CH238" s="2"/>
      <c r="CI238" s="2">
        <v>1</v>
      </c>
      <c r="CJ238" s="2">
        <v>1</v>
      </c>
      <c r="CK238" s="2">
        <v>21</v>
      </c>
      <c r="CL238" s="2" t="s">
        <v>88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"FES1162504891"</f>
        <v>FES1162504891</v>
      </c>
      <c r="F239" s="3">
        <v>42649</v>
      </c>
      <c r="G239" s="2">
        <v>201704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98</v>
      </c>
      <c r="M239" s="2" t="s">
        <v>99</v>
      </c>
      <c r="N239" s="2" t="s">
        <v>350</v>
      </c>
      <c r="O239" s="2" t="s">
        <v>96</v>
      </c>
      <c r="P239" s="2" t="str">
        <f>"2170528565                    "</f>
        <v xml:space="preserve">2170528565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3.32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1</v>
      </c>
      <c r="BJ239" s="2">
        <v>0.2</v>
      </c>
      <c r="BK239" s="2">
        <v>1</v>
      </c>
      <c r="BL239" s="2">
        <v>40.76</v>
      </c>
      <c r="BM239" s="2">
        <v>5.71</v>
      </c>
      <c r="BN239" s="2">
        <v>46.47</v>
      </c>
      <c r="BO239" s="2">
        <v>46.47</v>
      </c>
      <c r="BP239" s="2"/>
      <c r="BQ239" s="2" t="s">
        <v>351</v>
      </c>
      <c r="BR239" s="2" t="s">
        <v>83</v>
      </c>
      <c r="BS239" s="3">
        <v>42650</v>
      </c>
      <c r="BT239" s="4">
        <v>0.35416666666666669</v>
      </c>
      <c r="BU239" s="2" t="s">
        <v>600</v>
      </c>
      <c r="BV239" s="2" t="s">
        <v>85</v>
      </c>
      <c r="BW239" s="2"/>
      <c r="BX239" s="2"/>
      <c r="BY239" s="2">
        <v>1200</v>
      </c>
      <c r="BZ239" s="2" t="s">
        <v>27</v>
      </c>
      <c r="CA239" s="2"/>
      <c r="CB239" s="2"/>
      <c r="CC239" s="2" t="s">
        <v>99</v>
      </c>
      <c r="CD239" s="2">
        <v>6001</v>
      </c>
      <c r="CE239" s="2" t="s">
        <v>108</v>
      </c>
      <c r="CF239" s="5">
        <v>42653</v>
      </c>
      <c r="CG239" s="2"/>
      <c r="CH239" s="2"/>
      <c r="CI239" s="2">
        <v>1</v>
      </c>
      <c r="CJ239" s="2">
        <v>1</v>
      </c>
      <c r="CK239" s="2">
        <v>21</v>
      </c>
      <c r="CL239" s="2" t="s">
        <v>88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"FES1162505203"</f>
        <v>FES1162505203</v>
      </c>
      <c r="F240" s="3">
        <v>42650</v>
      </c>
      <c r="G240" s="2">
        <v>201704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160</v>
      </c>
      <c r="M240" s="2" t="s">
        <v>161</v>
      </c>
      <c r="N240" s="2" t="s">
        <v>601</v>
      </c>
      <c r="O240" s="2" t="s">
        <v>96</v>
      </c>
      <c r="P240" s="2" t="str">
        <f>"2170528859                    "</f>
        <v xml:space="preserve">2170528859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234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3.32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0.5</v>
      </c>
      <c r="BJ240" s="2">
        <v>0.2</v>
      </c>
      <c r="BK240" s="2">
        <v>0.5</v>
      </c>
      <c r="BL240" s="2">
        <v>274.76</v>
      </c>
      <c r="BM240" s="2">
        <v>38.47</v>
      </c>
      <c r="BN240" s="2">
        <v>313.23</v>
      </c>
      <c r="BO240" s="2">
        <v>313.23</v>
      </c>
      <c r="BP240" s="2" t="s">
        <v>487</v>
      </c>
      <c r="BQ240" s="2" t="s">
        <v>602</v>
      </c>
      <c r="BR240" s="2" t="s">
        <v>83</v>
      </c>
      <c r="BS240" s="3">
        <v>42655</v>
      </c>
      <c r="BT240" s="4">
        <v>0.34375</v>
      </c>
      <c r="BU240" s="2" t="s">
        <v>603</v>
      </c>
      <c r="BV240" s="2" t="s">
        <v>88</v>
      </c>
      <c r="BW240" s="2" t="s">
        <v>277</v>
      </c>
      <c r="BX240" s="2" t="s">
        <v>604</v>
      </c>
      <c r="BY240" s="2">
        <v>1200</v>
      </c>
      <c r="BZ240" s="2" t="s">
        <v>25</v>
      </c>
      <c r="CA240" s="2"/>
      <c r="CB240" s="2"/>
      <c r="CC240" s="2" t="s">
        <v>161</v>
      </c>
      <c r="CD240" s="2">
        <v>7945</v>
      </c>
      <c r="CE240" s="2" t="s">
        <v>108</v>
      </c>
      <c r="CF240" s="5">
        <v>42656</v>
      </c>
      <c r="CG240" s="2"/>
      <c r="CH240" s="2"/>
      <c r="CI240" s="2">
        <v>1</v>
      </c>
      <c r="CJ240" s="2">
        <v>3</v>
      </c>
      <c r="CK240" s="2">
        <v>21</v>
      </c>
      <c r="CL240" s="2" t="s">
        <v>85</v>
      </c>
      <c r="CM240" s="4">
        <v>0.34375</v>
      </c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"FES1162504890"</f>
        <v>FES1162504890</v>
      </c>
      <c r="F241" s="3">
        <v>42649</v>
      </c>
      <c r="G241" s="2">
        <v>201704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98</v>
      </c>
      <c r="M241" s="2" t="s">
        <v>99</v>
      </c>
      <c r="N241" s="2" t="s">
        <v>224</v>
      </c>
      <c r="O241" s="2" t="s">
        <v>96</v>
      </c>
      <c r="P241" s="2" t="str">
        <f>"2170528564                    "</f>
        <v xml:space="preserve">2170528564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4.1500000000000004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2.5</v>
      </c>
      <c r="BK241" s="2">
        <v>2.5</v>
      </c>
      <c r="BL241" s="2">
        <v>50.95</v>
      </c>
      <c r="BM241" s="2">
        <v>7.13</v>
      </c>
      <c r="BN241" s="2">
        <v>58.08</v>
      </c>
      <c r="BO241" s="2">
        <v>58.08</v>
      </c>
      <c r="BP241" s="2"/>
      <c r="BQ241" s="2" t="s">
        <v>225</v>
      </c>
      <c r="BR241" s="2" t="s">
        <v>83</v>
      </c>
      <c r="BS241" s="3">
        <v>42650</v>
      </c>
      <c r="BT241" s="4">
        <v>0.33680555555555558</v>
      </c>
      <c r="BU241" s="2" t="s">
        <v>554</v>
      </c>
      <c r="BV241" s="2" t="s">
        <v>85</v>
      </c>
      <c r="BW241" s="2"/>
      <c r="BX241" s="2"/>
      <c r="BY241" s="2">
        <v>12461.85</v>
      </c>
      <c r="BZ241" s="2" t="s">
        <v>27</v>
      </c>
      <c r="CA241" s="2"/>
      <c r="CB241" s="2"/>
      <c r="CC241" s="2" t="s">
        <v>99</v>
      </c>
      <c r="CD241" s="2">
        <v>6001</v>
      </c>
      <c r="CE241" s="2" t="s">
        <v>108</v>
      </c>
      <c r="CF241" s="5">
        <v>42653</v>
      </c>
      <c r="CG241" s="2"/>
      <c r="CH241" s="2"/>
      <c r="CI241" s="2">
        <v>1</v>
      </c>
      <c r="CJ241" s="2">
        <v>1</v>
      </c>
      <c r="CK241" s="2">
        <v>21</v>
      </c>
      <c r="CL241" s="2" t="s">
        <v>88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"FES1162505180"</f>
        <v>FES1162505180</v>
      </c>
      <c r="F242" s="3">
        <v>42650</v>
      </c>
      <c r="G242" s="2">
        <v>201704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218</v>
      </c>
      <c r="M242" s="2" t="s">
        <v>219</v>
      </c>
      <c r="N242" s="2" t="s">
        <v>220</v>
      </c>
      <c r="O242" s="2" t="s">
        <v>96</v>
      </c>
      <c r="P242" s="2" t="str">
        <f>"2170525152                    "</f>
        <v xml:space="preserve">2170525152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3.32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0.5</v>
      </c>
      <c r="BJ242" s="2">
        <v>0.2</v>
      </c>
      <c r="BK242" s="2">
        <v>0.5</v>
      </c>
      <c r="BL242" s="2">
        <v>40.76</v>
      </c>
      <c r="BM242" s="2">
        <v>5.71</v>
      </c>
      <c r="BN242" s="2">
        <v>46.47</v>
      </c>
      <c r="BO242" s="2">
        <v>46.47</v>
      </c>
      <c r="BP242" s="2"/>
      <c r="BQ242" s="2" t="s">
        <v>91</v>
      </c>
      <c r="BR242" s="2" t="s">
        <v>83</v>
      </c>
      <c r="BS242" s="3">
        <v>42653</v>
      </c>
      <c r="BT242" s="4">
        <v>0.2951388888888889</v>
      </c>
      <c r="BU242" s="2" t="s">
        <v>605</v>
      </c>
      <c r="BV242" s="2" t="s">
        <v>85</v>
      </c>
      <c r="BW242" s="2"/>
      <c r="BX242" s="2"/>
      <c r="BY242" s="2">
        <v>1200</v>
      </c>
      <c r="BZ242" s="2"/>
      <c r="CA242" s="2"/>
      <c r="CB242" s="2"/>
      <c r="CC242" s="2" t="s">
        <v>219</v>
      </c>
      <c r="CD242" s="2">
        <v>7600</v>
      </c>
      <c r="CE242" s="2" t="s">
        <v>108</v>
      </c>
      <c r="CF242" s="5">
        <v>42653</v>
      </c>
      <c r="CG242" s="2"/>
      <c r="CH242" s="2"/>
      <c r="CI242" s="2">
        <v>1</v>
      </c>
      <c r="CJ242" s="2">
        <v>1</v>
      </c>
      <c r="CK242" s="2">
        <v>21</v>
      </c>
      <c r="CL242" s="2" t="s">
        <v>88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"FES1162504916"</f>
        <v>FES1162504916</v>
      </c>
      <c r="F243" s="3">
        <v>42649</v>
      </c>
      <c r="G243" s="2">
        <v>201704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98</v>
      </c>
      <c r="M243" s="2" t="s">
        <v>99</v>
      </c>
      <c r="N243" s="2" t="s">
        <v>606</v>
      </c>
      <c r="O243" s="2" t="s">
        <v>96</v>
      </c>
      <c r="P243" s="2" t="str">
        <f>"2175026572                    "</f>
        <v xml:space="preserve">2175026572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3.32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40.76</v>
      </c>
      <c r="BM243" s="2">
        <v>5.71</v>
      </c>
      <c r="BN243" s="2">
        <v>46.47</v>
      </c>
      <c r="BO243" s="2">
        <v>46.47</v>
      </c>
      <c r="BP243" s="2"/>
      <c r="BQ243" s="2" t="s">
        <v>607</v>
      </c>
      <c r="BR243" s="2" t="s">
        <v>83</v>
      </c>
      <c r="BS243" s="3">
        <v>42650</v>
      </c>
      <c r="BT243" s="4">
        <v>0.375</v>
      </c>
      <c r="BU243" s="2" t="s">
        <v>608</v>
      </c>
      <c r="BV243" s="2" t="s">
        <v>85</v>
      </c>
      <c r="BW243" s="2"/>
      <c r="BX243" s="2"/>
      <c r="BY243" s="2">
        <v>1200</v>
      </c>
      <c r="BZ243" s="2" t="s">
        <v>27</v>
      </c>
      <c r="CA243" s="2"/>
      <c r="CB243" s="2"/>
      <c r="CC243" s="2" t="s">
        <v>99</v>
      </c>
      <c r="CD243" s="2">
        <v>6001</v>
      </c>
      <c r="CE243" s="2" t="s">
        <v>108</v>
      </c>
      <c r="CF243" s="5">
        <v>42653</v>
      </c>
      <c r="CG243" s="2"/>
      <c r="CH243" s="2"/>
      <c r="CI243" s="2">
        <v>1</v>
      </c>
      <c r="CJ243" s="2">
        <v>1</v>
      </c>
      <c r="CK243" s="2">
        <v>21</v>
      </c>
      <c r="CL243" s="2" t="s">
        <v>88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"FES1162505201"</f>
        <v>FES1162505201</v>
      </c>
      <c r="F244" s="3">
        <v>42650</v>
      </c>
      <c r="G244" s="2">
        <v>201704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503</v>
      </c>
      <c r="M244" s="2" t="s">
        <v>504</v>
      </c>
      <c r="N244" s="2" t="s">
        <v>505</v>
      </c>
      <c r="O244" s="2" t="s">
        <v>96</v>
      </c>
      <c r="P244" s="2" t="str">
        <f>"2170528586                    "</f>
        <v xml:space="preserve">2170528586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6.43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0.5</v>
      </c>
      <c r="BJ244" s="2">
        <v>0.2</v>
      </c>
      <c r="BK244" s="2">
        <v>0.5</v>
      </c>
      <c r="BL244" s="2">
        <v>78.97</v>
      </c>
      <c r="BM244" s="2">
        <v>11.06</v>
      </c>
      <c r="BN244" s="2">
        <v>90.03</v>
      </c>
      <c r="BO244" s="2">
        <v>90.03</v>
      </c>
      <c r="BP244" s="2"/>
      <c r="BQ244" s="2" t="s">
        <v>91</v>
      </c>
      <c r="BR244" s="2" t="s">
        <v>83</v>
      </c>
      <c r="BS244" s="3">
        <v>42653</v>
      </c>
      <c r="BT244" s="4">
        <v>0.41666666666666669</v>
      </c>
      <c r="BU244" s="2" t="s">
        <v>506</v>
      </c>
      <c r="BV244" s="2" t="s">
        <v>85</v>
      </c>
      <c r="BW244" s="2"/>
      <c r="BX244" s="2"/>
      <c r="BY244" s="2">
        <v>1200</v>
      </c>
      <c r="BZ244" s="2"/>
      <c r="CA244" s="2"/>
      <c r="CB244" s="2"/>
      <c r="CC244" s="2" t="s">
        <v>504</v>
      </c>
      <c r="CD244" s="2">
        <v>7349</v>
      </c>
      <c r="CE244" s="2" t="s">
        <v>108</v>
      </c>
      <c r="CF244" s="5">
        <v>42654</v>
      </c>
      <c r="CG244" s="2"/>
      <c r="CH244" s="2"/>
      <c r="CI244" s="2">
        <v>1</v>
      </c>
      <c r="CJ244" s="2">
        <v>1</v>
      </c>
      <c r="CK244" s="2">
        <v>23</v>
      </c>
      <c r="CL244" s="2" t="s">
        <v>88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"FES1162504933"</f>
        <v>FES1162504933</v>
      </c>
      <c r="F245" s="3">
        <v>42649</v>
      </c>
      <c r="G245" s="2">
        <v>201704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98</v>
      </c>
      <c r="M245" s="2" t="s">
        <v>99</v>
      </c>
      <c r="N245" s="2" t="s">
        <v>109</v>
      </c>
      <c r="O245" s="2" t="s">
        <v>96</v>
      </c>
      <c r="P245" s="2" t="str">
        <f>"2170528576                    "</f>
        <v xml:space="preserve">2170528576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3.32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</v>
      </c>
      <c r="BJ245" s="2">
        <v>0.2</v>
      </c>
      <c r="BK245" s="2">
        <v>1</v>
      </c>
      <c r="BL245" s="2">
        <v>40.76</v>
      </c>
      <c r="BM245" s="2">
        <v>5.71</v>
      </c>
      <c r="BN245" s="2">
        <v>46.47</v>
      </c>
      <c r="BO245" s="2">
        <v>46.47</v>
      </c>
      <c r="BP245" s="2"/>
      <c r="BQ245" s="2" t="s">
        <v>110</v>
      </c>
      <c r="BR245" s="2" t="s">
        <v>83</v>
      </c>
      <c r="BS245" s="3">
        <v>42650</v>
      </c>
      <c r="BT245" s="4">
        <v>0.38541666666666669</v>
      </c>
      <c r="BU245" s="2" t="s">
        <v>609</v>
      </c>
      <c r="BV245" s="2" t="s">
        <v>85</v>
      </c>
      <c r="BW245" s="2"/>
      <c r="BX245" s="2"/>
      <c r="BY245" s="2">
        <v>1200</v>
      </c>
      <c r="BZ245" s="2" t="s">
        <v>27</v>
      </c>
      <c r="CA245" s="2"/>
      <c r="CB245" s="2"/>
      <c r="CC245" s="2" t="s">
        <v>99</v>
      </c>
      <c r="CD245" s="2">
        <v>6001</v>
      </c>
      <c r="CE245" s="2" t="s">
        <v>108</v>
      </c>
      <c r="CF245" s="5">
        <v>42653</v>
      </c>
      <c r="CG245" s="2"/>
      <c r="CH245" s="2"/>
      <c r="CI245" s="2">
        <v>1</v>
      </c>
      <c r="CJ245" s="2">
        <v>1</v>
      </c>
      <c r="CK245" s="2">
        <v>21</v>
      </c>
      <c r="CL245" s="2" t="s">
        <v>88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"FES1162505237"</f>
        <v>FES1162505237</v>
      </c>
      <c r="F246" s="3">
        <v>42650</v>
      </c>
      <c r="G246" s="2">
        <v>201704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160</v>
      </c>
      <c r="M246" s="2" t="s">
        <v>161</v>
      </c>
      <c r="N246" s="2" t="s">
        <v>610</v>
      </c>
      <c r="O246" s="2" t="s">
        <v>96</v>
      </c>
      <c r="P246" s="2" t="str">
        <f>"2170528678                    "</f>
        <v xml:space="preserve">2170528678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3.32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0.5</v>
      </c>
      <c r="BJ246" s="2">
        <v>0.2</v>
      </c>
      <c r="BK246" s="2">
        <v>0.5</v>
      </c>
      <c r="BL246" s="2">
        <v>40.76</v>
      </c>
      <c r="BM246" s="2">
        <v>5.71</v>
      </c>
      <c r="BN246" s="2">
        <v>46.47</v>
      </c>
      <c r="BO246" s="2">
        <v>46.47</v>
      </c>
      <c r="BP246" s="2"/>
      <c r="BQ246" s="2" t="s">
        <v>168</v>
      </c>
      <c r="BR246" s="2" t="s">
        <v>83</v>
      </c>
      <c r="BS246" s="3">
        <v>42653</v>
      </c>
      <c r="BT246" s="4">
        <v>0.41666666666666669</v>
      </c>
      <c r="BU246" s="2" t="s">
        <v>611</v>
      </c>
      <c r="BV246" s="2" t="s">
        <v>85</v>
      </c>
      <c r="BW246" s="2"/>
      <c r="BX246" s="2"/>
      <c r="BY246" s="2">
        <v>1200</v>
      </c>
      <c r="BZ246" s="2"/>
      <c r="CA246" s="2"/>
      <c r="CB246" s="2"/>
      <c r="CC246" s="2" t="s">
        <v>161</v>
      </c>
      <c r="CD246" s="2">
        <v>7441</v>
      </c>
      <c r="CE246" s="2" t="s">
        <v>108</v>
      </c>
      <c r="CF246" s="5">
        <v>42654</v>
      </c>
      <c r="CG246" s="2"/>
      <c r="CH246" s="2"/>
      <c r="CI246" s="2">
        <v>1</v>
      </c>
      <c r="CJ246" s="2">
        <v>1</v>
      </c>
      <c r="CK246" s="2">
        <v>21</v>
      </c>
      <c r="CL246" s="2" t="s">
        <v>88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"FES1162504992"</f>
        <v>FES1162504992</v>
      </c>
      <c r="F247" s="3">
        <v>42649</v>
      </c>
      <c r="G247" s="2">
        <v>201704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137</v>
      </c>
      <c r="M247" s="2" t="s">
        <v>138</v>
      </c>
      <c r="N247" s="2" t="s">
        <v>420</v>
      </c>
      <c r="O247" s="2" t="s">
        <v>96</v>
      </c>
      <c r="P247" s="2" t="str">
        <f>"2170528605                    "</f>
        <v xml:space="preserve">2170528605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3.32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</v>
      </c>
      <c r="BJ247" s="2">
        <v>0.2</v>
      </c>
      <c r="BK247" s="2">
        <v>1</v>
      </c>
      <c r="BL247" s="2">
        <v>40.76</v>
      </c>
      <c r="BM247" s="2">
        <v>5.71</v>
      </c>
      <c r="BN247" s="2">
        <v>46.47</v>
      </c>
      <c r="BO247" s="2">
        <v>46.47</v>
      </c>
      <c r="BP247" s="2"/>
      <c r="BQ247" s="2" t="s">
        <v>117</v>
      </c>
      <c r="BR247" s="2" t="s">
        <v>83</v>
      </c>
      <c r="BS247" s="3">
        <v>42650</v>
      </c>
      <c r="BT247" s="4">
        <v>0.36458333333333331</v>
      </c>
      <c r="BU247" s="2" t="s">
        <v>612</v>
      </c>
      <c r="BV247" s="2" t="s">
        <v>85</v>
      </c>
      <c r="BW247" s="2"/>
      <c r="BX247" s="2"/>
      <c r="BY247" s="2">
        <v>1200</v>
      </c>
      <c r="BZ247" s="2" t="s">
        <v>27</v>
      </c>
      <c r="CA247" s="2" t="s">
        <v>613</v>
      </c>
      <c r="CB247" s="2"/>
      <c r="CC247" s="2" t="s">
        <v>138</v>
      </c>
      <c r="CD247" s="2">
        <v>3201</v>
      </c>
      <c r="CE247" s="2" t="s">
        <v>108</v>
      </c>
      <c r="CF247" s="5">
        <v>42650</v>
      </c>
      <c r="CG247" s="2"/>
      <c r="CH247" s="2"/>
      <c r="CI247" s="2">
        <v>1</v>
      </c>
      <c r="CJ247" s="2">
        <v>1</v>
      </c>
      <c r="CK247" s="2">
        <v>21</v>
      </c>
      <c r="CL247" s="2" t="s">
        <v>88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"FES1162505243"</f>
        <v>FES1162505243</v>
      </c>
      <c r="F248" s="3">
        <v>42650</v>
      </c>
      <c r="G248" s="2">
        <v>201704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148</v>
      </c>
      <c r="M248" s="2" t="s">
        <v>149</v>
      </c>
      <c r="N248" s="2" t="s">
        <v>483</v>
      </c>
      <c r="O248" s="2" t="s">
        <v>96</v>
      </c>
      <c r="P248" s="2" t="str">
        <f>"2170528888                    "</f>
        <v xml:space="preserve">2170528888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4.9800000000000004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2.6</v>
      </c>
      <c r="BJ248" s="2">
        <v>1</v>
      </c>
      <c r="BK248" s="2">
        <v>3</v>
      </c>
      <c r="BL248" s="2">
        <v>61.14</v>
      </c>
      <c r="BM248" s="2">
        <v>8.56</v>
      </c>
      <c r="BN248" s="2">
        <v>69.7</v>
      </c>
      <c r="BO248" s="2">
        <v>69.7</v>
      </c>
      <c r="BP248" s="2"/>
      <c r="BQ248" s="2" t="s">
        <v>484</v>
      </c>
      <c r="BR248" s="2" t="s">
        <v>83</v>
      </c>
      <c r="BS248" s="3">
        <v>42653</v>
      </c>
      <c r="BT248" s="4">
        <v>0.35833333333333334</v>
      </c>
      <c r="BU248" s="2" t="s">
        <v>589</v>
      </c>
      <c r="BV248" s="2"/>
      <c r="BW248" s="2"/>
      <c r="BX248" s="2"/>
      <c r="BY248" s="2">
        <v>4963.2</v>
      </c>
      <c r="BZ248" s="2"/>
      <c r="CA248" s="2"/>
      <c r="CB248" s="2"/>
      <c r="CC248" s="2" t="s">
        <v>149</v>
      </c>
      <c r="CD248" s="2">
        <v>4001</v>
      </c>
      <c r="CE248" s="2" t="s">
        <v>86</v>
      </c>
      <c r="CF248" s="5">
        <v>42656</v>
      </c>
      <c r="CG248" s="2"/>
      <c r="CH248" s="2"/>
      <c r="CI248" s="2">
        <v>0</v>
      </c>
      <c r="CJ248" s="2">
        <v>0</v>
      </c>
      <c r="CK248" s="2">
        <v>21</v>
      </c>
      <c r="CL248" s="2" t="s">
        <v>88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"FES1162505010"</f>
        <v>FES1162505010</v>
      </c>
      <c r="F249" s="3">
        <v>42649</v>
      </c>
      <c r="G249" s="2">
        <v>201704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614</v>
      </c>
      <c r="M249" s="2" t="s">
        <v>615</v>
      </c>
      <c r="N249" s="2" t="s">
        <v>616</v>
      </c>
      <c r="O249" s="2" t="s">
        <v>96</v>
      </c>
      <c r="P249" s="2" t="str">
        <f>"2170528654                    "</f>
        <v xml:space="preserve">2170528654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3.32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40.76</v>
      </c>
      <c r="BM249" s="2">
        <v>5.71</v>
      </c>
      <c r="BN249" s="2">
        <v>46.47</v>
      </c>
      <c r="BO249" s="2">
        <v>46.47</v>
      </c>
      <c r="BP249" s="2"/>
      <c r="BQ249" s="2" t="s">
        <v>617</v>
      </c>
      <c r="BR249" s="2" t="s">
        <v>83</v>
      </c>
      <c r="BS249" s="3">
        <v>42650</v>
      </c>
      <c r="BT249" s="4">
        <v>0.3576388888888889</v>
      </c>
      <c r="BU249" s="2" t="s">
        <v>618</v>
      </c>
      <c r="BV249" s="2" t="s">
        <v>85</v>
      </c>
      <c r="BW249" s="2"/>
      <c r="BX249" s="2"/>
      <c r="BY249" s="2">
        <v>1200</v>
      </c>
      <c r="BZ249" s="2" t="s">
        <v>27</v>
      </c>
      <c r="CA249" s="2"/>
      <c r="CB249" s="2"/>
      <c r="CC249" s="2" t="s">
        <v>615</v>
      </c>
      <c r="CD249" s="2">
        <v>4026</v>
      </c>
      <c r="CE249" s="2" t="s">
        <v>108</v>
      </c>
      <c r="CF249" s="5">
        <v>42653</v>
      </c>
      <c r="CG249" s="2"/>
      <c r="CH249" s="2"/>
      <c r="CI249" s="2">
        <v>1</v>
      </c>
      <c r="CJ249" s="2">
        <v>1</v>
      </c>
      <c r="CK249" s="2">
        <v>21</v>
      </c>
      <c r="CL249" s="2" t="s">
        <v>88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"009932186807"</f>
        <v>009932186807</v>
      </c>
      <c r="F250" s="3">
        <v>42650</v>
      </c>
      <c r="G250" s="2">
        <v>201704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160</v>
      </c>
      <c r="M250" s="2" t="s">
        <v>161</v>
      </c>
      <c r="N250" s="2" t="s">
        <v>619</v>
      </c>
      <c r="O250" s="2" t="s">
        <v>96</v>
      </c>
      <c r="P250" s="2" t="str">
        <f>"1162505026                    "</f>
        <v xml:space="preserve">1162505026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3.32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0.5</v>
      </c>
      <c r="BJ250" s="2">
        <v>0.2</v>
      </c>
      <c r="BK250" s="2">
        <v>0.5</v>
      </c>
      <c r="BL250" s="2">
        <v>40.76</v>
      </c>
      <c r="BM250" s="2">
        <v>5.71</v>
      </c>
      <c r="BN250" s="2">
        <v>46.47</v>
      </c>
      <c r="BO250" s="2">
        <v>46.47</v>
      </c>
      <c r="BP250" s="2" t="s">
        <v>620</v>
      </c>
      <c r="BQ250" s="2" t="s">
        <v>91</v>
      </c>
      <c r="BR250" s="2" t="s">
        <v>83</v>
      </c>
      <c r="BS250" s="3">
        <v>42653</v>
      </c>
      <c r="BT250" s="4">
        <v>0.34930555555555554</v>
      </c>
      <c r="BU250" s="2" t="s">
        <v>621</v>
      </c>
      <c r="BV250" s="2" t="s">
        <v>85</v>
      </c>
      <c r="BW250" s="2"/>
      <c r="BX250" s="2"/>
      <c r="BY250" s="2">
        <v>1200</v>
      </c>
      <c r="BZ250" s="2"/>
      <c r="CA250" s="2"/>
      <c r="CB250" s="2"/>
      <c r="CC250" s="2" t="s">
        <v>161</v>
      </c>
      <c r="CD250" s="2">
        <v>7499</v>
      </c>
      <c r="CE250" s="2" t="s">
        <v>108</v>
      </c>
      <c r="CF250" s="5">
        <v>42654</v>
      </c>
      <c r="CG250" s="2"/>
      <c r="CH250" s="2"/>
      <c r="CI250" s="2">
        <v>1</v>
      </c>
      <c r="CJ250" s="2">
        <v>1</v>
      </c>
      <c r="CK250" s="2">
        <v>21</v>
      </c>
      <c r="CL250" s="2" t="s">
        <v>88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"FES1162505246"</f>
        <v>FES1162505246</v>
      </c>
      <c r="F251" s="3">
        <v>42650</v>
      </c>
      <c r="G251" s="2">
        <v>201704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361</v>
      </c>
      <c r="M251" s="2" t="s">
        <v>362</v>
      </c>
      <c r="N251" s="2" t="s">
        <v>363</v>
      </c>
      <c r="O251" s="2" t="s">
        <v>96</v>
      </c>
      <c r="P251" s="2" t="str">
        <f>"2170527294                    "</f>
        <v xml:space="preserve">2170527294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4.66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0.5</v>
      </c>
      <c r="BJ251" s="2">
        <v>0.2</v>
      </c>
      <c r="BK251" s="2">
        <v>0.5</v>
      </c>
      <c r="BL251" s="2">
        <v>57.31</v>
      </c>
      <c r="BM251" s="2">
        <v>8.02</v>
      </c>
      <c r="BN251" s="2">
        <v>65.33</v>
      </c>
      <c r="BO251" s="2">
        <v>65.33</v>
      </c>
      <c r="BP251" s="2"/>
      <c r="BQ251" s="2" t="s">
        <v>364</v>
      </c>
      <c r="BR251" s="2" t="s">
        <v>83</v>
      </c>
      <c r="BS251" s="3">
        <v>42653</v>
      </c>
      <c r="BT251" s="4">
        <v>0.43055555555555558</v>
      </c>
      <c r="BU251" s="2" t="s">
        <v>400</v>
      </c>
      <c r="BV251" s="2" t="s">
        <v>85</v>
      </c>
      <c r="BW251" s="2"/>
      <c r="BX251" s="2"/>
      <c r="BY251" s="2">
        <v>1200</v>
      </c>
      <c r="BZ251" s="2"/>
      <c r="CA251" s="2"/>
      <c r="CB251" s="2"/>
      <c r="CC251" s="2" t="s">
        <v>362</v>
      </c>
      <c r="CD251" s="2">
        <v>1441</v>
      </c>
      <c r="CE251" s="2" t="s">
        <v>108</v>
      </c>
      <c r="CF251" s="5">
        <v>42655</v>
      </c>
      <c r="CG251" s="2"/>
      <c r="CH251" s="2"/>
      <c r="CI251" s="2">
        <v>1</v>
      </c>
      <c r="CJ251" s="2">
        <v>1</v>
      </c>
      <c r="CK251" s="2">
        <v>24</v>
      </c>
      <c r="CL251" s="2" t="s">
        <v>88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"FES1162505222"</f>
        <v>FES1162505222</v>
      </c>
      <c r="F252" s="3">
        <v>42650</v>
      </c>
      <c r="G252" s="2">
        <v>201704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160</v>
      </c>
      <c r="M252" s="2" t="s">
        <v>161</v>
      </c>
      <c r="N252" s="2" t="s">
        <v>622</v>
      </c>
      <c r="O252" s="2" t="s">
        <v>96</v>
      </c>
      <c r="P252" s="2" t="str">
        <f>"2170514853                    "</f>
        <v xml:space="preserve">2170514853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4.9800000000000004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3</v>
      </c>
      <c r="BJ252" s="2">
        <v>1.9</v>
      </c>
      <c r="BK252" s="2">
        <v>3</v>
      </c>
      <c r="BL252" s="2">
        <v>61.14</v>
      </c>
      <c r="BM252" s="2">
        <v>8.56</v>
      </c>
      <c r="BN252" s="2">
        <v>69.7</v>
      </c>
      <c r="BO252" s="2">
        <v>69.7</v>
      </c>
      <c r="BP252" s="2"/>
      <c r="BQ252" s="2" t="s">
        <v>623</v>
      </c>
      <c r="BR252" s="2" t="s">
        <v>83</v>
      </c>
      <c r="BS252" s="3">
        <v>42653</v>
      </c>
      <c r="BT252" s="4">
        <v>0.42638888888888887</v>
      </c>
      <c r="BU252" s="2" t="s">
        <v>624</v>
      </c>
      <c r="BV252" s="2" t="s">
        <v>85</v>
      </c>
      <c r="BW252" s="2"/>
      <c r="BX252" s="2"/>
      <c r="BY252" s="2">
        <v>9396</v>
      </c>
      <c r="BZ252" s="2"/>
      <c r="CA252" s="2" t="s">
        <v>625</v>
      </c>
      <c r="CB252" s="2"/>
      <c r="CC252" s="2" t="s">
        <v>161</v>
      </c>
      <c r="CD252" s="2">
        <v>7490</v>
      </c>
      <c r="CE252" s="2" t="s">
        <v>86</v>
      </c>
      <c r="CF252" s="5">
        <v>42653</v>
      </c>
      <c r="CG252" s="2"/>
      <c r="CH252" s="2"/>
      <c r="CI252" s="2">
        <v>1</v>
      </c>
      <c r="CJ252" s="2">
        <v>1</v>
      </c>
      <c r="CK252" s="2">
        <v>21</v>
      </c>
      <c r="CL252" s="2" t="s">
        <v>88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"FES1162505260"</f>
        <v>FES1162505260</v>
      </c>
      <c r="F253" s="3">
        <v>42650</v>
      </c>
      <c r="G253" s="2">
        <v>201704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160</v>
      </c>
      <c r="M253" s="2" t="s">
        <v>161</v>
      </c>
      <c r="N253" s="2" t="s">
        <v>279</v>
      </c>
      <c r="O253" s="2" t="s">
        <v>96</v>
      </c>
      <c r="P253" s="2" t="str">
        <f>"2170527108                    "</f>
        <v xml:space="preserve">2170527108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3.32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1.9</v>
      </c>
      <c r="BJ253" s="2">
        <v>1.7</v>
      </c>
      <c r="BK253" s="2">
        <v>2</v>
      </c>
      <c r="BL253" s="2">
        <v>40.76</v>
      </c>
      <c r="BM253" s="2">
        <v>5.71</v>
      </c>
      <c r="BN253" s="2">
        <v>46.47</v>
      </c>
      <c r="BO253" s="2">
        <v>46.47</v>
      </c>
      <c r="BP253" s="2"/>
      <c r="BQ253" s="2" t="s">
        <v>280</v>
      </c>
      <c r="BR253" s="2" t="s">
        <v>83</v>
      </c>
      <c r="BS253" s="3">
        <v>42653</v>
      </c>
      <c r="BT253" s="4">
        <v>0.3125</v>
      </c>
      <c r="BU253" s="2" t="s">
        <v>626</v>
      </c>
      <c r="BV253" s="2" t="s">
        <v>85</v>
      </c>
      <c r="BW253" s="2"/>
      <c r="BX253" s="2"/>
      <c r="BY253" s="2">
        <v>8315.6200000000008</v>
      </c>
      <c r="BZ253" s="2"/>
      <c r="CA253" s="2"/>
      <c r="CB253" s="2"/>
      <c r="CC253" s="2" t="s">
        <v>161</v>
      </c>
      <c r="CD253" s="2">
        <v>7441</v>
      </c>
      <c r="CE253" s="2" t="s">
        <v>86</v>
      </c>
      <c r="CF253" s="5">
        <v>42654</v>
      </c>
      <c r="CG253" s="2"/>
      <c r="CH253" s="2"/>
      <c r="CI253" s="2">
        <v>1</v>
      </c>
      <c r="CJ253" s="2">
        <v>1</v>
      </c>
      <c r="CK253" s="2">
        <v>21</v>
      </c>
      <c r="CL253" s="2" t="s">
        <v>88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"FES1162505346"</f>
        <v>FES1162505346</v>
      </c>
      <c r="F254" s="3">
        <v>42650</v>
      </c>
      <c r="G254" s="2">
        <v>201704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119</v>
      </c>
      <c r="M254" s="2" t="s">
        <v>120</v>
      </c>
      <c r="N254" s="2" t="s">
        <v>186</v>
      </c>
      <c r="O254" s="2" t="s">
        <v>96</v>
      </c>
      <c r="P254" s="2" t="str">
        <f>"2170529010                    "</f>
        <v xml:space="preserve">2170529010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3.32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1</v>
      </c>
      <c r="BJ254" s="2">
        <v>0.2</v>
      </c>
      <c r="BK254" s="2">
        <v>1</v>
      </c>
      <c r="BL254" s="2">
        <v>40.76</v>
      </c>
      <c r="BM254" s="2">
        <v>5.71</v>
      </c>
      <c r="BN254" s="2">
        <v>46.47</v>
      </c>
      <c r="BO254" s="2">
        <v>46.47</v>
      </c>
      <c r="BP254" s="2"/>
      <c r="BQ254" s="2" t="s">
        <v>187</v>
      </c>
      <c r="BR254" s="2" t="s">
        <v>83</v>
      </c>
      <c r="BS254" s="3">
        <v>42653</v>
      </c>
      <c r="BT254" s="4">
        <v>0.31944444444444448</v>
      </c>
      <c r="BU254" s="2" t="s">
        <v>627</v>
      </c>
      <c r="BV254" s="2" t="s">
        <v>85</v>
      </c>
      <c r="BW254" s="2"/>
      <c r="BX254" s="2"/>
      <c r="BY254" s="2">
        <v>1200</v>
      </c>
      <c r="BZ254" s="2" t="s">
        <v>27</v>
      </c>
      <c r="CA254" s="2"/>
      <c r="CB254" s="2"/>
      <c r="CC254" s="2" t="s">
        <v>120</v>
      </c>
      <c r="CD254" s="2">
        <v>6229</v>
      </c>
      <c r="CE254" s="2" t="s">
        <v>108</v>
      </c>
      <c r="CF254" s="5">
        <v>42654</v>
      </c>
      <c r="CG254" s="2"/>
      <c r="CH254" s="2"/>
      <c r="CI254" s="2">
        <v>1</v>
      </c>
      <c r="CJ254" s="2">
        <v>1</v>
      </c>
      <c r="CK254" s="2">
        <v>21</v>
      </c>
      <c r="CL254" s="2" t="s">
        <v>88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"FES1162505076"</f>
        <v>FES1162505076</v>
      </c>
      <c r="F255" s="3">
        <v>42649</v>
      </c>
      <c r="G255" s="2">
        <v>201704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160</v>
      </c>
      <c r="M255" s="2" t="s">
        <v>161</v>
      </c>
      <c r="N255" s="2" t="s">
        <v>628</v>
      </c>
      <c r="O255" s="2" t="s">
        <v>96</v>
      </c>
      <c r="P255" s="2" t="str">
        <f>"2170528728                    "</f>
        <v xml:space="preserve">2170528728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3.32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0.2</v>
      </c>
      <c r="BK255" s="2">
        <v>1</v>
      </c>
      <c r="BL255" s="2">
        <v>40.76</v>
      </c>
      <c r="BM255" s="2">
        <v>5.71</v>
      </c>
      <c r="BN255" s="2">
        <v>46.47</v>
      </c>
      <c r="BO255" s="2">
        <v>46.47</v>
      </c>
      <c r="BP255" s="2"/>
      <c r="BQ255" s="2" t="s">
        <v>91</v>
      </c>
      <c r="BR255" s="2" t="s">
        <v>83</v>
      </c>
      <c r="BS255" s="3">
        <v>42650</v>
      </c>
      <c r="BT255" s="4">
        <v>0.41666666666666669</v>
      </c>
      <c r="BU255" s="2" t="s">
        <v>629</v>
      </c>
      <c r="BV255" s="2" t="s">
        <v>85</v>
      </c>
      <c r="BW255" s="2"/>
      <c r="BX255" s="2"/>
      <c r="BY255" s="2">
        <v>1200</v>
      </c>
      <c r="BZ255" s="2" t="s">
        <v>27</v>
      </c>
      <c r="CA255" s="2"/>
      <c r="CB255" s="2"/>
      <c r="CC255" s="2" t="s">
        <v>161</v>
      </c>
      <c r="CD255" s="2">
        <v>7441</v>
      </c>
      <c r="CE255" s="2" t="s">
        <v>108</v>
      </c>
      <c r="CF255" s="5">
        <v>42653</v>
      </c>
      <c r="CG255" s="2"/>
      <c r="CH255" s="2"/>
      <c r="CI255" s="2">
        <v>1</v>
      </c>
      <c r="CJ255" s="2">
        <v>1</v>
      </c>
      <c r="CK255" s="2">
        <v>21</v>
      </c>
      <c r="CL255" s="2" t="s">
        <v>88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"FES1162505380"</f>
        <v>FES1162505380</v>
      </c>
      <c r="F256" s="3">
        <v>42650</v>
      </c>
      <c r="G256" s="2">
        <v>201704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143</v>
      </c>
      <c r="M256" s="2" t="s">
        <v>144</v>
      </c>
      <c r="N256" s="2" t="s">
        <v>546</v>
      </c>
      <c r="O256" s="2" t="s">
        <v>96</v>
      </c>
      <c r="P256" s="2" t="str">
        <f>"2170529062                    "</f>
        <v xml:space="preserve">2170529062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3.32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1</v>
      </c>
      <c r="BJ256" s="2">
        <v>0.2</v>
      </c>
      <c r="BK256" s="2">
        <v>1</v>
      </c>
      <c r="BL256" s="2">
        <v>40.76</v>
      </c>
      <c r="BM256" s="2">
        <v>5.71</v>
      </c>
      <c r="BN256" s="2">
        <v>46.47</v>
      </c>
      <c r="BO256" s="2">
        <v>46.47</v>
      </c>
      <c r="BP256" s="2"/>
      <c r="BQ256" s="2" t="s">
        <v>91</v>
      </c>
      <c r="BR256" s="2" t="s">
        <v>83</v>
      </c>
      <c r="BS256" s="3">
        <v>42653</v>
      </c>
      <c r="BT256" s="4">
        <v>0.45</v>
      </c>
      <c r="BU256" s="2" t="s">
        <v>547</v>
      </c>
      <c r="BV256" s="2"/>
      <c r="BW256" s="2" t="s">
        <v>277</v>
      </c>
      <c r="BX256" s="2" t="s">
        <v>548</v>
      </c>
      <c r="BY256" s="2">
        <v>1200</v>
      </c>
      <c r="BZ256" s="2" t="s">
        <v>27</v>
      </c>
      <c r="CA256" s="2"/>
      <c r="CB256" s="2"/>
      <c r="CC256" s="2" t="s">
        <v>144</v>
      </c>
      <c r="CD256" s="2">
        <v>5201</v>
      </c>
      <c r="CE256" s="2" t="s">
        <v>108</v>
      </c>
      <c r="CF256" s="5">
        <v>42654</v>
      </c>
      <c r="CG256" s="2"/>
      <c r="CH256" s="2"/>
      <c r="CI256" s="2">
        <v>0</v>
      </c>
      <c r="CJ256" s="2">
        <v>0</v>
      </c>
      <c r="CK256" s="2">
        <v>21</v>
      </c>
      <c r="CL256" s="2" t="s">
        <v>88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"FES1162505172"</f>
        <v>FES1162505172</v>
      </c>
      <c r="F257" s="3">
        <v>42649</v>
      </c>
      <c r="G257" s="2">
        <v>201704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153</v>
      </c>
      <c r="M257" s="2" t="s">
        <v>153</v>
      </c>
      <c r="N257" s="2" t="s">
        <v>501</v>
      </c>
      <c r="O257" s="2" t="s">
        <v>96</v>
      </c>
      <c r="P257" s="2" t="str">
        <f>"2170528848                    "</f>
        <v xml:space="preserve">2170528848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3.32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0.2</v>
      </c>
      <c r="BK257" s="2">
        <v>1</v>
      </c>
      <c r="BL257" s="2">
        <v>40.76</v>
      </c>
      <c r="BM257" s="2">
        <v>5.71</v>
      </c>
      <c r="BN257" s="2">
        <v>46.47</v>
      </c>
      <c r="BO257" s="2">
        <v>46.47</v>
      </c>
      <c r="BP257" s="2"/>
      <c r="BQ257" s="2" t="s">
        <v>82</v>
      </c>
      <c r="BR257" s="2" t="s">
        <v>83</v>
      </c>
      <c r="BS257" s="3">
        <v>42650</v>
      </c>
      <c r="BT257" s="4">
        <v>0.41666666666666669</v>
      </c>
      <c r="BU257" s="2" t="s">
        <v>399</v>
      </c>
      <c r="BV257" s="2" t="s">
        <v>85</v>
      </c>
      <c r="BW257" s="2"/>
      <c r="BX257" s="2"/>
      <c r="BY257" s="2">
        <v>1200</v>
      </c>
      <c r="BZ257" s="2" t="s">
        <v>27</v>
      </c>
      <c r="CA257" s="2" t="s">
        <v>129</v>
      </c>
      <c r="CB257" s="2"/>
      <c r="CC257" s="2" t="s">
        <v>153</v>
      </c>
      <c r="CD257" s="2">
        <v>7620</v>
      </c>
      <c r="CE257" s="2" t="s">
        <v>108</v>
      </c>
      <c r="CF257" s="5">
        <v>42653</v>
      </c>
      <c r="CG257" s="2"/>
      <c r="CH257" s="2"/>
      <c r="CI257" s="2">
        <v>1</v>
      </c>
      <c r="CJ257" s="2">
        <v>1</v>
      </c>
      <c r="CK257" s="2">
        <v>21</v>
      </c>
      <c r="CL257" s="2" t="s">
        <v>88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"FES1162505217"</f>
        <v>FES1162505217</v>
      </c>
      <c r="F258" s="3">
        <v>42650</v>
      </c>
      <c r="G258" s="2">
        <v>201704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98</v>
      </c>
      <c r="M258" s="2" t="s">
        <v>99</v>
      </c>
      <c r="N258" s="2" t="s">
        <v>104</v>
      </c>
      <c r="O258" s="2" t="s">
        <v>96</v>
      </c>
      <c r="P258" s="2" t="str">
        <f>"2170528871                    "</f>
        <v xml:space="preserve">2170528871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3.32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1</v>
      </c>
      <c r="BJ258" s="2">
        <v>0.2</v>
      </c>
      <c r="BK258" s="2">
        <v>1</v>
      </c>
      <c r="BL258" s="2">
        <v>40.76</v>
      </c>
      <c r="BM258" s="2">
        <v>5.71</v>
      </c>
      <c r="BN258" s="2">
        <v>46.47</v>
      </c>
      <c r="BO258" s="2">
        <v>46.47</v>
      </c>
      <c r="BP258" s="2"/>
      <c r="BQ258" s="2" t="s">
        <v>105</v>
      </c>
      <c r="BR258" s="2" t="s">
        <v>83</v>
      </c>
      <c r="BS258" s="3">
        <v>42653</v>
      </c>
      <c r="BT258" s="4">
        <v>0.37847222222222227</v>
      </c>
      <c r="BU258" s="2" t="s">
        <v>106</v>
      </c>
      <c r="BV258" s="2" t="s">
        <v>85</v>
      </c>
      <c r="BW258" s="2"/>
      <c r="BX258" s="2"/>
      <c r="BY258" s="2">
        <v>1200</v>
      </c>
      <c r="BZ258" s="2" t="s">
        <v>27</v>
      </c>
      <c r="CA258" s="2" t="s">
        <v>107</v>
      </c>
      <c r="CB258" s="2"/>
      <c r="CC258" s="2" t="s">
        <v>99</v>
      </c>
      <c r="CD258" s="2">
        <v>6001</v>
      </c>
      <c r="CE258" s="2" t="s">
        <v>108</v>
      </c>
      <c r="CF258" s="5">
        <v>42653</v>
      </c>
      <c r="CG258" s="2"/>
      <c r="CH258" s="2"/>
      <c r="CI258" s="2">
        <v>1</v>
      </c>
      <c r="CJ258" s="2">
        <v>1</v>
      </c>
      <c r="CK258" s="2">
        <v>21</v>
      </c>
      <c r="CL258" s="2" t="s">
        <v>88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"FES1162505072"</f>
        <v>FES1162505072</v>
      </c>
      <c r="F259" s="3">
        <v>42649</v>
      </c>
      <c r="G259" s="2">
        <v>201704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153</v>
      </c>
      <c r="M259" s="2" t="s">
        <v>153</v>
      </c>
      <c r="N259" s="2" t="s">
        <v>343</v>
      </c>
      <c r="O259" s="2" t="s">
        <v>96</v>
      </c>
      <c r="P259" s="2" t="str">
        <f>"2170528727                    "</f>
        <v xml:space="preserve">2170528727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3.32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1</v>
      </c>
      <c r="BJ259" s="2">
        <v>0.2</v>
      </c>
      <c r="BK259" s="2">
        <v>1</v>
      </c>
      <c r="BL259" s="2">
        <v>40.76</v>
      </c>
      <c r="BM259" s="2">
        <v>5.71</v>
      </c>
      <c r="BN259" s="2">
        <v>46.47</v>
      </c>
      <c r="BO259" s="2">
        <v>46.47</v>
      </c>
      <c r="BP259" s="2"/>
      <c r="BQ259" s="2" t="s">
        <v>344</v>
      </c>
      <c r="BR259" s="2" t="s">
        <v>83</v>
      </c>
      <c r="BS259" s="3">
        <v>42650</v>
      </c>
      <c r="BT259" s="4">
        <v>0.54166666666666663</v>
      </c>
      <c r="BU259" s="2" t="s">
        <v>630</v>
      </c>
      <c r="BV259" s="2" t="s">
        <v>85</v>
      </c>
      <c r="BW259" s="2"/>
      <c r="BX259" s="2"/>
      <c r="BY259" s="2">
        <v>1200</v>
      </c>
      <c r="BZ259" s="2" t="s">
        <v>27</v>
      </c>
      <c r="CA259" s="2" t="s">
        <v>129</v>
      </c>
      <c r="CB259" s="2"/>
      <c r="CC259" s="2" t="s">
        <v>153</v>
      </c>
      <c r="CD259" s="2">
        <v>7646</v>
      </c>
      <c r="CE259" s="2" t="s">
        <v>108</v>
      </c>
      <c r="CF259" s="5">
        <v>42653</v>
      </c>
      <c r="CG259" s="2"/>
      <c r="CH259" s="2"/>
      <c r="CI259" s="2">
        <v>1</v>
      </c>
      <c r="CJ259" s="2">
        <v>1</v>
      </c>
      <c r="CK259" s="2">
        <v>21</v>
      </c>
      <c r="CL259" s="2" t="s">
        <v>88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"FES1162505322"</f>
        <v>FES1162505322</v>
      </c>
      <c r="F260" s="3">
        <v>42650</v>
      </c>
      <c r="G260" s="2">
        <v>201704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148</v>
      </c>
      <c r="M260" s="2" t="s">
        <v>149</v>
      </c>
      <c r="N260" s="2" t="s">
        <v>560</v>
      </c>
      <c r="O260" s="2" t="s">
        <v>96</v>
      </c>
      <c r="P260" s="2" t="str">
        <f>"2170528976                    "</f>
        <v xml:space="preserve">2170528976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3.32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1</v>
      </c>
      <c r="BJ260" s="2">
        <v>0.2</v>
      </c>
      <c r="BK260" s="2">
        <v>1</v>
      </c>
      <c r="BL260" s="2">
        <v>40.76</v>
      </c>
      <c r="BM260" s="2">
        <v>5.71</v>
      </c>
      <c r="BN260" s="2">
        <v>46.47</v>
      </c>
      <c r="BO260" s="2">
        <v>46.47</v>
      </c>
      <c r="BP260" s="2"/>
      <c r="BQ260" s="2" t="s">
        <v>91</v>
      </c>
      <c r="BR260" s="2" t="s">
        <v>83</v>
      </c>
      <c r="BS260" s="3">
        <v>42653</v>
      </c>
      <c r="BT260" s="4">
        <v>0.4375</v>
      </c>
      <c r="BU260" s="2" t="s">
        <v>561</v>
      </c>
      <c r="BV260" s="2"/>
      <c r="BW260" s="2"/>
      <c r="BX260" s="2"/>
      <c r="BY260" s="2">
        <v>1200</v>
      </c>
      <c r="BZ260" s="2" t="s">
        <v>27</v>
      </c>
      <c r="CA260" s="2"/>
      <c r="CB260" s="2"/>
      <c r="CC260" s="2" t="s">
        <v>149</v>
      </c>
      <c r="CD260" s="2">
        <v>4001</v>
      </c>
      <c r="CE260" s="2" t="s">
        <v>108</v>
      </c>
      <c r="CF260" s="5">
        <v>42654</v>
      </c>
      <c r="CG260" s="2"/>
      <c r="CH260" s="2"/>
      <c r="CI260" s="2">
        <v>0</v>
      </c>
      <c r="CJ260" s="2">
        <v>0</v>
      </c>
      <c r="CK260" s="2">
        <v>21</v>
      </c>
      <c r="CL260" s="2" t="s">
        <v>88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"FES1162504955"</f>
        <v>FES1162504955</v>
      </c>
      <c r="F261" s="3">
        <v>42649</v>
      </c>
      <c r="G261" s="2">
        <v>201704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218</v>
      </c>
      <c r="M261" s="2" t="s">
        <v>219</v>
      </c>
      <c r="N261" s="2" t="s">
        <v>220</v>
      </c>
      <c r="O261" s="2" t="s">
        <v>96</v>
      </c>
      <c r="P261" s="2" t="str">
        <f>"2170528179                    "</f>
        <v xml:space="preserve">2170528179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3.32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1</v>
      </c>
      <c r="BJ261" s="2">
        <v>0.8</v>
      </c>
      <c r="BK261" s="2">
        <v>1</v>
      </c>
      <c r="BL261" s="2">
        <v>40.76</v>
      </c>
      <c r="BM261" s="2">
        <v>5.71</v>
      </c>
      <c r="BN261" s="2">
        <v>46.47</v>
      </c>
      <c r="BO261" s="2">
        <v>46.47</v>
      </c>
      <c r="BP261" s="2"/>
      <c r="BQ261" s="2" t="s">
        <v>91</v>
      </c>
      <c r="BR261" s="2" t="s">
        <v>83</v>
      </c>
      <c r="BS261" s="3">
        <v>42650</v>
      </c>
      <c r="BT261" s="4">
        <v>0.37222222222222223</v>
      </c>
      <c r="BU261" s="2" t="s">
        <v>631</v>
      </c>
      <c r="BV261" s="2" t="s">
        <v>85</v>
      </c>
      <c r="BW261" s="2"/>
      <c r="BX261" s="2"/>
      <c r="BY261" s="2">
        <v>3854.94</v>
      </c>
      <c r="BZ261" s="2" t="s">
        <v>27</v>
      </c>
      <c r="CA261" s="2"/>
      <c r="CB261" s="2"/>
      <c r="CC261" s="2" t="s">
        <v>219</v>
      </c>
      <c r="CD261" s="2">
        <v>7600</v>
      </c>
      <c r="CE261" s="2" t="s">
        <v>108</v>
      </c>
      <c r="CF261" s="5">
        <v>42653</v>
      </c>
      <c r="CG261" s="2"/>
      <c r="CH261" s="2"/>
      <c r="CI261" s="2">
        <v>1</v>
      </c>
      <c r="CJ261" s="2">
        <v>1</v>
      </c>
      <c r="CK261" s="2">
        <v>21</v>
      </c>
      <c r="CL261" s="2" t="s">
        <v>88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"FES1162505315"</f>
        <v>FES1162505315</v>
      </c>
      <c r="F262" s="3">
        <v>42650</v>
      </c>
      <c r="G262" s="2">
        <v>201704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148</v>
      </c>
      <c r="M262" s="2" t="s">
        <v>149</v>
      </c>
      <c r="N262" s="2" t="s">
        <v>560</v>
      </c>
      <c r="O262" s="2" t="s">
        <v>96</v>
      </c>
      <c r="P262" s="2" t="str">
        <f>"2170528971                    "</f>
        <v xml:space="preserve">2170528971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4.1500000000000004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2.1</v>
      </c>
      <c r="BJ262" s="2">
        <v>0.9</v>
      </c>
      <c r="BK262" s="2">
        <v>2.5</v>
      </c>
      <c r="BL262" s="2">
        <v>50.95</v>
      </c>
      <c r="BM262" s="2">
        <v>7.13</v>
      </c>
      <c r="BN262" s="2">
        <v>58.08</v>
      </c>
      <c r="BO262" s="2">
        <v>58.08</v>
      </c>
      <c r="BP262" s="2"/>
      <c r="BQ262" s="2" t="s">
        <v>91</v>
      </c>
      <c r="BR262" s="2" t="s">
        <v>83</v>
      </c>
      <c r="BS262" s="3">
        <v>42653</v>
      </c>
      <c r="BT262" s="4">
        <v>0.4375</v>
      </c>
      <c r="BU262" s="2" t="s">
        <v>561</v>
      </c>
      <c r="BV262" s="2"/>
      <c r="BW262" s="2"/>
      <c r="BX262" s="2"/>
      <c r="BY262" s="2">
        <v>4641.41</v>
      </c>
      <c r="BZ262" s="2" t="s">
        <v>27</v>
      </c>
      <c r="CA262" s="2"/>
      <c r="CB262" s="2"/>
      <c r="CC262" s="2" t="s">
        <v>149</v>
      </c>
      <c r="CD262" s="2">
        <v>4001</v>
      </c>
      <c r="CE262" s="2" t="s">
        <v>368</v>
      </c>
      <c r="CF262" s="5">
        <v>42656</v>
      </c>
      <c r="CG262" s="2"/>
      <c r="CH262" s="2"/>
      <c r="CI262" s="2">
        <v>0</v>
      </c>
      <c r="CJ262" s="2">
        <v>0</v>
      </c>
      <c r="CK262" s="2">
        <v>21</v>
      </c>
      <c r="CL262" s="2" t="s">
        <v>88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"FES1162505049"</f>
        <v>FES1162505049</v>
      </c>
      <c r="F263" s="3">
        <v>42649</v>
      </c>
      <c r="G263" s="2">
        <v>201704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148</v>
      </c>
      <c r="M263" s="2" t="s">
        <v>149</v>
      </c>
      <c r="N263" s="2" t="s">
        <v>632</v>
      </c>
      <c r="O263" s="2" t="s">
        <v>96</v>
      </c>
      <c r="P263" s="2" t="str">
        <f>"2170528706                    "</f>
        <v xml:space="preserve">2170528706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3.32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40.76</v>
      </c>
      <c r="BM263" s="2">
        <v>5.71</v>
      </c>
      <c r="BN263" s="2">
        <v>46.47</v>
      </c>
      <c r="BO263" s="2">
        <v>46.47</v>
      </c>
      <c r="BP263" s="2"/>
      <c r="BQ263" s="2" t="s">
        <v>633</v>
      </c>
      <c r="BR263" s="2" t="s">
        <v>83</v>
      </c>
      <c r="BS263" s="3">
        <v>42650</v>
      </c>
      <c r="BT263" s="4">
        <v>0.43055555555555558</v>
      </c>
      <c r="BU263" s="2" t="s">
        <v>634</v>
      </c>
      <c r="BV263" s="2" t="s">
        <v>85</v>
      </c>
      <c r="BW263" s="2"/>
      <c r="BX263" s="2"/>
      <c r="BY263" s="2">
        <v>1200</v>
      </c>
      <c r="BZ263" s="2" t="s">
        <v>27</v>
      </c>
      <c r="CA263" s="2"/>
      <c r="CB263" s="2"/>
      <c r="CC263" s="2" t="s">
        <v>149</v>
      </c>
      <c r="CD263" s="2">
        <v>4068</v>
      </c>
      <c r="CE263" s="2" t="s">
        <v>108</v>
      </c>
      <c r="CF263" s="5">
        <v>42653</v>
      </c>
      <c r="CG263" s="2"/>
      <c r="CH263" s="2"/>
      <c r="CI263" s="2">
        <v>1</v>
      </c>
      <c r="CJ263" s="2">
        <v>1</v>
      </c>
      <c r="CK263" s="2">
        <v>21</v>
      </c>
      <c r="CL263" s="2" t="s">
        <v>88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"FES1162505352"</f>
        <v>FES1162505352</v>
      </c>
      <c r="F264" s="3">
        <v>42650</v>
      </c>
      <c r="G264" s="2">
        <v>201704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153</v>
      </c>
      <c r="M264" s="2" t="s">
        <v>153</v>
      </c>
      <c r="N264" s="2" t="s">
        <v>343</v>
      </c>
      <c r="O264" s="2" t="s">
        <v>96</v>
      </c>
      <c r="P264" s="2" t="str">
        <f>"2170529021                    "</f>
        <v xml:space="preserve">2170529021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3.32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40.76</v>
      </c>
      <c r="BM264" s="2">
        <v>5.71</v>
      </c>
      <c r="BN264" s="2">
        <v>46.47</v>
      </c>
      <c r="BO264" s="2">
        <v>46.47</v>
      </c>
      <c r="BP264" s="2"/>
      <c r="BQ264" s="2" t="s">
        <v>344</v>
      </c>
      <c r="BR264" s="2" t="s">
        <v>83</v>
      </c>
      <c r="BS264" s="3">
        <v>42653</v>
      </c>
      <c r="BT264" s="4">
        <v>0.44444444444444442</v>
      </c>
      <c r="BU264" s="2" t="s">
        <v>458</v>
      </c>
      <c r="BV264" s="2" t="s">
        <v>85</v>
      </c>
      <c r="BW264" s="2"/>
      <c r="BX264" s="2"/>
      <c r="BY264" s="2">
        <v>1200</v>
      </c>
      <c r="BZ264" s="2"/>
      <c r="CA264" s="2"/>
      <c r="CB264" s="2"/>
      <c r="CC264" s="2" t="s">
        <v>153</v>
      </c>
      <c r="CD264" s="2">
        <v>7646</v>
      </c>
      <c r="CE264" s="2" t="s">
        <v>108</v>
      </c>
      <c r="CF264" s="5">
        <v>42654</v>
      </c>
      <c r="CG264" s="2"/>
      <c r="CH264" s="2"/>
      <c r="CI264" s="2">
        <v>1</v>
      </c>
      <c r="CJ264" s="2">
        <v>1</v>
      </c>
      <c r="CK264" s="2">
        <v>21</v>
      </c>
      <c r="CL264" s="2" t="s">
        <v>88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"FES1162504988"</f>
        <v>FES1162504988</v>
      </c>
      <c r="F265" s="3">
        <v>42649</v>
      </c>
      <c r="G265" s="2">
        <v>201704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153</v>
      </c>
      <c r="M265" s="2" t="s">
        <v>153</v>
      </c>
      <c r="N265" s="2" t="s">
        <v>353</v>
      </c>
      <c r="O265" s="2" t="s">
        <v>96</v>
      </c>
      <c r="P265" s="2" t="str">
        <f>"2170528620                    "</f>
        <v xml:space="preserve">2170528620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4.1500000000000004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1</v>
      </c>
      <c r="BJ265" s="2">
        <v>2.5</v>
      </c>
      <c r="BK265" s="2">
        <v>2.5</v>
      </c>
      <c r="BL265" s="2">
        <v>50.95</v>
      </c>
      <c r="BM265" s="2">
        <v>7.13</v>
      </c>
      <c r="BN265" s="2">
        <v>58.08</v>
      </c>
      <c r="BO265" s="2">
        <v>58.08</v>
      </c>
      <c r="BP265" s="2"/>
      <c r="BQ265" s="2" t="s">
        <v>354</v>
      </c>
      <c r="BR265" s="2" t="s">
        <v>83</v>
      </c>
      <c r="BS265" s="3">
        <v>42650</v>
      </c>
      <c r="BT265" s="4">
        <v>0.54513888888888895</v>
      </c>
      <c r="BU265" s="2" t="s">
        <v>635</v>
      </c>
      <c r="BV265" s="2" t="s">
        <v>85</v>
      </c>
      <c r="BW265" s="2"/>
      <c r="BX265" s="2"/>
      <c r="BY265" s="2">
        <v>12481.7</v>
      </c>
      <c r="BZ265" s="2" t="s">
        <v>27</v>
      </c>
      <c r="CA265" s="2"/>
      <c r="CB265" s="2"/>
      <c r="CC265" s="2" t="s">
        <v>153</v>
      </c>
      <c r="CD265" s="2">
        <v>7646</v>
      </c>
      <c r="CE265" s="2" t="s">
        <v>108</v>
      </c>
      <c r="CF265" s="5">
        <v>42653</v>
      </c>
      <c r="CG265" s="2"/>
      <c r="CH265" s="2"/>
      <c r="CI265" s="2">
        <v>1</v>
      </c>
      <c r="CJ265" s="2">
        <v>1</v>
      </c>
      <c r="CK265" s="2">
        <v>21</v>
      </c>
      <c r="CL265" s="2" t="s">
        <v>88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"FES1162505327"</f>
        <v>FES1162505327</v>
      </c>
      <c r="F266" s="3">
        <v>42650</v>
      </c>
      <c r="G266" s="2">
        <v>201704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98</v>
      </c>
      <c r="M266" s="2" t="s">
        <v>99</v>
      </c>
      <c r="N266" s="2" t="s">
        <v>133</v>
      </c>
      <c r="O266" s="2" t="s">
        <v>96</v>
      </c>
      <c r="P266" s="2" t="str">
        <f>"2170528989                    "</f>
        <v xml:space="preserve">2170528989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3.32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</v>
      </c>
      <c r="BJ266" s="2">
        <v>0.2</v>
      </c>
      <c r="BK266" s="2">
        <v>1</v>
      </c>
      <c r="BL266" s="2">
        <v>40.76</v>
      </c>
      <c r="BM266" s="2">
        <v>5.71</v>
      </c>
      <c r="BN266" s="2">
        <v>46.47</v>
      </c>
      <c r="BO266" s="2">
        <v>46.47</v>
      </c>
      <c r="BP266" s="2"/>
      <c r="BQ266" s="2" t="s">
        <v>134</v>
      </c>
      <c r="BR266" s="2" t="s">
        <v>83</v>
      </c>
      <c r="BS266" s="3">
        <v>42653</v>
      </c>
      <c r="BT266" s="4">
        <v>0.30208333333333331</v>
      </c>
      <c r="BU266" s="2" t="s">
        <v>562</v>
      </c>
      <c r="BV266" s="2" t="s">
        <v>85</v>
      </c>
      <c r="BW266" s="2"/>
      <c r="BX266" s="2"/>
      <c r="BY266" s="2">
        <v>1200</v>
      </c>
      <c r="BZ266" s="2"/>
      <c r="CA266" s="2" t="s">
        <v>437</v>
      </c>
      <c r="CB266" s="2"/>
      <c r="CC266" s="2" t="s">
        <v>99</v>
      </c>
      <c r="CD266" s="2">
        <v>6001</v>
      </c>
      <c r="CE266" s="2" t="s">
        <v>108</v>
      </c>
      <c r="CF266" s="5">
        <v>42653</v>
      </c>
      <c r="CG266" s="2"/>
      <c r="CH266" s="2"/>
      <c r="CI266" s="2">
        <v>1</v>
      </c>
      <c r="CJ266" s="2">
        <v>1</v>
      </c>
      <c r="CK266" s="2">
        <v>21</v>
      </c>
      <c r="CL266" s="2" t="s">
        <v>88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"FES1162504985"</f>
        <v>FES1162504985</v>
      </c>
      <c r="F267" s="3">
        <v>42649</v>
      </c>
      <c r="G267" s="2">
        <v>201704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153</v>
      </c>
      <c r="M267" s="2" t="s">
        <v>153</v>
      </c>
      <c r="N267" s="2" t="s">
        <v>154</v>
      </c>
      <c r="O267" s="2" t="s">
        <v>96</v>
      </c>
      <c r="P267" s="2" t="str">
        <f>"2170528606                    "</f>
        <v xml:space="preserve">2170528606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3.32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</v>
      </c>
      <c r="BJ267" s="2">
        <v>0.2</v>
      </c>
      <c r="BK267" s="2">
        <v>1</v>
      </c>
      <c r="BL267" s="2">
        <v>40.76</v>
      </c>
      <c r="BM267" s="2">
        <v>5.71</v>
      </c>
      <c r="BN267" s="2">
        <v>46.47</v>
      </c>
      <c r="BO267" s="2">
        <v>46.47</v>
      </c>
      <c r="BP267" s="2"/>
      <c r="BQ267" s="2" t="s">
        <v>117</v>
      </c>
      <c r="BR267" s="2" t="s">
        <v>83</v>
      </c>
      <c r="BS267" s="3">
        <v>42650</v>
      </c>
      <c r="BT267" s="4">
        <v>0.55208333333333337</v>
      </c>
      <c r="BU267" s="2" t="s">
        <v>636</v>
      </c>
      <c r="BV267" s="2" t="s">
        <v>85</v>
      </c>
      <c r="BW267" s="2"/>
      <c r="BX267" s="2"/>
      <c r="BY267" s="2">
        <v>1200</v>
      </c>
      <c r="BZ267" s="2" t="s">
        <v>27</v>
      </c>
      <c r="CA267" s="2"/>
      <c r="CB267" s="2"/>
      <c r="CC267" s="2" t="s">
        <v>153</v>
      </c>
      <c r="CD267" s="2">
        <v>7646</v>
      </c>
      <c r="CE267" s="2" t="s">
        <v>108</v>
      </c>
      <c r="CF267" s="5">
        <v>42653</v>
      </c>
      <c r="CG267" s="2"/>
      <c r="CH267" s="2"/>
      <c r="CI267" s="2">
        <v>1</v>
      </c>
      <c r="CJ267" s="2">
        <v>1</v>
      </c>
      <c r="CK267" s="2">
        <v>21</v>
      </c>
      <c r="CL267" s="2" t="s">
        <v>88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"FES1162505347"</f>
        <v>FES1162505347</v>
      </c>
      <c r="F268" s="3">
        <v>42650</v>
      </c>
      <c r="G268" s="2">
        <v>201704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98</v>
      </c>
      <c r="M268" s="2" t="s">
        <v>99</v>
      </c>
      <c r="N268" s="2" t="s">
        <v>350</v>
      </c>
      <c r="O268" s="2" t="s">
        <v>96</v>
      </c>
      <c r="P268" s="2" t="str">
        <f>"2170529011                    "</f>
        <v xml:space="preserve">2170529011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5.81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1.5</v>
      </c>
      <c r="BJ268" s="2">
        <v>3.3</v>
      </c>
      <c r="BK268" s="2">
        <v>3.5</v>
      </c>
      <c r="BL268" s="2">
        <v>71.33</v>
      </c>
      <c r="BM268" s="2">
        <v>9.99</v>
      </c>
      <c r="BN268" s="2">
        <v>81.319999999999993</v>
      </c>
      <c r="BO268" s="2">
        <v>81.319999999999993</v>
      </c>
      <c r="BP268" s="2"/>
      <c r="BQ268" s="2" t="s">
        <v>351</v>
      </c>
      <c r="BR268" s="2" t="s">
        <v>83</v>
      </c>
      <c r="BS268" s="3">
        <v>42653</v>
      </c>
      <c r="BT268" s="4">
        <v>0.36805555555555558</v>
      </c>
      <c r="BU268" s="2" t="s">
        <v>637</v>
      </c>
      <c r="BV268" s="2" t="s">
        <v>85</v>
      </c>
      <c r="BW268" s="2"/>
      <c r="BX268" s="2"/>
      <c r="BY268" s="2">
        <v>16531.2</v>
      </c>
      <c r="BZ268" s="2" t="s">
        <v>27</v>
      </c>
      <c r="CA268" s="2" t="s">
        <v>107</v>
      </c>
      <c r="CB268" s="2"/>
      <c r="CC268" s="2" t="s">
        <v>99</v>
      </c>
      <c r="CD268" s="2">
        <v>6001</v>
      </c>
      <c r="CE268" s="2" t="s">
        <v>108</v>
      </c>
      <c r="CF268" s="5">
        <v>42653</v>
      </c>
      <c r="CG268" s="2"/>
      <c r="CH268" s="2"/>
      <c r="CI268" s="2">
        <v>1</v>
      </c>
      <c r="CJ268" s="2">
        <v>1</v>
      </c>
      <c r="CK268" s="2">
        <v>21</v>
      </c>
      <c r="CL268" s="2" t="s">
        <v>88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"FES1162504959"</f>
        <v>FES1162504959</v>
      </c>
      <c r="F269" s="3">
        <v>42649</v>
      </c>
      <c r="G269" s="2">
        <v>201704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218</v>
      </c>
      <c r="M269" s="2" t="s">
        <v>219</v>
      </c>
      <c r="N269" s="2" t="s">
        <v>220</v>
      </c>
      <c r="O269" s="2" t="s">
        <v>96</v>
      </c>
      <c r="P269" s="2" t="str">
        <f>"2170528472                    "</f>
        <v xml:space="preserve">2170528472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3.32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</v>
      </c>
      <c r="BJ269" s="2">
        <v>0.2</v>
      </c>
      <c r="BK269" s="2">
        <v>1</v>
      </c>
      <c r="BL269" s="2">
        <v>40.76</v>
      </c>
      <c r="BM269" s="2">
        <v>5.71</v>
      </c>
      <c r="BN269" s="2">
        <v>46.47</v>
      </c>
      <c r="BO269" s="2">
        <v>46.47</v>
      </c>
      <c r="BP269" s="2"/>
      <c r="BQ269" s="2" t="s">
        <v>91</v>
      </c>
      <c r="BR269" s="2" t="s">
        <v>83</v>
      </c>
      <c r="BS269" s="3">
        <v>42650</v>
      </c>
      <c r="BT269" s="4">
        <v>0.37222222222222223</v>
      </c>
      <c r="BU269" s="2" t="s">
        <v>631</v>
      </c>
      <c r="BV269" s="2" t="s">
        <v>85</v>
      </c>
      <c r="BW269" s="2"/>
      <c r="BX269" s="2"/>
      <c r="BY269" s="2">
        <v>1200</v>
      </c>
      <c r="BZ269" s="2" t="s">
        <v>27</v>
      </c>
      <c r="CA269" s="2"/>
      <c r="CB269" s="2"/>
      <c r="CC269" s="2" t="s">
        <v>219</v>
      </c>
      <c r="CD269" s="2">
        <v>7600</v>
      </c>
      <c r="CE269" s="2" t="s">
        <v>108</v>
      </c>
      <c r="CF269" s="5">
        <v>42653</v>
      </c>
      <c r="CG269" s="2"/>
      <c r="CH269" s="2"/>
      <c r="CI269" s="2">
        <v>1</v>
      </c>
      <c r="CJ269" s="2">
        <v>1</v>
      </c>
      <c r="CK269" s="2">
        <v>21</v>
      </c>
      <c r="CL269" s="2" t="s">
        <v>88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"FES1162505305"</f>
        <v>FES1162505305</v>
      </c>
      <c r="F270" s="3">
        <v>42650</v>
      </c>
      <c r="G270" s="2">
        <v>201704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98</v>
      </c>
      <c r="M270" s="2" t="s">
        <v>99</v>
      </c>
      <c r="N270" s="2" t="s">
        <v>638</v>
      </c>
      <c r="O270" s="2" t="s">
        <v>96</v>
      </c>
      <c r="P270" s="2" t="str">
        <f>"2170528646                    "</f>
        <v xml:space="preserve">2170528646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3.32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1.5</v>
      </c>
      <c r="BJ270" s="2">
        <v>0.2</v>
      </c>
      <c r="BK270" s="2">
        <v>1.5</v>
      </c>
      <c r="BL270" s="2">
        <v>40.76</v>
      </c>
      <c r="BM270" s="2">
        <v>5.71</v>
      </c>
      <c r="BN270" s="2">
        <v>46.47</v>
      </c>
      <c r="BO270" s="2">
        <v>46.47</v>
      </c>
      <c r="BP270" s="2"/>
      <c r="BQ270" s="2" t="s">
        <v>639</v>
      </c>
      <c r="BR270" s="2" t="s">
        <v>83</v>
      </c>
      <c r="BS270" s="3">
        <v>42653</v>
      </c>
      <c r="BT270" s="4">
        <v>0.34375</v>
      </c>
      <c r="BU270" s="2" t="s">
        <v>640</v>
      </c>
      <c r="BV270" s="2"/>
      <c r="BW270" s="2"/>
      <c r="BX270" s="2"/>
      <c r="BY270" s="2">
        <v>1200</v>
      </c>
      <c r="BZ270" s="2"/>
      <c r="CA270" s="2" t="s">
        <v>437</v>
      </c>
      <c r="CB270" s="2"/>
      <c r="CC270" s="2" t="s">
        <v>99</v>
      </c>
      <c r="CD270" s="2">
        <v>6001</v>
      </c>
      <c r="CE270" s="2" t="s">
        <v>108</v>
      </c>
      <c r="CF270" s="5">
        <v>42653</v>
      </c>
      <c r="CG270" s="2"/>
      <c r="CH270" s="2"/>
      <c r="CI270" s="2">
        <v>0</v>
      </c>
      <c r="CJ270" s="2">
        <v>0</v>
      </c>
      <c r="CK270" s="2">
        <v>21</v>
      </c>
      <c r="CL270" s="2" t="s">
        <v>88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"FES1162505137"</f>
        <v>FES1162505137</v>
      </c>
      <c r="F271" s="3">
        <v>42649</v>
      </c>
      <c r="G271" s="2">
        <v>201704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124</v>
      </c>
      <c r="M271" s="2" t="s">
        <v>125</v>
      </c>
      <c r="N271" s="2" t="s">
        <v>641</v>
      </c>
      <c r="O271" s="2" t="s">
        <v>96</v>
      </c>
      <c r="P271" s="2" t="str">
        <f>"2170528805                    "</f>
        <v xml:space="preserve">2170528805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3.32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40.76</v>
      </c>
      <c r="BM271" s="2">
        <v>5.71</v>
      </c>
      <c r="BN271" s="2">
        <v>46.47</v>
      </c>
      <c r="BO271" s="2">
        <v>46.47</v>
      </c>
      <c r="BP271" s="2"/>
      <c r="BQ271" s="2" t="s">
        <v>168</v>
      </c>
      <c r="BR271" s="2" t="s">
        <v>83</v>
      </c>
      <c r="BS271" s="3">
        <v>42650</v>
      </c>
      <c r="BT271" s="4">
        <v>0.39930555555555558</v>
      </c>
      <c r="BU271" s="2" t="s">
        <v>642</v>
      </c>
      <c r="BV271" s="2" t="s">
        <v>85</v>
      </c>
      <c r="BW271" s="2"/>
      <c r="BX271" s="2"/>
      <c r="BY271" s="2">
        <v>1200</v>
      </c>
      <c r="BZ271" s="2" t="s">
        <v>27</v>
      </c>
      <c r="CA271" s="2"/>
      <c r="CB271" s="2"/>
      <c r="CC271" s="2" t="s">
        <v>125</v>
      </c>
      <c r="CD271" s="2">
        <v>7140</v>
      </c>
      <c r="CE271" s="2" t="s">
        <v>108</v>
      </c>
      <c r="CF271" s="5">
        <v>42653</v>
      </c>
      <c r="CG271" s="2"/>
      <c r="CH271" s="2"/>
      <c r="CI271" s="2">
        <v>1</v>
      </c>
      <c r="CJ271" s="2">
        <v>1</v>
      </c>
      <c r="CK271" s="2">
        <v>21</v>
      </c>
      <c r="CL271" s="2" t="s">
        <v>88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"FES1162504965"</f>
        <v>FES1162504965</v>
      </c>
      <c r="F272" s="3">
        <v>42650</v>
      </c>
      <c r="G272" s="2">
        <v>201704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207</v>
      </c>
      <c r="M272" s="2" t="s">
        <v>208</v>
      </c>
      <c r="N272" s="2" t="s">
        <v>209</v>
      </c>
      <c r="O272" s="2" t="s">
        <v>96</v>
      </c>
      <c r="P272" s="2" t="str">
        <f>"2170528602                    "</f>
        <v xml:space="preserve">2170528602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9.9499999999999993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5.7</v>
      </c>
      <c r="BJ272" s="2">
        <v>3.3</v>
      </c>
      <c r="BK272" s="2">
        <v>6</v>
      </c>
      <c r="BL272" s="2">
        <v>122.27</v>
      </c>
      <c r="BM272" s="2">
        <v>17.12</v>
      </c>
      <c r="BN272" s="2">
        <v>139.38999999999999</v>
      </c>
      <c r="BO272" s="2">
        <v>139.38999999999999</v>
      </c>
      <c r="BP272" s="2"/>
      <c r="BQ272" s="2" t="s">
        <v>168</v>
      </c>
      <c r="BR272" s="2" t="s">
        <v>83</v>
      </c>
      <c r="BS272" s="3">
        <v>42653</v>
      </c>
      <c r="BT272" s="4">
        <v>0.4375</v>
      </c>
      <c r="BU272" s="2" t="s">
        <v>238</v>
      </c>
      <c r="BV272" s="2" t="s">
        <v>85</v>
      </c>
      <c r="BW272" s="2"/>
      <c r="BX272" s="2"/>
      <c r="BY272" s="2">
        <v>16353.26</v>
      </c>
      <c r="BZ272" s="2" t="s">
        <v>27</v>
      </c>
      <c r="CA272" s="2"/>
      <c r="CB272" s="2"/>
      <c r="CC272" s="2" t="s">
        <v>208</v>
      </c>
      <c r="CD272" s="2">
        <v>4113</v>
      </c>
      <c r="CE272" s="2" t="s">
        <v>86</v>
      </c>
      <c r="CF272" s="5">
        <v>42654</v>
      </c>
      <c r="CG272" s="2"/>
      <c r="CH272" s="2"/>
      <c r="CI272" s="2">
        <v>1</v>
      </c>
      <c r="CJ272" s="2">
        <v>1</v>
      </c>
      <c r="CK272" s="2">
        <v>21</v>
      </c>
      <c r="CL272" s="2" t="s">
        <v>88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"FES1162505085"</f>
        <v>FES1162505085</v>
      </c>
      <c r="F273" s="3">
        <v>42649</v>
      </c>
      <c r="G273" s="2">
        <v>201704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160</v>
      </c>
      <c r="M273" s="2" t="s">
        <v>161</v>
      </c>
      <c r="N273" s="2" t="s">
        <v>643</v>
      </c>
      <c r="O273" s="2" t="s">
        <v>96</v>
      </c>
      <c r="P273" s="2" t="str">
        <f>"2170528746                    "</f>
        <v xml:space="preserve">2170528746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3.32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</v>
      </c>
      <c r="BJ273" s="2">
        <v>0.2</v>
      </c>
      <c r="BK273" s="2">
        <v>1</v>
      </c>
      <c r="BL273" s="2">
        <v>40.76</v>
      </c>
      <c r="BM273" s="2">
        <v>5.71</v>
      </c>
      <c r="BN273" s="2">
        <v>46.47</v>
      </c>
      <c r="BO273" s="2">
        <v>46.47</v>
      </c>
      <c r="BP273" s="2"/>
      <c r="BQ273" s="2" t="s">
        <v>644</v>
      </c>
      <c r="BR273" s="2" t="s">
        <v>83</v>
      </c>
      <c r="BS273" s="3">
        <v>42650</v>
      </c>
      <c r="BT273" s="4">
        <v>0.41666666666666669</v>
      </c>
      <c r="BU273" s="2" t="s">
        <v>645</v>
      </c>
      <c r="BV273" s="2" t="s">
        <v>85</v>
      </c>
      <c r="BW273" s="2"/>
      <c r="BX273" s="2"/>
      <c r="BY273" s="2">
        <v>1200</v>
      </c>
      <c r="BZ273" s="2" t="s">
        <v>27</v>
      </c>
      <c r="CA273" s="2" t="s">
        <v>129</v>
      </c>
      <c r="CB273" s="2"/>
      <c r="CC273" s="2" t="s">
        <v>161</v>
      </c>
      <c r="CD273" s="2">
        <v>7925</v>
      </c>
      <c r="CE273" s="2" t="s">
        <v>108</v>
      </c>
      <c r="CF273" s="5">
        <v>42653</v>
      </c>
      <c r="CG273" s="2"/>
      <c r="CH273" s="2"/>
      <c r="CI273" s="2">
        <v>1</v>
      </c>
      <c r="CJ273" s="2">
        <v>1</v>
      </c>
      <c r="CK273" s="2">
        <v>21</v>
      </c>
      <c r="CL273" s="2" t="s">
        <v>88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"FES1162505225"</f>
        <v>FES1162505225</v>
      </c>
      <c r="F274" s="3">
        <v>42650</v>
      </c>
      <c r="G274" s="2">
        <v>201704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160</v>
      </c>
      <c r="M274" s="2" t="s">
        <v>161</v>
      </c>
      <c r="N274" s="2" t="s">
        <v>646</v>
      </c>
      <c r="O274" s="2" t="s">
        <v>96</v>
      </c>
      <c r="P274" s="2" t="str">
        <f>"2170528876                    "</f>
        <v xml:space="preserve">2170528876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3.32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2</v>
      </c>
      <c r="BJ274" s="2">
        <v>0.2</v>
      </c>
      <c r="BK274" s="2">
        <v>2</v>
      </c>
      <c r="BL274" s="2">
        <v>40.76</v>
      </c>
      <c r="BM274" s="2">
        <v>5.71</v>
      </c>
      <c r="BN274" s="2">
        <v>46.47</v>
      </c>
      <c r="BO274" s="2">
        <v>46.47</v>
      </c>
      <c r="BP274" s="2"/>
      <c r="BQ274" s="2" t="s">
        <v>508</v>
      </c>
      <c r="BR274" s="2" t="s">
        <v>83</v>
      </c>
      <c r="BS274" s="3">
        <v>42653</v>
      </c>
      <c r="BT274" s="4">
        <v>0.54305555555555551</v>
      </c>
      <c r="BU274" s="2" t="s">
        <v>508</v>
      </c>
      <c r="BV274" s="2" t="s">
        <v>88</v>
      </c>
      <c r="BW274" s="2" t="s">
        <v>222</v>
      </c>
      <c r="BX274" s="2" t="s">
        <v>223</v>
      </c>
      <c r="BY274" s="2">
        <v>1200</v>
      </c>
      <c r="BZ274" s="2"/>
      <c r="CA274" s="2" t="s">
        <v>316</v>
      </c>
      <c r="CB274" s="2"/>
      <c r="CC274" s="2" t="s">
        <v>161</v>
      </c>
      <c r="CD274" s="2">
        <v>7550</v>
      </c>
      <c r="CE274" s="2" t="s">
        <v>108</v>
      </c>
      <c r="CF274" s="5">
        <v>42653</v>
      </c>
      <c r="CG274" s="2"/>
      <c r="CH274" s="2"/>
      <c r="CI274" s="2">
        <v>1</v>
      </c>
      <c r="CJ274" s="2">
        <v>1</v>
      </c>
      <c r="CK274" s="2">
        <v>21</v>
      </c>
      <c r="CL274" s="2" t="s">
        <v>88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"FES1162505094"</f>
        <v>FES1162505094</v>
      </c>
      <c r="F275" s="3">
        <v>42649</v>
      </c>
      <c r="G275" s="2">
        <v>201704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160</v>
      </c>
      <c r="M275" s="2" t="s">
        <v>161</v>
      </c>
      <c r="N275" s="2" t="s">
        <v>176</v>
      </c>
      <c r="O275" s="2" t="s">
        <v>96</v>
      </c>
      <c r="P275" s="2" t="str">
        <f>"2170528755                    "</f>
        <v xml:space="preserve">2170528755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9.1199999999999992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4</v>
      </c>
      <c r="BJ275" s="2">
        <v>5.2</v>
      </c>
      <c r="BK275" s="2">
        <v>5.5</v>
      </c>
      <c r="BL275" s="2">
        <v>112.08</v>
      </c>
      <c r="BM275" s="2">
        <v>15.69</v>
      </c>
      <c r="BN275" s="2">
        <v>127.77</v>
      </c>
      <c r="BO275" s="2">
        <v>127.77</v>
      </c>
      <c r="BP275" s="2"/>
      <c r="BQ275" s="2" t="s">
        <v>258</v>
      </c>
      <c r="BR275" s="2" t="s">
        <v>83</v>
      </c>
      <c r="BS275" s="3">
        <v>42650</v>
      </c>
      <c r="BT275" s="4">
        <v>0.41666666666666669</v>
      </c>
      <c r="BU275" s="2" t="s">
        <v>146</v>
      </c>
      <c r="BV275" s="2" t="s">
        <v>85</v>
      </c>
      <c r="BW275" s="2"/>
      <c r="BX275" s="2"/>
      <c r="BY275" s="2">
        <v>25984</v>
      </c>
      <c r="BZ275" s="2" t="s">
        <v>27</v>
      </c>
      <c r="CA275" s="2"/>
      <c r="CB275" s="2"/>
      <c r="CC275" s="2" t="s">
        <v>161</v>
      </c>
      <c r="CD275" s="2">
        <v>7405</v>
      </c>
      <c r="CE275" s="2" t="s">
        <v>86</v>
      </c>
      <c r="CF275" s="5">
        <v>42653</v>
      </c>
      <c r="CG275" s="2"/>
      <c r="CH275" s="2"/>
      <c r="CI275" s="2">
        <v>1</v>
      </c>
      <c r="CJ275" s="2">
        <v>1</v>
      </c>
      <c r="CK275" s="2">
        <v>21</v>
      </c>
      <c r="CL275" s="2" t="s">
        <v>88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"FES1162505256"</f>
        <v>FES1162505256</v>
      </c>
      <c r="F276" s="3">
        <v>42650</v>
      </c>
      <c r="G276" s="2">
        <v>201704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160</v>
      </c>
      <c r="M276" s="2" t="s">
        <v>161</v>
      </c>
      <c r="N276" s="2" t="s">
        <v>647</v>
      </c>
      <c r="O276" s="2" t="s">
        <v>96</v>
      </c>
      <c r="P276" s="2" t="str">
        <f>"2170528903                    "</f>
        <v xml:space="preserve">2170528903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3.32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1</v>
      </c>
      <c r="BJ276" s="2">
        <v>0.2</v>
      </c>
      <c r="BK276" s="2">
        <v>1</v>
      </c>
      <c r="BL276" s="2">
        <v>40.76</v>
      </c>
      <c r="BM276" s="2">
        <v>5.71</v>
      </c>
      <c r="BN276" s="2">
        <v>46.47</v>
      </c>
      <c r="BO276" s="2">
        <v>46.47</v>
      </c>
      <c r="BP276" s="2"/>
      <c r="BQ276" s="2"/>
      <c r="BR276" s="2" t="s">
        <v>83</v>
      </c>
      <c r="BS276" s="3">
        <v>42653</v>
      </c>
      <c r="BT276" s="4">
        <v>0.3430555555555555</v>
      </c>
      <c r="BU276" s="2" t="s">
        <v>648</v>
      </c>
      <c r="BV276" s="2" t="s">
        <v>85</v>
      </c>
      <c r="BW276" s="2"/>
      <c r="BX276" s="2"/>
      <c r="BY276" s="2">
        <v>1200</v>
      </c>
      <c r="BZ276" s="2"/>
      <c r="CA276" s="2"/>
      <c r="CB276" s="2"/>
      <c r="CC276" s="2" t="s">
        <v>161</v>
      </c>
      <c r="CD276" s="2">
        <v>7493</v>
      </c>
      <c r="CE276" s="2" t="s">
        <v>108</v>
      </c>
      <c r="CF276" s="5">
        <v>42654</v>
      </c>
      <c r="CG276" s="2"/>
      <c r="CH276" s="2"/>
      <c r="CI276" s="2">
        <v>1</v>
      </c>
      <c r="CJ276" s="2">
        <v>1</v>
      </c>
      <c r="CK276" s="2">
        <v>21</v>
      </c>
      <c r="CL276" s="2" t="s">
        <v>88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"FES1162505087"</f>
        <v>FES1162505087</v>
      </c>
      <c r="F277" s="3">
        <v>42649</v>
      </c>
      <c r="G277" s="2">
        <v>201704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143</v>
      </c>
      <c r="M277" s="2" t="s">
        <v>144</v>
      </c>
      <c r="N277" s="2" t="s">
        <v>145</v>
      </c>
      <c r="O277" s="2" t="s">
        <v>96</v>
      </c>
      <c r="P277" s="2" t="str">
        <f>"2170528748                    "</f>
        <v xml:space="preserve">2170528748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3.32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1</v>
      </c>
      <c r="BJ277" s="2">
        <v>0.2</v>
      </c>
      <c r="BK277" s="2">
        <v>1</v>
      </c>
      <c r="BL277" s="2">
        <v>40.76</v>
      </c>
      <c r="BM277" s="2">
        <v>5.71</v>
      </c>
      <c r="BN277" s="2">
        <v>46.47</v>
      </c>
      <c r="BO277" s="2">
        <v>46.47</v>
      </c>
      <c r="BP277" s="2"/>
      <c r="BQ277" s="2" t="s">
        <v>91</v>
      </c>
      <c r="BR277" s="2" t="s">
        <v>83</v>
      </c>
      <c r="BS277" s="3">
        <v>42650</v>
      </c>
      <c r="BT277" s="4">
        <v>0.41666666666666669</v>
      </c>
      <c r="BU277" s="2" t="s">
        <v>649</v>
      </c>
      <c r="BV277" s="2" t="s">
        <v>85</v>
      </c>
      <c r="BW277" s="2"/>
      <c r="BX277" s="2"/>
      <c r="BY277" s="2">
        <v>1200</v>
      </c>
      <c r="BZ277" s="2" t="s">
        <v>27</v>
      </c>
      <c r="CA277" s="2" t="s">
        <v>129</v>
      </c>
      <c r="CB277" s="2"/>
      <c r="CC277" s="2" t="s">
        <v>144</v>
      </c>
      <c r="CD277" s="2">
        <v>5201</v>
      </c>
      <c r="CE277" s="2" t="s">
        <v>108</v>
      </c>
      <c r="CF277" s="5">
        <v>42653</v>
      </c>
      <c r="CG277" s="2"/>
      <c r="CH277" s="2"/>
      <c r="CI277" s="2">
        <v>1</v>
      </c>
      <c r="CJ277" s="2">
        <v>1</v>
      </c>
      <c r="CK277" s="2">
        <v>21</v>
      </c>
      <c r="CL277" s="2" t="s">
        <v>88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"FES1162505359"</f>
        <v>FES1162505359</v>
      </c>
      <c r="F278" s="3">
        <v>42650</v>
      </c>
      <c r="G278" s="2">
        <v>201704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153</v>
      </c>
      <c r="M278" s="2" t="s">
        <v>153</v>
      </c>
      <c r="N278" s="2" t="s">
        <v>200</v>
      </c>
      <c r="O278" s="2" t="s">
        <v>96</v>
      </c>
      <c r="P278" s="2" t="str">
        <f>"2170529030                    "</f>
        <v xml:space="preserve">2170529030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3.32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0.5</v>
      </c>
      <c r="BJ278" s="2">
        <v>0.2</v>
      </c>
      <c r="BK278" s="2">
        <v>0.5</v>
      </c>
      <c r="BL278" s="2">
        <v>40.76</v>
      </c>
      <c r="BM278" s="2">
        <v>5.71</v>
      </c>
      <c r="BN278" s="2">
        <v>46.47</v>
      </c>
      <c r="BO278" s="2">
        <v>46.47</v>
      </c>
      <c r="BP278" s="2"/>
      <c r="BQ278" s="2" t="s">
        <v>201</v>
      </c>
      <c r="BR278" s="2" t="s">
        <v>83</v>
      </c>
      <c r="BS278" s="3">
        <v>42653</v>
      </c>
      <c r="BT278" s="4">
        <v>0.46180555555555558</v>
      </c>
      <c r="BU278" s="2" t="s">
        <v>448</v>
      </c>
      <c r="BV278" s="2" t="s">
        <v>85</v>
      </c>
      <c r="BW278" s="2"/>
      <c r="BX278" s="2"/>
      <c r="BY278" s="2">
        <v>1200</v>
      </c>
      <c r="BZ278" s="2"/>
      <c r="CA278" s="2"/>
      <c r="CB278" s="2"/>
      <c r="CC278" s="2" t="s">
        <v>153</v>
      </c>
      <c r="CD278" s="2">
        <v>7646</v>
      </c>
      <c r="CE278" s="2" t="s">
        <v>108</v>
      </c>
      <c r="CF278" s="5">
        <v>42654</v>
      </c>
      <c r="CG278" s="2"/>
      <c r="CH278" s="2"/>
      <c r="CI278" s="2">
        <v>1</v>
      </c>
      <c r="CJ278" s="2">
        <v>1</v>
      </c>
      <c r="CK278" s="2">
        <v>21</v>
      </c>
      <c r="CL278" s="2" t="s">
        <v>88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"FES1162505018"</f>
        <v>FES1162505018</v>
      </c>
      <c r="F279" s="3">
        <v>42649</v>
      </c>
      <c r="G279" s="2">
        <v>201704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377</v>
      </c>
      <c r="M279" s="2" t="s">
        <v>378</v>
      </c>
      <c r="N279" s="2" t="s">
        <v>379</v>
      </c>
      <c r="O279" s="2" t="s">
        <v>96</v>
      </c>
      <c r="P279" s="2" t="str">
        <f>"2170528663                    "</f>
        <v xml:space="preserve">2170528663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3.32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1</v>
      </c>
      <c r="BJ279" s="2">
        <v>0.2</v>
      </c>
      <c r="BK279" s="2">
        <v>1</v>
      </c>
      <c r="BL279" s="2">
        <v>40.76</v>
      </c>
      <c r="BM279" s="2">
        <v>5.71</v>
      </c>
      <c r="BN279" s="2">
        <v>46.47</v>
      </c>
      <c r="BO279" s="2">
        <v>46.47</v>
      </c>
      <c r="BP279" s="2"/>
      <c r="BQ279" s="2" t="s">
        <v>168</v>
      </c>
      <c r="BR279" s="2" t="s">
        <v>83</v>
      </c>
      <c r="BS279" s="3">
        <v>42650</v>
      </c>
      <c r="BT279" s="4">
        <v>0.34861111111111115</v>
      </c>
      <c r="BU279" s="2" t="s">
        <v>650</v>
      </c>
      <c r="BV279" s="2" t="s">
        <v>85</v>
      </c>
      <c r="BW279" s="2"/>
      <c r="BX279" s="2"/>
      <c r="BY279" s="2">
        <v>1200</v>
      </c>
      <c r="BZ279" s="2" t="s">
        <v>27</v>
      </c>
      <c r="CA279" s="2" t="s">
        <v>535</v>
      </c>
      <c r="CB279" s="2"/>
      <c r="CC279" s="2" t="s">
        <v>378</v>
      </c>
      <c r="CD279" s="2">
        <v>6536</v>
      </c>
      <c r="CE279" s="2" t="s">
        <v>108</v>
      </c>
      <c r="CF279" s="5">
        <v>42650</v>
      </c>
      <c r="CG279" s="2"/>
      <c r="CH279" s="2"/>
      <c r="CI279" s="2">
        <v>1</v>
      </c>
      <c r="CJ279" s="2">
        <v>1</v>
      </c>
      <c r="CK279" s="2">
        <v>21</v>
      </c>
      <c r="CL279" s="2" t="s">
        <v>88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"FES1162505357"</f>
        <v>FES1162505357</v>
      </c>
      <c r="F280" s="3">
        <v>42650</v>
      </c>
      <c r="G280" s="2">
        <v>201704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207</v>
      </c>
      <c r="M280" s="2" t="s">
        <v>208</v>
      </c>
      <c r="N280" s="2" t="s">
        <v>651</v>
      </c>
      <c r="O280" s="2" t="s">
        <v>96</v>
      </c>
      <c r="P280" s="2" t="str">
        <f>"2170529028                    "</f>
        <v xml:space="preserve">2170529028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3.32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40.76</v>
      </c>
      <c r="BM280" s="2">
        <v>5.71</v>
      </c>
      <c r="BN280" s="2">
        <v>46.47</v>
      </c>
      <c r="BO280" s="2">
        <v>46.47</v>
      </c>
      <c r="BP280" s="2"/>
      <c r="BQ280" s="2" t="s">
        <v>652</v>
      </c>
      <c r="BR280" s="2" t="s">
        <v>83</v>
      </c>
      <c r="BS280" s="3">
        <v>42657</v>
      </c>
      <c r="BT280" s="4">
        <v>0.4375</v>
      </c>
      <c r="BU280" s="2" t="s">
        <v>653</v>
      </c>
      <c r="BV280" s="2" t="s">
        <v>88</v>
      </c>
      <c r="BW280" s="2" t="s">
        <v>654</v>
      </c>
      <c r="BX280" s="2" t="s">
        <v>655</v>
      </c>
      <c r="BY280" s="2">
        <v>1200</v>
      </c>
      <c r="BZ280" s="2"/>
      <c r="CA280" s="2" t="s">
        <v>329</v>
      </c>
      <c r="CB280" s="2"/>
      <c r="CC280" s="2" t="s">
        <v>208</v>
      </c>
      <c r="CD280" s="2">
        <v>4133</v>
      </c>
      <c r="CE280" s="2" t="s">
        <v>108</v>
      </c>
      <c r="CF280" s="5">
        <v>42660</v>
      </c>
      <c r="CG280" s="2"/>
      <c r="CH280" s="2"/>
      <c r="CI280" s="2">
        <v>1</v>
      </c>
      <c r="CJ280" s="2">
        <v>5</v>
      </c>
      <c r="CK280" s="2">
        <v>21</v>
      </c>
      <c r="CL280" s="2" t="s">
        <v>88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"FES1162505035"</f>
        <v>FES1162505035</v>
      </c>
      <c r="F281" s="3">
        <v>42649</v>
      </c>
      <c r="G281" s="2">
        <v>201704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160</v>
      </c>
      <c r="M281" s="2" t="s">
        <v>161</v>
      </c>
      <c r="N281" s="2" t="s">
        <v>279</v>
      </c>
      <c r="O281" s="2" t="s">
        <v>96</v>
      </c>
      <c r="P281" s="2" t="str">
        <f>"2170528687                    "</f>
        <v xml:space="preserve">2170528687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3.32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40.76</v>
      </c>
      <c r="BM281" s="2">
        <v>5.71</v>
      </c>
      <c r="BN281" s="2">
        <v>46.47</v>
      </c>
      <c r="BO281" s="2">
        <v>46.47</v>
      </c>
      <c r="BP281" s="2"/>
      <c r="BQ281" s="2" t="s">
        <v>280</v>
      </c>
      <c r="BR281" s="2" t="s">
        <v>83</v>
      </c>
      <c r="BS281" s="3">
        <v>42650</v>
      </c>
      <c r="BT281" s="4">
        <v>0.34722222222222227</v>
      </c>
      <c r="BU281" s="2" t="s">
        <v>281</v>
      </c>
      <c r="BV281" s="2" t="s">
        <v>85</v>
      </c>
      <c r="BW281" s="2"/>
      <c r="BX281" s="2"/>
      <c r="BY281" s="2">
        <v>1200</v>
      </c>
      <c r="BZ281" s="2" t="s">
        <v>27</v>
      </c>
      <c r="CA281" s="2"/>
      <c r="CB281" s="2"/>
      <c r="CC281" s="2" t="s">
        <v>161</v>
      </c>
      <c r="CD281" s="2">
        <v>7441</v>
      </c>
      <c r="CE281" s="2" t="s">
        <v>108</v>
      </c>
      <c r="CF281" s="5">
        <v>42653</v>
      </c>
      <c r="CG281" s="2"/>
      <c r="CH281" s="2"/>
      <c r="CI281" s="2">
        <v>1</v>
      </c>
      <c r="CJ281" s="2">
        <v>1</v>
      </c>
      <c r="CK281" s="2">
        <v>21</v>
      </c>
      <c r="CL281" s="2" t="s">
        <v>88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"FES1162505232"</f>
        <v>FES1162505232</v>
      </c>
      <c r="F282" s="3">
        <v>42650</v>
      </c>
      <c r="G282" s="2">
        <v>201704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98</v>
      </c>
      <c r="M282" s="2" t="s">
        <v>99</v>
      </c>
      <c r="N282" s="2" t="s">
        <v>656</v>
      </c>
      <c r="O282" s="2" t="s">
        <v>96</v>
      </c>
      <c r="P282" s="2" t="str">
        <f>"2170525854                    "</f>
        <v xml:space="preserve">2170525854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3.32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1</v>
      </c>
      <c r="BJ282" s="2">
        <v>0.2</v>
      </c>
      <c r="BK282" s="2">
        <v>1</v>
      </c>
      <c r="BL282" s="2">
        <v>40.76</v>
      </c>
      <c r="BM282" s="2">
        <v>5.71</v>
      </c>
      <c r="BN282" s="2">
        <v>46.47</v>
      </c>
      <c r="BO282" s="2">
        <v>46.47</v>
      </c>
      <c r="BP282" s="2"/>
      <c r="BQ282" s="2" t="s">
        <v>657</v>
      </c>
      <c r="BR282" s="2" t="s">
        <v>83</v>
      </c>
      <c r="BS282" s="3">
        <v>42653</v>
      </c>
      <c r="BT282" s="4">
        <v>0.40625</v>
      </c>
      <c r="BU282" s="2" t="s">
        <v>658</v>
      </c>
      <c r="BV282" s="2"/>
      <c r="BW282" s="2"/>
      <c r="BX282" s="2"/>
      <c r="BY282" s="2">
        <v>1200</v>
      </c>
      <c r="BZ282" s="2" t="s">
        <v>27</v>
      </c>
      <c r="CA282" s="2"/>
      <c r="CB282" s="2"/>
      <c r="CC282" s="2" t="s">
        <v>99</v>
      </c>
      <c r="CD282" s="2">
        <v>6001</v>
      </c>
      <c r="CE282" s="2" t="s">
        <v>108</v>
      </c>
      <c r="CF282" s="5">
        <v>42654</v>
      </c>
      <c r="CG282" s="2"/>
      <c r="CH282" s="2"/>
      <c r="CI282" s="2">
        <v>0</v>
      </c>
      <c r="CJ282" s="2">
        <v>0</v>
      </c>
      <c r="CK282" s="2">
        <v>21</v>
      </c>
      <c r="CL282" s="2" t="s">
        <v>88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"FES1162504937"</f>
        <v>FES1162504937</v>
      </c>
      <c r="F283" s="3">
        <v>42649</v>
      </c>
      <c r="G283" s="2">
        <v>201704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160</v>
      </c>
      <c r="M283" s="2" t="s">
        <v>161</v>
      </c>
      <c r="N283" s="2" t="s">
        <v>659</v>
      </c>
      <c r="O283" s="2" t="s">
        <v>96</v>
      </c>
      <c r="P283" s="2" t="str">
        <f>"2170528583                    "</f>
        <v xml:space="preserve">2170528583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3.32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40.76</v>
      </c>
      <c r="BM283" s="2">
        <v>5.71</v>
      </c>
      <c r="BN283" s="2">
        <v>46.47</v>
      </c>
      <c r="BO283" s="2">
        <v>46.47</v>
      </c>
      <c r="BP283" s="2"/>
      <c r="BQ283" s="2" t="s">
        <v>91</v>
      </c>
      <c r="BR283" s="2" t="s">
        <v>83</v>
      </c>
      <c r="BS283" s="3">
        <v>42650</v>
      </c>
      <c r="BT283" s="4">
        <v>0.41666666666666669</v>
      </c>
      <c r="BU283" s="2" t="s">
        <v>660</v>
      </c>
      <c r="BV283" s="2" t="s">
        <v>85</v>
      </c>
      <c r="BW283" s="2"/>
      <c r="BX283" s="2"/>
      <c r="BY283" s="2">
        <v>1200</v>
      </c>
      <c r="BZ283" s="2" t="s">
        <v>27</v>
      </c>
      <c r="CA283" s="2"/>
      <c r="CB283" s="2"/>
      <c r="CC283" s="2" t="s">
        <v>161</v>
      </c>
      <c r="CD283" s="2">
        <v>7460</v>
      </c>
      <c r="CE283" s="2" t="s">
        <v>108</v>
      </c>
      <c r="CF283" s="5">
        <v>42653</v>
      </c>
      <c r="CG283" s="2"/>
      <c r="CH283" s="2"/>
      <c r="CI283" s="2">
        <v>1</v>
      </c>
      <c r="CJ283" s="2">
        <v>1</v>
      </c>
      <c r="CK283" s="2">
        <v>21</v>
      </c>
      <c r="CL283" s="2" t="s">
        <v>88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"FES1162505309"</f>
        <v>FES1162505309</v>
      </c>
      <c r="F284" s="3">
        <v>42650</v>
      </c>
      <c r="G284" s="2">
        <v>201704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207</v>
      </c>
      <c r="M284" s="2" t="s">
        <v>208</v>
      </c>
      <c r="N284" s="2" t="s">
        <v>661</v>
      </c>
      <c r="O284" s="2" t="s">
        <v>96</v>
      </c>
      <c r="P284" s="2" t="str">
        <f>"2170528963                    "</f>
        <v xml:space="preserve">2170528963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3.32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1</v>
      </c>
      <c r="BJ284" s="2">
        <v>0.2</v>
      </c>
      <c r="BK284" s="2">
        <v>1</v>
      </c>
      <c r="BL284" s="2">
        <v>40.76</v>
      </c>
      <c r="BM284" s="2">
        <v>5.71</v>
      </c>
      <c r="BN284" s="2">
        <v>46.47</v>
      </c>
      <c r="BO284" s="2">
        <v>46.47</v>
      </c>
      <c r="BP284" s="2"/>
      <c r="BQ284" s="2" t="s">
        <v>82</v>
      </c>
      <c r="BR284" s="2" t="s">
        <v>83</v>
      </c>
      <c r="BS284" s="3">
        <v>42653</v>
      </c>
      <c r="BT284" s="4">
        <v>0.4375</v>
      </c>
      <c r="BU284" s="2" t="s">
        <v>662</v>
      </c>
      <c r="BV284" s="2" t="s">
        <v>85</v>
      </c>
      <c r="BW284" s="2"/>
      <c r="BX284" s="2"/>
      <c r="BY284" s="2">
        <v>1200</v>
      </c>
      <c r="BZ284" s="2" t="s">
        <v>27</v>
      </c>
      <c r="CA284" s="2"/>
      <c r="CB284" s="2"/>
      <c r="CC284" s="2" t="s">
        <v>208</v>
      </c>
      <c r="CD284" s="2">
        <v>4110</v>
      </c>
      <c r="CE284" s="2" t="s">
        <v>108</v>
      </c>
      <c r="CF284" s="5">
        <v>42654</v>
      </c>
      <c r="CG284" s="2"/>
      <c r="CH284" s="2"/>
      <c r="CI284" s="2">
        <v>1</v>
      </c>
      <c r="CJ284" s="2">
        <v>1</v>
      </c>
      <c r="CK284" s="2">
        <v>21</v>
      </c>
      <c r="CL284" s="2" t="s">
        <v>88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"FES1162505055"</f>
        <v>FES1162505055</v>
      </c>
      <c r="F285" s="3">
        <v>42649</v>
      </c>
      <c r="G285" s="2">
        <v>201704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148</v>
      </c>
      <c r="M285" s="2" t="s">
        <v>149</v>
      </c>
      <c r="N285" s="2" t="s">
        <v>663</v>
      </c>
      <c r="O285" s="2" t="s">
        <v>96</v>
      </c>
      <c r="P285" s="2" t="str">
        <f>"2170528714                    "</f>
        <v xml:space="preserve">2170528714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3.32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0.2</v>
      </c>
      <c r="BK285" s="2">
        <v>1</v>
      </c>
      <c r="BL285" s="2">
        <v>40.76</v>
      </c>
      <c r="BM285" s="2">
        <v>5.71</v>
      </c>
      <c r="BN285" s="2">
        <v>46.47</v>
      </c>
      <c r="BO285" s="2">
        <v>46.47</v>
      </c>
      <c r="BP285" s="2"/>
      <c r="BQ285" s="2" t="s">
        <v>91</v>
      </c>
      <c r="BR285" s="2" t="s">
        <v>83</v>
      </c>
      <c r="BS285" s="3">
        <v>42650</v>
      </c>
      <c r="BT285" s="4">
        <v>0.4375</v>
      </c>
      <c r="BU285" s="2" t="s">
        <v>664</v>
      </c>
      <c r="BV285" s="2"/>
      <c r="BW285" s="2"/>
      <c r="BX285" s="2"/>
      <c r="BY285" s="2">
        <v>1200</v>
      </c>
      <c r="BZ285" s="2" t="s">
        <v>27</v>
      </c>
      <c r="CA285" s="2" t="s">
        <v>129</v>
      </c>
      <c r="CB285" s="2"/>
      <c r="CC285" s="2" t="s">
        <v>149</v>
      </c>
      <c r="CD285" s="2">
        <v>4001</v>
      </c>
      <c r="CE285" s="2" t="s">
        <v>108</v>
      </c>
      <c r="CF285" s="5">
        <v>42653</v>
      </c>
      <c r="CG285" s="2"/>
      <c r="CH285" s="2"/>
      <c r="CI285" s="2">
        <v>0</v>
      </c>
      <c r="CJ285" s="2">
        <v>0</v>
      </c>
      <c r="CK285" s="2">
        <v>21</v>
      </c>
      <c r="CL285" s="2" t="s">
        <v>88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"FES1162505367"</f>
        <v>FES1162505367</v>
      </c>
      <c r="F286" s="3">
        <v>42650</v>
      </c>
      <c r="G286" s="2">
        <v>201704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260</v>
      </c>
      <c r="M286" s="2" t="s">
        <v>261</v>
      </c>
      <c r="N286" s="2" t="s">
        <v>665</v>
      </c>
      <c r="O286" s="2" t="s">
        <v>96</v>
      </c>
      <c r="P286" s="2" t="str">
        <f>"2170529058                    "</f>
        <v xml:space="preserve">2170529058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18.239999999999998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5</v>
      </c>
      <c r="BJ286" s="2">
        <v>10.9</v>
      </c>
      <c r="BK286" s="2">
        <v>11</v>
      </c>
      <c r="BL286" s="2">
        <v>224.16</v>
      </c>
      <c r="BM286" s="2">
        <v>31.38</v>
      </c>
      <c r="BN286" s="2">
        <v>255.54</v>
      </c>
      <c r="BO286" s="2">
        <v>255.54</v>
      </c>
      <c r="BP286" s="2"/>
      <c r="BQ286" s="2" t="s">
        <v>91</v>
      </c>
      <c r="BR286" s="2" t="s">
        <v>83</v>
      </c>
      <c r="BS286" s="3">
        <v>42653</v>
      </c>
      <c r="BT286" s="4">
        <v>0.3888888888888889</v>
      </c>
      <c r="BU286" s="2" t="s">
        <v>666</v>
      </c>
      <c r="BV286" s="2" t="s">
        <v>85</v>
      </c>
      <c r="BW286" s="2"/>
      <c r="BX286" s="2"/>
      <c r="BY286" s="2">
        <v>54400</v>
      </c>
      <c r="BZ286" s="2"/>
      <c r="CA286" s="2" t="s">
        <v>451</v>
      </c>
      <c r="CB286" s="2"/>
      <c r="CC286" s="2" t="s">
        <v>261</v>
      </c>
      <c r="CD286" s="2">
        <v>6850</v>
      </c>
      <c r="CE286" s="2" t="s">
        <v>86</v>
      </c>
      <c r="CF286" s="5">
        <v>42653</v>
      </c>
      <c r="CG286" s="2"/>
      <c r="CH286" s="2"/>
      <c r="CI286" s="2">
        <v>3</v>
      </c>
      <c r="CJ286" s="2">
        <v>1</v>
      </c>
      <c r="CK286" s="2">
        <v>21</v>
      </c>
      <c r="CL286" s="2" t="s">
        <v>88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"FES1162505042"</f>
        <v>FES1162505042</v>
      </c>
      <c r="F287" s="3">
        <v>42649</v>
      </c>
      <c r="G287" s="2">
        <v>201704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143</v>
      </c>
      <c r="M287" s="2" t="s">
        <v>144</v>
      </c>
      <c r="N287" s="2" t="s">
        <v>667</v>
      </c>
      <c r="O287" s="2" t="s">
        <v>96</v>
      </c>
      <c r="P287" s="2" t="str">
        <f>"2170528701                    "</f>
        <v xml:space="preserve">2170528701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3.32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40.76</v>
      </c>
      <c r="BM287" s="2">
        <v>5.71</v>
      </c>
      <c r="BN287" s="2">
        <v>46.47</v>
      </c>
      <c r="BO287" s="2">
        <v>46.47</v>
      </c>
      <c r="BP287" s="2"/>
      <c r="BQ287" s="2" t="s">
        <v>91</v>
      </c>
      <c r="BR287" s="2" t="s">
        <v>83</v>
      </c>
      <c r="BS287" s="3">
        <v>42650</v>
      </c>
      <c r="BT287" s="4">
        <v>0.41666666666666669</v>
      </c>
      <c r="BU287" s="2" t="s">
        <v>668</v>
      </c>
      <c r="BV287" s="2"/>
      <c r="BW287" s="2"/>
      <c r="BX287" s="2"/>
      <c r="BY287" s="2">
        <v>1200</v>
      </c>
      <c r="BZ287" s="2" t="s">
        <v>27</v>
      </c>
      <c r="CA287" s="2" t="s">
        <v>129</v>
      </c>
      <c r="CB287" s="2"/>
      <c r="CC287" s="2" t="s">
        <v>144</v>
      </c>
      <c r="CD287" s="2">
        <v>5201</v>
      </c>
      <c r="CE287" s="2" t="s">
        <v>108</v>
      </c>
      <c r="CF287" s="5">
        <v>42653</v>
      </c>
      <c r="CG287" s="2"/>
      <c r="CH287" s="2"/>
      <c r="CI287" s="2">
        <v>0</v>
      </c>
      <c r="CJ287" s="2">
        <v>0</v>
      </c>
      <c r="CK287" s="2">
        <v>21</v>
      </c>
      <c r="CL287" s="2" t="s">
        <v>88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"FES1162505337"</f>
        <v>FES1162505337</v>
      </c>
      <c r="F288" s="3">
        <v>42650</v>
      </c>
      <c r="G288" s="2">
        <v>201704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137</v>
      </c>
      <c r="M288" s="2" t="s">
        <v>138</v>
      </c>
      <c r="N288" s="2" t="s">
        <v>203</v>
      </c>
      <c r="O288" s="2" t="s">
        <v>96</v>
      </c>
      <c r="P288" s="2" t="str">
        <f>"2170528999                    "</f>
        <v xml:space="preserve">2170528999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8.2899999999999991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4.9000000000000004</v>
      </c>
      <c r="BJ288" s="2">
        <v>3.3</v>
      </c>
      <c r="BK288" s="2">
        <v>5</v>
      </c>
      <c r="BL288" s="2">
        <v>101.89</v>
      </c>
      <c r="BM288" s="2">
        <v>14.26</v>
      </c>
      <c r="BN288" s="2">
        <v>116.15</v>
      </c>
      <c r="BO288" s="2">
        <v>116.15</v>
      </c>
      <c r="BP288" s="2"/>
      <c r="BQ288" s="2" t="s">
        <v>168</v>
      </c>
      <c r="BR288" s="2" t="s">
        <v>83</v>
      </c>
      <c r="BS288" s="3">
        <v>42653</v>
      </c>
      <c r="BT288" s="4">
        <v>0.39444444444444443</v>
      </c>
      <c r="BU288" s="2" t="s">
        <v>669</v>
      </c>
      <c r="BV288" s="2"/>
      <c r="BW288" s="2"/>
      <c r="BX288" s="2"/>
      <c r="BY288" s="2">
        <v>16495.04</v>
      </c>
      <c r="BZ288" s="2" t="s">
        <v>27</v>
      </c>
      <c r="CA288" s="2" t="s">
        <v>205</v>
      </c>
      <c r="CB288" s="2"/>
      <c r="CC288" s="2" t="s">
        <v>138</v>
      </c>
      <c r="CD288" s="2">
        <v>3201</v>
      </c>
      <c r="CE288" s="2" t="s">
        <v>86</v>
      </c>
      <c r="CF288" s="5">
        <v>42653</v>
      </c>
      <c r="CG288" s="2"/>
      <c r="CH288" s="2"/>
      <c r="CI288" s="2">
        <v>0</v>
      </c>
      <c r="CJ288" s="2">
        <v>0</v>
      </c>
      <c r="CK288" s="2">
        <v>21</v>
      </c>
      <c r="CL288" s="2" t="s">
        <v>88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"FES1162505026"</f>
        <v>FES1162505026</v>
      </c>
      <c r="F289" s="3">
        <v>42649</v>
      </c>
      <c r="G289" s="2">
        <v>201704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160</v>
      </c>
      <c r="M289" s="2" t="s">
        <v>161</v>
      </c>
      <c r="N289" s="2" t="s">
        <v>619</v>
      </c>
      <c r="O289" s="2" t="s">
        <v>96</v>
      </c>
      <c r="P289" s="2" t="str">
        <f>"2170528666                    "</f>
        <v xml:space="preserve">2170528666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3.32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1</v>
      </c>
      <c r="BJ289" s="2">
        <v>1.8</v>
      </c>
      <c r="BK289" s="2">
        <v>2</v>
      </c>
      <c r="BL289" s="2">
        <v>40.76</v>
      </c>
      <c r="BM289" s="2">
        <v>5.71</v>
      </c>
      <c r="BN289" s="2">
        <v>46.47</v>
      </c>
      <c r="BO289" s="2">
        <v>46.47</v>
      </c>
      <c r="BP289" s="2"/>
      <c r="BQ289" s="2" t="s">
        <v>91</v>
      </c>
      <c r="BR289" s="2" t="s">
        <v>83</v>
      </c>
      <c r="BS289" s="3">
        <v>42650</v>
      </c>
      <c r="BT289" s="4">
        <v>0.36249999999999999</v>
      </c>
      <c r="BU289" s="2" t="s">
        <v>670</v>
      </c>
      <c r="BV289" s="2" t="s">
        <v>85</v>
      </c>
      <c r="BW289" s="2"/>
      <c r="BX289" s="2"/>
      <c r="BY289" s="2">
        <v>8966.02</v>
      </c>
      <c r="BZ289" s="2" t="s">
        <v>27</v>
      </c>
      <c r="CA289" s="2" t="s">
        <v>129</v>
      </c>
      <c r="CB289" s="2"/>
      <c r="CC289" s="2" t="s">
        <v>161</v>
      </c>
      <c r="CD289" s="2">
        <v>7499</v>
      </c>
      <c r="CE289" s="2" t="s">
        <v>108</v>
      </c>
      <c r="CF289" s="5">
        <v>42650</v>
      </c>
      <c r="CG289" s="2"/>
      <c r="CH289" s="2"/>
      <c r="CI289" s="2">
        <v>1</v>
      </c>
      <c r="CJ289" s="2">
        <v>1</v>
      </c>
      <c r="CK289" s="2">
        <v>21</v>
      </c>
      <c r="CL289" s="2" t="s">
        <v>88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"FES1162505027"</f>
        <v>FES1162505027</v>
      </c>
      <c r="F290" s="3">
        <v>42649</v>
      </c>
      <c r="G290" s="2">
        <v>201704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377</v>
      </c>
      <c r="M290" s="2" t="s">
        <v>378</v>
      </c>
      <c r="N290" s="2" t="s">
        <v>379</v>
      </c>
      <c r="O290" s="2" t="s">
        <v>96</v>
      </c>
      <c r="P290" s="2" t="str">
        <f>"2170528679                    "</f>
        <v xml:space="preserve">2170528679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3.32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40.76</v>
      </c>
      <c r="BM290" s="2">
        <v>5.71</v>
      </c>
      <c r="BN290" s="2">
        <v>46.47</v>
      </c>
      <c r="BO290" s="2">
        <v>46.47</v>
      </c>
      <c r="BP290" s="2"/>
      <c r="BQ290" s="2" t="s">
        <v>168</v>
      </c>
      <c r="BR290" s="2" t="s">
        <v>83</v>
      </c>
      <c r="BS290" s="3">
        <v>42650</v>
      </c>
      <c r="BT290" s="4">
        <v>0.34861111111111115</v>
      </c>
      <c r="BU290" s="2" t="s">
        <v>650</v>
      </c>
      <c r="BV290" s="2" t="s">
        <v>85</v>
      </c>
      <c r="BW290" s="2"/>
      <c r="BX290" s="2"/>
      <c r="BY290" s="2">
        <v>1200</v>
      </c>
      <c r="BZ290" s="2" t="s">
        <v>27</v>
      </c>
      <c r="CA290" s="2" t="s">
        <v>535</v>
      </c>
      <c r="CB290" s="2"/>
      <c r="CC290" s="2" t="s">
        <v>378</v>
      </c>
      <c r="CD290" s="2">
        <v>6536</v>
      </c>
      <c r="CE290" s="2" t="s">
        <v>108</v>
      </c>
      <c r="CF290" s="5">
        <v>42650</v>
      </c>
      <c r="CG290" s="2"/>
      <c r="CH290" s="2"/>
      <c r="CI290" s="2">
        <v>1</v>
      </c>
      <c r="CJ290" s="2">
        <v>1</v>
      </c>
      <c r="CK290" s="2">
        <v>21</v>
      </c>
      <c r="CL290" s="2" t="s">
        <v>88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"FES1162504924"</f>
        <v>FES1162504924</v>
      </c>
      <c r="F291" s="3">
        <v>42649</v>
      </c>
      <c r="G291" s="2">
        <v>201704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156</v>
      </c>
      <c r="M291" s="2" t="s">
        <v>157</v>
      </c>
      <c r="N291" s="2" t="s">
        <v>507</v>
      </c>
      <c r="O291" s="2" t="s">
        <v>96</v>
      </c>
      <c r="P291" s="2" t="str">
        <f>"2170526627                    "</f>
        <v xml:space="preserve">2170526627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3.32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</v>
      </c>
      <c r="BJ291" s="2">
        <v>1.4</v>
      </c>
      <c r="BK291" s="2">
        <v>1.5</v>
      </c>
      <c r="BL291" s="2">
        <v>40.76</v>
      </c>
      <c r="BM291" s="2">
        <v>5.71</v>
      </c>
      <c r="BN291" s="2">
        <v>46.47</v>
      </c>
      <c r="BO291" s="2">
        <v>46.47</v>
      </c>
      <c r="BP291" s="2"/>
      <c r="BQ291" s="2" t="s">
        <v>508</v>
      </c>
      <c r="BR291" s="2" t="s">
        <v>83</v>
      </c>
      <c r="BS291" s="3">
        <v>42650</v>
      </c>
      <c r="BT291" s="4">
        <v>0.41666666666666669</v>
      </c>
      <c r="BU291" s="2" t="s">
        <v>509</v>
      </c>
      <c r="BV291" s="2" t="s">
        <v>85</v>
      </c>
      <c r="BW291" s="2"/>
      <c r="BX291" s="2"/>
      <c r="BY291" s="2">
        <v>7055.8</v>
      </c>
      <c r="BZ291" s="2" t="s">
        <v>27</v>
      </c>
      <c r="CA291" s="2" t="s">
        <v>129</v>
      </c>
      <c r="CB291" s="2"/>
      <c r="CC291" s="2" t="s">
        <v>157</v>
      </c>
      <c r="CD291" s="2">
        <v>7130</v>
      </c>
      <c r="CE291" s="2" t="s">
        <v>108</v>
      </c>
      <c r="CF291" s="5">
        <v>42653</v>
      </c>
      <c r="CG291" s="2"/>
      <c r="CH291" s="2"/>
      <c r="CI291" s="2">
        <v>1</v>
      </c>
      <c r="CJ291" s="2">
        <v>1</v>
      </c>
      <c r="CK291" s="2">
        <v>21</v>
      </c>
      <c r="CL291" s="2" t="s">
        <v>88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"FES1162505029"</f>
        <v>FES1162505029</v>
      </c>
      <c r="F292" s="3">
        <v>42649</v>
      </c>
      <c r="G292" s="2">
        <v>201704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160</v>
      </c>
      <c r="M292" s="2" t="s">
        <v>161</v>
      </c>
      <c r="N292" s="2" t="s">
        <v>671</v>
      </c>
      <c r="O292" s="2" t="s">
        <v>96</v>
      </c>
      <c r="P292" s="2" t="str">
        <f>"2170528683                    "</f>
        <v xml:space="preserve">2170528683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3.32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1.9</v>
      </c>
      <c r="BK292" s="2">
        <v>2</v>
      </c>
      <c r="BL292" s="2">
        <v>40.76</v>
      </c>
      <c r="BM292" s="2">
        <v>5.71</v>
      </c>
      <c r="BN292" s="2">
        <v>46.47</v>
      </c>
      <c r="BO292" s="2">
        <v>46.47</v>
      </c>
      <c r="BP292" s="2"/>
      <c r="BQ292" s="2"/>
      <c r="BR292" s="2" t="s">
        <v>83</v>
      </c>
      <c r="BS292" s="3">
        <v>42650</v>
      </c>
      <c r="BT292" s="4">
        <v>0.35416666666666669</v>
      </c>
      <c r="BU292" s="2" t="s">
        <v>672</v>
      </c>
      <c r="BV292" s="2" t="s">
        <v>85</v>
      </c>
      <c r="BW292" s="2"/>
      <c r="BX292" s="2"/>
      <c r="BY292" s="2">
        <v>9452.5400000000009</v>
      </c>
      <c r="BZ292" s="2" t="s">
        <v>27</v>
      </c>
      <c r="CA292" s="2"/>
      <c r="CB292" s="2"/>
      <c r="CC292" s="2" t="s">
        <v>161</v>
      </c>
      <c r="CD292" s="2">
        <v>7764</v>
      </c>
      <c r="CE292" s="2" t="s">
        <v>108</v>
      </c>
      <c r="CF292" s="5">
        <v>42653</v>
      </c>
      <c r="CG292" s="2"/>
      <c r="CH292" s="2"/>
      <c r="CI292" s="2">
        <v>1</v>
      </c>
      <c r="CJ292" s="2">
        <v>1</v>
      </c>
      <c r="CK292" s="2">
        <v>21</v>
      </c>
      <c r="CL292" s="2" t="s">
        <v>88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"FES1162504923"</f>
        <v>FES1162504923</v>
      </c>
      <c r="F293" s="3">
        <v>42649</v>
      </c>
      <c r="G293" s="2">
        <v>201704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156</v>
      </c>
      <c r="M293" s="2" t="s">
        <v>157</v>
      </c>
      <c r="N293" s="2" t="s">
        <v>507</v>
      </c>
      <c r="O293" s="2" t="s">
        <v>96</v>
      </c>
      <c r="P293" s="2" t="str">
        <f>"2170526617                    "</f>
        <v xml:space="preserve">2170526617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6.63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2.2999999999999998</v>
      </c>
      <c r="BJ293" s="2">
        <v>3.6</v>
      </c>
      <c r="BK293" s="2">
        <v>4</v>
      </c>
      <c r="BL293" s="2">
        <v>81.510000000000005</v>
      </c>
      <c r="BM293" s="2">
        <v>11.41</v>
      </c>
      <c r="BN293" s="2">
        <v>92.92</v>
      </c>
      <c r="BO293" s="2">
        <v>92.92</v>
      </c>
      <c r="BP293" s="2"/>
      <c r="BQ293" s="2" t="s">
        <v>508</v>
      </c>
      <c r="BR293" s="2" t="s">
        <v>83</v>
      </c>
      <c r="BS293" s="3">
        <v>42650</v>
      </c>
      <c r="BT293" s="4">
        <v>0.41666666666666669</v>
      </c>
      <c r="BU293" s="2" t="s">
        <v>509</v>
      </c>
      <c r="BV293" s="2" t="s">
        <v>85</v>
      </c>
      <c r="BW293" s="2"/>
      <c r="BX293" s="2"/>
      <c r="BY293" s="2">
        <v>17822.419999999998</v>
      </c>
      <c r="BZ293" s="2" t="s">
        <v>27</v>
      </c>
      <c r="CA293" s="2" t="s">
        <v>129</v>
      </c>
      <c r="CB293" s="2"/>
      <c r="CC293" s="2" t="s">
        <v>157</v>
      </c>
      <c r="CD293" s="2">
        <v>7130</v>
      </c>
      <c r="CE293" s="2" t="s">
        <v>108</v>
      </c>
      <c r="CF293" s="5">
        <v>42653</v>
      </c>
      <c r="CG293" s="2"/>
      <c r="CH293" s="2"/>
      <c r="CI293" s="2">
        <v>1</v>
      </c>
      <c r="CJ293" s="2">
        <v>1</v>
      </c>
      <c r="CK293" s="2">
        <v>21</v>
      </c>
      <c r="CL293" s="2" t="s">
        <v>88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"FES1162504935"</f>
        <v>FES1162504935</v>
      </c>
      <c r="F294" s="3">
        <v>42649</v>
      </c>
      <c r="G294" s="2">
        <v>201704</v>
      </c>
      <c r="H294" s="2" t="s">
        <v>74</v>
      </c>
      <c r="I294" s="2" t="s">
        <v>75</v>
      </c>
      <c r="J294" s="2" t="s">
        <v>76</v>
      </c>
      <c r="K294" s="2" t="s">
        <v>77</v>
      </c>
      <c r="L294" s="2" t="s">
        <v>286</v>
      </c>
      <c r="M294" s="2" t="s">
        <v>287</v>
      </c>
      <c r="N294" s="2" t="s">
        <v>673</v>
      </c>
      <c r="O294" s="2" t="s">
        <v>96</v>
      </c>
      <c r="P294" s="2" t="str">
        <f>"2170528579                    "</f>
        <v xml:space="preserve">2170528579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3.32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1</v>
      </c>
      <c r="BJ294" s="2">
        <v>0.2</v>
      </c>
      <c r="BK294" s="2">
        <v>1</v>
      </c>
      <c r="BL294" s="2">
        <v>40.76</v>
      </c>
      <c r="BM294" s="2">
        <v>5.71</v>
      </c>
      <c r="BN294" s="2">
        <v>46.47</v>
      </c>
      <c r="BO294" s="2">
        <v>46.47</v>
      </c>
      <c r="BP294" s="2"/>
      <c r="BQ294" s="2" t="s">
        <v>674</v>
      </c>
      <c r="BR294" s="2" t="s">
        <v>83</v>
      </c>
      <c r="BS294" s="3">
        <v>42650</v>
      </c>
      <c r="BT294" s="4">
        <v>0.41666666666666669</v>
      </c>
      <c r="BU294" s="2" t="s">
        <v>675</v>
      </c>
      <c r="BV294" s="2" t="s">
        <v>85</v>
      </c>
      <c r="BW294" s="2"/>
      <c r="BX294" s="2"/>
      <c r="BY294" s="2">
        <v>1200</v>
      </c>
      <c r="BZ294" s="2" t="s">
        <v>27</v>
      </c>
      <c r="CA294" s="2"/>
      <c r="CB294" s="2"/>
      <c r="CC294" s="2" t="s">
        <v>287</v>
      </c>
      <c r="CD294" s="2">
        <v>1947</v>
      </c>
      <c r="CE294" s="2" t="s">
        <v>108</v>
      </c>
      <c r="CF294" s="5">
        <v>42654</v>
      </c>
      <c r="CG294" s="2"/>
      <c r="CH294" s="2"/>
      <c r="CI294" s="2">
        <v>1</v>
      </c>
      <c r="CJ294" s="2">
        <v>1</v>
      </c>
      <c r="CK294" s="2">
        <v>21</v>
      </c>
      <c r="CL294" s="2" t="s">
        <v>88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"FES1162504878"</f>
        <v>FES1162504878</v>
      </c>
      <c r="F295" s="3">
        <v>42649</v>
      </c>
      <c r="G295" s="2">
        <v>201704</v>
      </c>
      <c r="H295" s="2" t="s">
        <v>74</v>
      </c>
      <c r="I295" s="2" t="s">
        <v>75</v>
      </c>
      <c r="J295" s="2" t="s">
        <v>76</v>
      </c>
      <c r="K295" s="2" t="s">
        <v>77</v>
      </c>
      <c r="L295" s="2" t="s">
        <v>676</v>
      </c>
      <c r="M295" s="2" t="s">
        <v>677</v>
      </c>
      <c r="N295" s="2" t="s">
        <v>678</v>
      </c>
      <c r="O295" s="2" t="s">
        <v>96</v>
      </c>
      <c r="P295" s="2" t="str">
        <f>"2170528471                    "</f>
        <v xml:space="preserve">2170528471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8.07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1.9</v>
      </c>
      <c r="BJ295" s="2">
        <v>3.5</v>
      </c>
      <c r="BK295" s="2">
        <v>3.5</v>
      </c>
      <c r="BL295" s="2">
        <v>99.18</v>
      </c>
      <c r="BM295" s="2">
        <v>13.89</v>
      </c>
      <c r="BN295" s="2">
        <v>113.07</v>
      </c>
      <c r="BO295" s="2">
        <v>113.07</v>
      </c>
      <c r="BP295" s="2"/>
      <c r="BQ295" s="2" t="s">
        <v>91</v>
      </c>
      <c r="BR295" s="2" t="s">
        <v>83</v>
      </c>
      <c r="BS295" s="6" t="s">
        <v>679</v>
      </c>
      <c r="BT295" s="2"/>
      <c r="BU295" s="2"/>
      <c r="BV295" s="2"/>
      <c r="BW295" s="2"/>
      <c r="BX295" s="2"/>
      <c r="BY295" s="2">
        <v>17736.03</v>
      </c>
      <c r="BZ295" s="2"/>
      <c r="CA295" s="2"/>
      <c r="CB295" s="2"/>
      <c r="CC295" s="2" t="s">
        <v>677</v>
      </c>
      <c r="CD295" s="2">
        <v>1779</v>
      </c>
      <c r="CE295" s="2" t="s">
        <v>108</v>
      </c>
      <c r="CF295" s="2"/>
      <c r="CG295" s="2"/>
      <c r="CH295" s="2"/>
      <c r="CI295" s="2">
        <v>1</v>
      </c>
      <c r="CJ295" s="2" t="s">
        <v>679</v>
      </c>
      <c r="CK295" s="2">
        <v>24</v>
      </c>
      <c r="CL295" s="2" t="s">
        <v>88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"FES1162505033"</f>
        <v>FES1162505033</v>
      </c>
      <c r="F296" s="3">
        <v>42649</v>
      </c>
      <c r="G296" s="2">
        <v>201704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148</v>
      </c>
      <c r="M296" s="2" t="s">
        <v>149</v>
      </c>
      <c r="N296" s="2" t="s">
        <v>680</v>
      </c>
      <c r="O296" s="2" t="s">
        <v>96</v>
      </c>
      <c r="P296" s="2" t="str">
        <f>"2170528438                    "</f>
        <v xml:space="preserve">2170528438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3.32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</v>
      </c>
      <c r="BJ296" s="2">
        <v>0.2</v>
      </c>
      <c r="BK296" s="2">
        <v>1</v>
      </c>
      <c r="BL296" s="2">
        <v>40.76</v>
      </c>
      <c r="BM296" s="2">
        <v>5.71</v>
      </c>
      <c r="BN296" s="2">
        <v>46.47</v>
      </c>
      <c r="BO296" s="2">
        <v>46.47</v>
      </c>
      <c r="BP296" s="2"/>
      <c r="BQ296" s="2" t="s">
        <v>681</v>
      </c>
      <c r="BR296" s="2" t="s">
        <v>83</v>
      </c>
      <c r="BS296" s="3">
        <v>42650</v>
      </c>
      <c r="BT296" s="4">
        <v>0.39583333333333331</v>
      </c>
      <c r="BU296" s="2" t="s">
        <v>433</v>
      </c>
      <c r="BV296" s="2"/>
      <c r="BW296" s="2"/>
      <c r="BX296" s="2"/>
      <c r="BY296" s="2">
        <v>1200</v>
      </c>
      <c r="BZ296" s="2" t="s">
        <v>27</v>
      </c>
      <c r="CA296" s="2"/>
      <c r="CB296" s="2"/>
      <c r="CC296" s="2" t="s">
        <v>149</v>
      </c>
      <c r="CD296" s="2">
        <v>4001</v>
      </c>
      <c r="CE296" s="2" t="s">
        <v>108</v>
      </c>
      <c r="CF296" s="5">
        <v>42653</v>
      </c>
      <c r="CG296" s="2"/>
      <c r="CH296" s="2"/>
      <c r="CI296" s="2">
        <v>0</v>
      </c>
      <c r="CJ296" s="2">
        <v>0</v>
      </c>
      <c r="CK296" s="2">
        <v>21</v>
      </c>
      <c r="CL296" s="2" t="s">
        <v>88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"FES1162504908"</f>
        <v>FES1162504908</v>
      </c>
      <c r="F297" s="3">
        <v>42649</v>
      </c>
      <c r="G297" s="2">
        <v>201704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153</v>
      </c>
      <c r="M297" s="2" t="s">
        <v>153</v>
      </c>
      <c r="N297" s="2" t="s">
        <v>200</v>
      </c>
      <c r="O297" s="2" t="s">
        <v>96</v>
      </c>
      <c r="P297" s="2" t="str">
        <f>"2170526432                    "</f>
        <v xml:space="preserve">2170526432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7.46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4</v>
      </c>
      <c r="BJ297" s="2">
        <v>4.0999999999999996</v>
      </c>
      <c r="BK297" s="2">
        <v>4.5</v>
      </c>
      <c r="BL297" s="2">
        <v>91.7</v>
      </c>
      <c r="BM297" s="2">
        <v>12.84</v>
      </c>
      <c r="BN297" s="2">
        <v>104.54</v>
      </c>
      <c r="BO297" s="2">
        <v>104.54</v>
      </c>
      <c r="BP297" s="2"/>
      <c r="BQ297" s="2" t="s">
        <v>201</v>
      </c>
      <c r="BR297" s="2" t="s">
        <v>83</v>
      </c>
      <c r="BS297" s="3">
        <v>42650</v>
      </c>
      <c r="BT297" s="4">
        <v>0.55763888888888891</v>
      </c>
      <c r="BU297" s="2" t="s">
        <v>440</v>
      </c>
      <c r="BV297" s="2" t="s">
        <v>85</v>
      </c>
      <c r="BW297" s="2"/>
      <c r="BX297" s="2"/>
      <c r="BY297" s="2">
        <v>20358</v>
      </c>
      <c r="BZ297" s="2" t="s">
        <v>27</v>
      </c>
      <c r="CA297" s="2"/>
      <c r="CB297" s="2"/>
      <c r="CC297" s="2" t="s">
        <v>153</v>
      </c>
      <c r="CD297" s="2">
        <v>7646</v>
      </c>
      <c r="CE297" s="2" t="s">
        <v>86</v>
      </c>
      <c r="CF297" s="5">
        <v>42653</v>
      </c>
      <c r="CG297" s="2"/>
      <c r="CH297" s="2"/>
      <c r="CI297" s="2">
        <v>1</v>
      </c>
      <c r="CJ297" s="2">
        <v>1</v>
      </c>
      <c r="CK297" s="2">
        <v>21</v>
      </c>
      <c r="CL297" s="2" t="s">
        <v>88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"FES1162504984"</f>
        <v>FES1162504984</v>
      </c>
      <c r="F298" s="3">
        <v>42649</v>
      </c>
      <c r="G298" s="2">
        <v>201704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682</v>
      </c>
      <c r="M298" s="2" t="s">
        <v>682</v>
      </c>
      <c r="N298" s="2" t="s">
        <v>683</v>
      </c>
      <c r="O298" s="2" t="s">
        <v>96</v>
      </c>
      <c r="P298" s="2" t="str">
        <f>"2170528616                    "</f>
        <v xml:space="preserve">2170528616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3.32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1.6</v>
      </c>
      <c r="BK298" s="2">
        <v>2</v>
      </c>
      <c r="BL298" s="2">
        <v>40.76</v>
      </c>
      <c r="BM298" s="2">
        <v>5.71</v>
      </c>
      <c r="BN298" s="2">
        <v>46.47</v>
      </c>
      <c r="BO298" s="2">
        <v>46.47</v>
      </c>
      <c r="BP298" s="2"/>
      <c r="BQ298" s="2" t="s">
        <v>117</v>
      </c>
      <c r="BR298" s="2" t="s">
        <v>83</v>
      </c>
      <c r="BS298" s="3">
        <v>42653</v>
      </c>
      <c r="BT298" s="4">
        <v>0.47986111111111113</v>
      </c>
      <c r="BU298" s="2" t="s">
        <v>684</v>
      </c>
      <c r="BV298" s="2" t="s">
        <v>85</v>
      </c>
      <c r="BW298" s="2"/>
      <c r="BX298" s="2"/>
      <c r="BY298" s="2">
        <v>8120</v>
      </c>
      <c r="BZ298" s="2"/>
      <c r="CA298" s="2" t="s">
        <v>685</v>
      </c>
      <c r="CB298" s="2"/>
      <c r="CC298" s="2" t="s">
        <v>682</v>
      </c>
      <c r="CD298" s="2">
        <v>6835</v>
      </c>
      <c r="CE298" s="2" t="s">
        <v>86</v>
      </c>
      <c r="CF298" s="5">
        <v>42653</v>
      </c>
      <c r="CG298" s="2"/>
      <c r="CH298" s="2"/>
      <c r="CI298" s="2">
        <v>3</v>
      </c>
      <c r="CJ298" s="2">
        <v>2</v>
      </c>
      <c r="CK298" s="2">
        <v>21</v>
      </c>
      <c r="CL298" s="2" t="s">
        <v>88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"FES1162505056"</f>
        <v>FES1162505056</v>
      </c>
      <c r="F299" s="3">
        <v>42649</v>
      </c>
      <c r="G299" s="2">
        <v>201704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148</v>
      </c>
      <c r="M299" s="2" t="s">
        <v>149</v>
      </c>
      <c r="N299" s="2" t="s">
        <v>686</v>
      </c>
      <c r="O299" s="2" t="s">
        <v>96</v>
      </c>
      <c r="P299" s="2" t="str">
        <f>"2170528715                    "</f>
        <v xml:space="preserve">2170528715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5.81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3.1</v>
      </c>
      <c r="BJ299" s="2">
        <v>1.6</v>
      </c>
      <c r="BK299" s="2">
        <v>3.5</v>
      </c>
      <c r="BL299" s="2">
        <v>71.33</v>
      </c>
      <c r="BM299" s="2">
        <v>9.99</v>
      </c>
      <c r="BN299" s="2">
        <v>81.319999999999993</v>
      </c>
      <c r="BO299" s="2">
        <v>81.319999999999993</v>
      </c>
      <c r="BP299" s="2"/>
      <c r="BQ299" s="2" t="s">
        <v>91</v>
      </c>
      <c r="BR299" s="2" t="s">
        <v>83</v>
      </c>
      <c r="BS299" s="3">
        <v>42650</v>
      </c>
      <c r="BT299" s="4">
        <v>0.39583333333333331</v>
      </c>
      <c r="BU299" s="2" t="s">
        <v>687</v>
      </c>
      <c r="BV299" s="2" t="s">
        <v>85</v>
      </c>
      <c r="BW299" s="2"/>
      <c r="BX299" s="2"/>
      <c r="BY299" s="2">
        <v>8019.31</v>
      </c>
      <c r="BZ299" s="2" t="s">
        <v>27</v>
      </c>
      <c r="CA299" s="2" t="s">
        <v>129</v>
      </c>
      <c r="CB299" s="2"/>
      <c r="CC299" s="2" t="s">
        <v>149</v>
      </c>
      <c r="CD299" s="2">
        <v>4051</v>
      </c>
      <c r="CE299" s="2" t="s">
        <v>86</v>
      </c>
      <c r="CF299" s="5">
        <v>42653</v>
      </c>
      <c r="CG299" s="2"/>
      <c r="CH299" s="2"/>
      <c r="CI299" s="2">
        <v>1</v>
      </c>
      <c r="CJ299" s="2">
        <v>1</v>
      </c>
      <c r="CK299" s="2">
        <v>21</v>
      </c>
      <c r="CL299" s="2" t="s">
        <v>88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"FES1162504928"</f>
        <v>FES1162504928</v>
      </c>
      <c r="F300" s="3">
        <v>42649</v>
      </c>
      <c r="G300" s="2">
        <v>201704</v>
      </c>
      <c r="H300" s="2" t="s">
        <v>74</v>
      </c>
      <c r="I300" s="2" t="s">
        <v>75</v>
      </c>
      <c r="J300" s="2" t="s">
        <v>76</v>
      </c>
      <c r="K300" s="2" t="s">
        <v>77</v>
      </c>
      <c r="L300" s="2" t="s">
        <v>491</v>
      </c>
      <c r="M300" s="2" t="s">
        <v>492</v>
      </c>
      <c r="N300" s="2" t="s">
        <v>688</v>
      </c>
      <c r="O300" s="2" t="s">
        <v>96</v>
      </c>
      <c r="P300" s="2" t="str">
        <f>"2170527908                    "</f>
        <v xml:space="preserve">2170527908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7.46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3</v>
      </c>
      <c r="BJ300" s="2">
        <v>4.3</v>
      </c>
      <c r="BK300" s="2">
        <v>4.5</v>
      </c>
      <c r="BL300" s="2">
        <v>91.7</v>
      </c>
      <c r="BM300" s="2">
        <v>12.84</v>
      </c>
      <c r="BN300" s="2">
        <v>104.54</v>
      </c>
      <c r="BO300" s="2">
        <v>104.54</v>
      </c>
      <c r="BP300" s="2"/>
      <c r="BQ300" s="2" t="s">
        <v>689</v>
      </c>
      <c r="BR300" s="2" t="s">
        <v>83</v>
      </c>
      <c r="BS300" s="3">
        <v>42650</v>
      </c>
      <c r="BT300" s="4">
        <v>0.4375</v>
      </c>
      <c r="BU300" s="2" t="s">
        <v>690</v>
      </c>
      <c r="BV300" s="2" t="s">
        <v>85</v>
      </c>
      <c r="BW300" s="2"/>
      <c r="BX300" s="2"/>
      <c r="BY300" s="2">
        <v>21402.080000000002</v>
      </c>
      <c r="BZ300" s="2" t="s">
        <v>27</v>
      </c>
      <c r="CA300" s="2"/>
      <c r="CB300" s="2"/>
      <c r="CC300" s="2" t="s">
        <v>492</v>
      </c>
      <c r="CD300" s="2">
        <v>3699</v>
      </c>
      <c r="CE300" s="2" t="s">
        <v>86</v>
      </c>
      <c r="CF300" s="5">
        <v>42653</v>
      </c>
      <c r="CG300" s="2"/>
      <c r="CH300" s="2"/>
      <c r="CI300" s="2">
        <v>1</v>
      </c>
      <c r="CJ300" s="2">
        <v>1</v>
      </c>
      <c r="CK300" s="2">
        <v>21</v>
      </c>
      <c r="CL300" s="2" t="s">
        <v>88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"FES1162505007"</f>
        <v>FES1162505007</v>
      </c>
      <c r="F301" s="3">
        <v>42649</v>
      </c>
      <c r="G301" s="2">
        <v>201704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148</v>
      </c>
      <c r="M301" s="2" t="s">
        <v>149</v>
      </c>
      <c r="N301" s="2" t="s">
        <v>473</v>
      </c>
      <c r="O301" s="2" t="s">
        <v>96</v>
      </c>
      <c r="P301" s="2" t="str">
        <f>"2170528637                    "</f>
        <v xml:space="preserve">2170528637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3.32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1</v>
      </c>
      <c r="BJ301" s="2">
        <v>0.2</v>
      </c>
      <c r="BK301" s="2">
        <v>1</v>
      </c>
      <c r="BL301" s="2">
        <v>40.76</v>
      </c>
      <c r="BM301" s="2">
        <v>5.71</v>
      </c>
      <c r="BN301" s="2">
        <v>46.47</v>
      </c>
      <c r="BO301" s="2">
        <v>46.47</v>
      </c>
      <c r="BP301" s="2"/>
      <c r="BQ301" s="2" t="s">
        <v>117</v>
      </c>
      <c r="BR301" s="2" t="s">
        <v>83</v>
      </c>
      <c r="BS301" s="3">
        <v>42650</v>
      </c>
      <c r="BT301" s="4">
        <v>0.33333333333333331</v>
      </c>
      <c r="BU301" s="2" t="s">
        <v>474</v>
      </c>
      <c r="BV301" s="2" t="s">
        <v>85</v>
      </c>
      <c r="BW301" s="2"/>
      <c r="BX301" s="2"/>
      <c r="BY301" s="2">
        <v>1200</v>
      </c>
      <c r="BZ301" s="2" t="s">
        <v>27</v>
      </c>
      <c r="CA301" s="2"/>
      <c r="CB301" s="2"/>
      <c r="CC301" s="2" t="s">
        <v>149</v>
      </c>
      <c r="CD301" s="2">
        <v>4052</v>
      </c>
      <c r="CE301" s="2" t="s">
        <v>108</v>
      </c>
      <c r="CF301" s="5">
        <v>42653</v>
      </c>
      <c r="CG301" s="2"/>
      <c r="CH301" s="2"/>
      <c r="CI301" s="2">
        <v>1</v>
      </c>
      <c r="CJ301" s="2">
        <v>1</v>
      </c>
      <c r="CK301" s="2">
        <v>21</v>
      </c>
      <c r="CL301" s="2" t="s">
        <v>88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"FES1162505095"</f>
        <v>FES1162505095</v>
      </c>
      <c r="F302" s="3">
        <v>42649</v>
      </c>
      <c r="G302" s="2">
        <v>201704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160</v>
      </c>
      <c r="M302" s="2" t="s">
        <v>161</v>
      </c>
      <c r="N302" s="2" t="s">
        <v>176</v>
      </c>
      <c r="O302" s="2" t="s">
        <v>96</v>
      </c>
      <c r="P302" s="2" t="str">
        <f>"2170528756                    "</f>
        <v xml:space="preserve">2170528756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3.32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1</v>
      </c>
      <c r="BJ302" s="2">
        <v>0.2</v>
      </c>
      <c r="BK302" s="2">
        <v>1</v>
      </c>
      <c r="BL302" s="2">
        <v>40.76</v>
      </c>
      <c r="BM302" s="2">
        <v>5.71</v>
      </c>
      <c r="BN302" s="2">
        <v>46.47</v>
      </c>
      <c r="BO302" s="2">
        <v>46.47</v>
      </c>
      <c r="BP302" s="2"/>
      <c r="BQ302" s="2" t="s">
        <v>258</v>
      </c>
      <c r="BR302" s="2" t="s">
        <v>83</v>
      </c>
      <c r="BS302" s="3">
        <v>42650</v>
      </c>
      <c r="BT302" s="4">
        <v>0.41666666666666669</v>
      </c>
      <c r="BU302" s="2" t="s">
        <v>146</v>
      </c>
      <c r="BV302" s="2" t="s">
        <v>85</v>
      </c>
      <c r="BW302" s="2"/>
      <c r="BX302" s="2"/>
      <c r="BY302" s="2">
        <v>1200</v>
      </c>
      <c r="BZ302" s="2" t="s">
        <v>27</v>
      </c>
      <c r="CA302" s="2"/>
      <c r="CB302" s="2"/>
      <c r="CC302" s="2" t="s">
        <v>161</v>
      </c>
      <c r="CD302" s="2">
        <v>7405</v>
      </c>
      <c r="CE302" s="2" t="s">
        <v>108</v>
      </c>
      <c r="CF302" s="5">
        <v>42653</v>
      </c>
      <c r="CG302" s="2"/>
      <c r="CH302" s="2"/>
      <c r="CI302" s="2">
        <v>1</v>
      </c>
      <c r="CJ302" s="2">
        <v>1</v>
      </c>
      <c r="CK302" s="2">
        <v>21</v>
      </c>
      <c r="CL302" s="2" t="s">
        <v>88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"FES1162505140"</f>
        <v>FES1162505140</v>
      </c>
      <c r="F303" s="3">
        <v>42649</v>
      </c>
      <c r="G303" s="2">
        <v>201704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218</v>
      </c>
      <c r="M303" s="2" t="s">
        <v>219</v>
      </c>
      <c r="N303" s="2" t="s">
        <v>691</v>
      </c>
      <c r="O303" s="2" t="s">
        <v>96</v>
      </c>
      <c r="P303" s="2" t="str">
        <f>"2170528795                    "</f>
        <v xml:space="preserve">2170528795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3.32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1</v>
      </c>
      <c r="BJ303" s="2">
        <v>0.2</v>
      </c>
      <c r="BK303" s="2">
        <v>1</v>
      </c>
      <c r="BL303" s="2">
        <v>40.76</v>
      </c>
      <c r="BM303" s="2">
        <v>5.71</v>
      </c>
      <c r="BN303" s="2">
        <v>46.47</v>
      </c>
      <c r="BO303" s="2">
        <v>46.47</v>
      </c>
      <c r="BP303" s="2"/>
      <c r="BQ303" s="2" t="s">
        <v>692</v>
      </c>
      <c r="BR303" s="2" t="s">
        <v>83</v>
      </c>
      <c r="BS303" s="3">
        <v>42650</v>
      </c>
      <c r="BT303" s="4">
        <v>0.38750000000000001</v>
      </c>
      <c r="BU303" s="2" t="s">
        <v>693</v>
      </c>
      <c r="BV303" s="2" t="s">
        <v>85</v>
      </c>
      <c r="BW303" s="2"/>
      <c r="BX303" s="2"/>
      <c r="BY303" s="2">
        <v>1200</v>
      </c>
      <c r="BZ303" s="2" t="s">
        <v>27</v>
      </c>
      <c r="CA303" s="2"/>
      <c r="CB303" s="2"/>
      <c r="CC303" s="2" t="s">
        <v>219</v>
      </c>
      <c r="CD303" s="2">
        <v>7599</v>
      </c>
      <c r="CE303" s="2" t="s">
        <v>108</v>
      </c>
      <c r="CF303" s="5">
        <v>42653</v>
      </c>
      <c r="CG303" s="2"/>
      <c r="CH303" s="2"/>
      <c r="CI303" s="2">
        <v>1</v>
      </c>
      <c r="CJ303" s="2">
        <v>1</v>
      </c>
      <c r="CK303" s="2">
        <v>21</v>
      </c>
      <c r="CL303" s="2" t="s">
        <v>88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"FES1162505021"</f>
        <v>FES1162505021</v>
      </c>
      <c r="F304" s="3">
        <v>42649</v>
      </c>
      <c r="G304" s="2">
        <v>201704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160</v>
      </c>
      <c r="M304" s="2" t="s">
        <v>161</v>
      </c>
      <c r="N304" s="2" t="s">
        <v>182</v>
      </c>
      <c r="O304" s="2" t="s">
        <v>96</v>
      </c>
      <c r="P304" s="2" t="str">
        <f>"2170528673                    "</f>
        <v xml:space="preserve">2170528673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3.32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1</v>
      </c>
      <c r="BJ304" s="2">
        <v>0.2</v>
      </c>
      <c r="BK304" s="2">
        <v>1</v>
      </c>
      <c r="BL304" s="2">
        <v>40.76</v>
      </c>
      <c r="BM304" s="2">
        <v>5.71</v>
      </c>
      <c r="BN304" s="2">
        <v>46.47</v>
      </c>
      <c r="BO304" s="2">
        <v>46.47</v>
      </c>
      <c r="BP304" s="2"/>
      <c r="BQ304" s="2" t="s">
        <v>91</v>
      </c>
      <c r="BR304" s="2" t="s">
        <v>83</v>
      </c>
      <c r="BS304" s="3">
        <v>42650</v>
      </c>
      <c r="BT304" s="4">
        <v>0.45833333333333331</v>
      </c>
      <c r="BU304" s="2" t="s">
        <v>694</v>
      </c>
      <c r="BV304" s="2"/>
      <c r="BW304" s="2" t="s">
        <v>165</v>
      </c>
      <c r="BX304" s="2" t="s">
        <v>695</v>
      </c>
      <c r="BY304" s="2">
        <v>1200</v>
      </c>
      <c r="BZ304" s="2" t="s">
        <v>27</v>
      </c>
      <c r="CA304" s="2"/>
      <c r="CB304" s="2"/>
      <c r="CC304" s="2" t="s">
        <v>161</v>
      </c>
      <c r="CD304" s="2">
        <v>8001</v>
      </c>
      <c r="CE304" s="2" t="s">
        <v>108</v>
      </c>
      <c r="CF304" s="5">
        <v>42653</v>
      </c>
      <c r="CG304" s="2"/>
      <c r="CH304" s="2"/>
      <c r="CI304" s="2">
        <v>0</v>
      </c>
      <c r="CJ304" s="2">
        <v>0</v>
      </c>
      <c r="CK304" s="2">
        <v>21</v>
      </c>
      <c r="CL304" s="2" t="s">
        <v>88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"FES1162505146"</f>
        <v>FES1162505146</v>
      </c>
      <c r="F305" s="3">
        <v>42649</v>
      </c>
      <c r="G305" s="2">
        <v>201704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148</v>
      </c>
      <c r="M305" s="2" t="s">
        <v>149</v>
      </c>
      <c r="N305" s="2" t="s">
        <v>483</v>
      </c>
      <c r="O305" s="2" t="s">
        <v>96</v>
      </c>
      <c r="P305" s="2" t="str">
        <f>"2170528809                    "</f>
        <v xml:space="preserve">2170528809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3.32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1</v>
      </c>
      <c r="BJ305" s="2">
        <v>0.2</v>
      </c>
      <c r="BK305" s="2">
        <v>1</v>
      </c>
      <c r="BL305" s="2">
        <v>40.76</v>
      </c>
      <c r="BM305" s="2">
        <v>5.71</v>
      </c>
      <c r="BN305" s="2">
        <v>46.47</v>
      </c>
      <c r="BO305" s="2">
        <v>46.47</v>
      </c>
      <c r="BP305" s="2"/>
      <c r="BQ305" s="2" t="s">
        <v>484</v>
      </c>
      <c r="BR305" s="2" t="s">
        <v>83</v>
      </c>
      <c r="BS305" s="3">
        <v>42650</v>
      </c>
      <c r="BT305" s="4">
        <v>0.35416666666666669</v>
      </c>
      <c r="BU305" s="2" t="s">
        <v>485</v>
      </c>
      <c r="BV305" s="2"/>
      <c r="BW305" s="2"/>
      <c r="BX305" s="2"/>
      <c r="BY305" s="2">
        <v>1200</v>
      </c>
      <c r="BZ305" s="2" t="s">
        <v>27</v>
      </c>
      <c r="CA305" s="2" t="s">
        <v>129</v>
      </c>
      <c r="CB305" s="2"/>
      <c r="CC305" s="2" t="s">
        <v>149</v>
      </c>
      <c r="CD305" s="2">
        <v>4001</v>
      </c>
      <c r="CE305" s="2" t="s">
        <v>108</v>
      </c>
      <c r="CF305" s="5">
        <v>42653</v>
      </c>
      <c r="CG305" s="2"/>
      <c r="CH305" s="2"/>
      <c r="CI305" s="2">
        <v>0</v>
      </c>
      <c r="CJ305" s="2">
        <v>0</v>
      </c>
      <c r="CK305" s="2">
        <v>21</v>
      </c>
      <c r="CL305" s="2" t="s">
        <v>88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"FES1162505162"</f>
        <v>FES1162505162</v>
      </c>
      <c r="F306" s="3">
        <v>42649</v>
      </c>
      <c r="G306" s="2">
        <v>201704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269</v>
      </c>
      <c r="M306" s="2" t="s">
        <v>270</v>
      </c>
      <c r="N306" s="2" t="s">
        <v>565</v>
      </c>
      <c r="O306" s="2" t="s">
        <v>96</v>
      </c>
      <c r="P306" s="2" t="str">
        <f>"2170526724                    "</f>
        <v xml:space="preserve">2170526724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4.9800000000000004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2.7</v>
      </c>
      <c r="BJ306" s="2">
        <v>1.7</v>
      </c>
      <c r="BK306" s="2">
        <v>3</v>
      </c>
      <c r="BL306" s="2">
        <v>61.14</v>
      </c>
      <c r="BM306" s="2">
        <v>8.56</v>
      </c>
      <c r="BN306" s="2">
        <v>69.7</v>
      </c>
      <c r="BO306" s="2">
        <v>69.7</v>
      </c>
      <c r="BP306" s="2"/>
      <c r="BQ306" s="2" t="s">
        <v>566</v>
      </c>
      <c r="BR306" s="2" t="s">
        <v>83</v>
      </c>
      <c r="BS306" s="3">
        <v>42650</v>
      </c>
      <c r="BT306" s="4">
        <v>0.42777777777777781</v>
      </c>
      <c r="BU306" s="2" t="s">
        <v>567</v>
      </c>
      <c r="BV306" s="2" t="s">
        <v>85</v>
      </c>
      <c r="BW306" s="2"/>
      <c r="BX306" s="2"/>
      <c r="BY306" s="2">
        <v>8343.9699999999993</v>
      </c>
      <c r="BZ306" s="2" t="s">
        <v>27</v>
      </c>
      <c r="CA306" s="2" t="s">
        <v>129</v>
      </c>
      <c r="CB306" s="2"/>
      <c r="CC306" s="2" t="s">
        <v>270</v>
      </c>
      <c r="CD306" s="2">
        <v>3620</v>
      </c>
      <c r="CE306" s="2" t="s">
        <v>86</v>
      </c>
      <c r="CF306" s="5">
        <v>42653</v>
      </c>
      <c r="CG306" s="2"/>
      <c r="CH306" s="2"/>
      <c r="CI306" s="2">
        <v>1</v>
      </c>
      <c r="CJ306" s="2">
        <v>1</v>
      </c>
      <c r="CK306" s="2">
        <v>21</v>
      </c>
      <c r="CL306" s="2" t="s">
        <v>88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"FES1162505119"</f>
        <v>FES1162505119</v>
      </c>
      <c r="F307" s="3">
        <v>42649</v>
      </c>
      <c r="G307" s="2">
        <v>201704</v>
      </c>
      <c r="H307" s="2" t="s">
        <v>74</v>
      </c>
      <c r="I307" s="2" t="s">
        <v>75</v>
      </c>
      <c r="J307" s="2" t="s">
        <v>76</v>
      </c>
      <c r="K307" s="2" t="s">
        <v>77</v>
      </c>
      <c r="L307" s="2" t="s">
        <v>137</v>
      </c>
      <c r="M307" s="2" t="s">
        <v>138</v>
      </c>
      <c r="N307" s="2" t="s">
        <v>167</v>
      </c>
      <c r="O307" s="2" t="s">
        <v>96</v>
      </c>
      <c r="P307" s="2" t="str">
        <f>"2170528777                    "</f>
        <v xml:space="preserve">2170528777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4.9800000000000004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3</v>
      </c>
      <c r="BJ307" s="2">
        <v>0.6</v>
      </c>
      <c r="BK307" s="2">
        <v>3</v>
      </c>
      <c r="BL307" s="2">
        <v>61.14</v>
      </c>
      <c r="BM307" s="2">
        <v>8.56</v>
      </c>
      <c r="BN307" s="2">
        <v>69.7</v>
      </c>
      <c r="BO307" s="2">
        <v>69.7</v>
      </c>
      <c r="BP307" s="2"/>
      <c r="BQ307" s="2" t="s">
        <v>168</v>
      </c>
      <c r="BR307" s="2" t="s">
        <v>83</v>
      </c>
      <c r="BS307" s="3">
        <v>42650</v>
      </c>
      <c r="BT307" s="4">
        <v>0.3972222222222222</v>
      </c>
      <c r="BU307" s="2" t="s">
        <v>696</v>
      </c>
      <c r="BV307" s="2" t="s">
        <v>85</v>
      </c>
      <c r="BW307" s="2"/>
      <c r="BX307" s="2"/>
      <c r="BY307" s="2">
        <v>3024</v>
      </c>
      <c r="BZ307" s="2" t="s">
        <v>27</v>
      </c>
      <c r="CA307" s="2" t="s">
        <v>142</v>
      </c>
      <c r="CB307" s="2"/>
      <c r="CC307" s="2" t="s">
        <v>138</v>
      </c>
      <c r="CD307" s="2">
        <v>3201</v>
      </c>
      <c r="CE307" s="2" t="s">
        <v>368</v>
      </c>
      <c r="CF307" s="5">
        <v>42650</v>
      </c>
      <c r="CG307" s="2"/>
      <c r="CH307" s="2"/>
      <c r="CI307" s="2">
        <v>1</v>
      </c>
      <c r="CJ307" s="2">
        <v>1</v>
      </c>
      <c r="CK307" s="2">
        <v>21</v>
      </c>
      <c r="CL307" s="2" t="s">
        <v>88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"FES1162505101"</f>
        <v>FES1162505101</v>
      </c>
      <c r="F308" s="3">
        <v>42649</v>
      </c>
      <c r="G308" s="2">
        <v>201704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148</v>
      </c>
      <c r="M308" s="2" t="s">
        <v>149</v>
      </c>
      <c r="N308" s="2" t="s">
        <v>483</v>
      </c>
      <c r="O308" s="2" t="s">
        <v>96</v>
      </c>
      <c r="P308" s="2" t="str">
        <f>"2170528763                    "</f>
        <v xml:space="preserve">2170528763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3.32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1</v>
      </c>
      <c r="BJ308" s="2">
        <v>0.2</v>
      </c>
      <c r="BK308" s="2">
        <v>1</v>
      </c>
      <c r="BL308" s="2">
        <v>40.76</v>
      </c>
      <c r="BM308" s="2">
        <v>5.71</v>
      </c>
      <c r="BN308" s="2">
        <v>46.47</v>
      </c>
      <c r="BO308" s="2">
        <v>46.47</v>
      </c>
      <c r="BP308" s="2"/>
      <c r="BQ308" s="2" t="s">
        <v>484</v>
      </c>
      <c r="BR308" s="2" t="s">
        <v>83</v>
      </c>
      <c r="BS308" s="3">
        <v>42650</v>
      </c>
      <c r="BT308" s="4">
        <v>0.35416666666666669</v>
      </c>
      <c r="BU308" s="2" t="s">
        <v>485</v>
      </c>
      <c r="BV308" s="2"/>
      <c r="BW308" s="2"/>
      <c r="BX308" s="2"/>
      <c r="BY308" s="2">
        <v>1200</v>
      </c>
      <c r="BZ308" s="2" t="s">
        <v>27</v>
      </c>
      <c r="CA308" s="2" t="s">
        <v>129</v>
      </c>
      <c r="CB308" s="2"/>
      <c r="CC308" s="2" t="s">
        <v>149</v>
      </c>
      <c r="CD308" s="2">
        <v>4001</v>
      </c>
      <c r="CE308" s="2" t="s">
        <v>108</v>
      </c>
      <c r="CF308" s="5">
        <v>42653</v>
      </c>
      <c r="CG308" s="2"/>
      <c r="CH308" s="2"/>
      <c r="CI308" s="2">
        <v>0</v>
      </c>
      <c r="CJ308" s="2">
        <v>0</v>
      </c>
      <c r="CK308" s="2">
        <v>21</v>
      </c>
      <c r="CL308" s="2" t="s">
        <v>88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"FES1162504504"</f>
        <v>FES1162504504</v>
      </c>
      <c r="F309" s="3">
        <v>42649</v>
      </c>
      <c r="G309" s="2">
        <v>201704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114</v>
      </c>
      <c r="M309" s="2" t="s">
        <v>115</v>
      </c>
      <c r="N309" s="2" t="s">
        <v>116</v>
      </c>
      <c r="O309" s="2" t="s">
        <v>96</v>
      </c>
      <c r="P309" s="2" t="str">
        <f>"2170528217                    "</f>
        <v xml:space="preserve">2170528217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18.04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4</v>
      </c>
      <c r="BJ309" s="2">
        <v>5.8</v>
      </c>
      <c r="BK309" s="2">
        <v>6</v>
      </c>
      <c r="BL309" s="2">
        <v>221.62</v>
      </c>
      <c r="BM309" s="2">
        <v>31.03</v>
      </c>
      <c r="BN309" s="2">
        <v>252.65</v>
      </c>
      <c r="BO309" s="2">
        <v>252.65</v>
      </c>
      <c r="BP309" s="2"/>
      <c r="BQ309" s="2" t="s">
        <v>117</v>
      </c>
      <c r="BR309" s="2" t="s">
        <v>83</v>
      </c>
      <c r="BS309" s="3">
        <v>42650</v>
      </c>
      <c r="BT309" s="4">
        <v>0.58611111111111114</v>
      </c>
      <c r="BU309" s="2" t="s">
        <v>118</v>
      </c>
      <c r="BV309" s="2" t="s">
        <v>85</v>
      </c>
      <c r="BW309" s="2"/>
      <c r="BX309" s="2"/>
      <c r="BY309" s="2">
        <v>28800</v>
      </c>
      <c r="BZ309" s="2"/>
      <c r="CA309" s="2"/>
      <c r="CB309" s="2"/>
      <c r="CC309" s="2" t="s">
        <v>115</v>
      </c>
      <c r="CD309" s="2">
        <v>5850</v>
      </c>
      <c r="CE309" s="2" t="s">
        <v>86</v>
      </c>
      <c r="CF309" s="5">
        <v>42655</v>
      </c>
      <c r="CG309" s="2"/>
      <c r="CH309" s="2"/>
      <c r="CI309" s="2">
        <v>3</v>
      </c>
      <c r="CJ309" s="2">
        <v>1</v>
      </c>
      <c r="CK309" s="2">
        <v>23</v>
      </c>
      <c r="CL309" s="2" t="s">
        <v>88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"FES1162505158"</f>
        <v>FES1162505158</v>
      </c>
      <c r="F310" s="3">
        <v>42649</v>
      </c>
      <c r="G310" s="2">
        <v>201704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148</v>
      </c>
      <c r="M310" s="2" t="s">
        <v>149</v>
      </c>
      <c r="N310" s="2" t="s">
        <v>296</v>
      </c>
      <c r="O310" s="2" t="s">
        <v>96</v>
      </c>
      <c r="P310" s="2" t="str">
        <f>"2170528806                    "</f>
        <v xml:space="preserve">2170528806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30.68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7.5</v>
      </c>
      <c r="BJ310" s="2">
        <v>18.3</v>
      </c>
      <c r="BK310" s="2">
        <v>18.5</v>
      </c>
      <c r="BL310" s="2">
        <v>377</v>
      </c>
      <c r="BM310" s="2">
        <v>52.78</v>
      </c>
      <c r="BN310" s="2">
        <v>429.78</v>
      </c>
      <c r="BO310" s="2">
        <v>429.78</v>
      </c>
      <c r="BP310" s="2"/>
      <c r="BQ310" s="2" t="s">
        <v>168</v>
      </c>
      <c r="BR310" s="2" t="s">
        <v>83</v>
      </c>
      <c r="BS310" s="3">
        <v>42650</v>
      </c>
      <c r="BT310" s="4">
        <v>0.4375</v>
      </c>
      <c r="BU310" s="2" t="s">
        <v>238</v>
      </c>
      <c r="BV310" s="2" t="s">
        <v>85</v>
      </c>
      <c r="BW310" s="2"/>
      <c r="BX310" s="2"/>
      <c r="BY310" s="2">
        <v>91264</v>
      </c>
      <c r="BZ310" s="2" t="s">
        <v>27</v>
      </c>
      <c r="CA310" s="2"/>
      <c r="CB310" s="2"/>
      <c r="CC310" s="2" t="s">
        <v>149</v>
      </c>
      <c r="CD310" s="2">
        <v>4001</v>
      </c>
      <c r="CE310" s="2" t="s">
        <v>86</v>
      </c>
      <c r="CF310" s="5">
        <v>42653</v>
      </c>
      <c r="CG310" s="2"/>
      <c r="CH310" s="2"/>
      <c r="CI310" s="2">
        <v>1</v>
      </c>
      <c r="CJ310" s="2">
        <v>1</v>
      </c>
      <c r="CK310" s="2">
        <v>21</v>
      </c>
      <c r="CL310" s="2" t="s">
        <v>88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"FES1162505148"</f>
        <v>FES1162505148</v>
      </c>
      <c r="F311" s="3">
        <v>42649</v>
      </c>
      <c r="G311" s="2">
        <v>201704</v>
      </c>
      <c r="H311" s="2" t="s">
        <v>74</v>
      </c>
      <c r="I311" s="2" t="s">
        <v>75</v>
      </c>
      <c r="J311" s="2" t="s">
        <v>76</v>
      </c>
      <c r="K311" s="2" t="s">
        <v>77</v>
      </c>
      <c r="L311" s="2" t="s">
        <v>137</v>
      </c>
      <c r="M311" s="2" t="s">
        <v>138</v>
      </c>
      <c r="N311" s="2" t="s">
        <v>203</v>
      </c>
      <c r="O311" s="2" t="s">
        <v>96</v>
      </c>
      <c r="P311" s="2" t="str">
        <f>"2170528815                    "</f>
        <v xml:space="preserve">2170528815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11.61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6.6</v>
      </c>
      <c r="BJ311" s="2">
        <v>3.2</v>
      </c>
      <c r="BK311" s="2">
        <v>7</v>
      </c>
      <c r="BL311" s="2">
        <v>142.65</v>
      </c>
      <c r="BM311" s="2">
        <v>19.97</v>
      </c>
      <c r="BN311" s="2">
        <v>162.62</v>
      </c>
      <c r="BO311" s="2">
        <v>162.62</v>
      </c>
      <c r="BP311" s="2"/>
      <c r="BQ311" s="2" t="s">
        <v>168</v>
      </c>
      <c r="BR311" s="2" t="s">
        <v>83</v>
      </c>
      <c r="BS311" s="3">
        <v>42650</v>
      </c>
      <c r="BT311" s="4">
        <v>0.39583333333333331</v>
      </c>
      <c r="BU311" s="2" t="s">
        <v>697</v>
      </c>
      <c r="BV311" s="2"/>
      <c r="BW311" s="2"/>
      <c r="BX311" s="2"/>
      <c r="BY311" s="2">
        <v>16185.6</v>
      </c>
      <c r="BZ311" s="2" t="s">
        <v>27</v>
      </c>
      <c r="CA311" s="2" t="s">
        <v>613</v>
      </c>
      <c r="CB311" s="2"/>
      <c r="CC311" s="2" t="s">
        <v>138</v>
      </c>
      <c r="CD311" s="2">
        <v>3201</v>
      </c>
      <c r="CE311" s="2" t="s">
        <v>86</v>
      </c>
      <c r="CF311" s="5">
        <v>42650</v>
      </c>
      <c r="CG311" s="2"/>
      <c r="CH311" s="2"/>
      <c r="CI311" s="2">
        <v>0</v>
      </c>
      <c r="CJ311" s="2">
        <v>0</v>
      </c>
      <c r="CK311" s="2">
        <v>21</v>
      </c>
      <c r="CL311" s="2" t="s">
        <v>88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"FES1162505096"</f>
        <v>FES1162505096</v>
      </c>
      <c r="F312" s="3">
        <v>42649</v>
      </c>
      <c r="G312" s="2">
        <v>201704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698</v>
      </c>
      <c r="M312" s="2" t="s">
        <v>699</v>
      </c>
      <c r="N312" s="2" t="s">
        <v>700</v>
      </c>
      <c r="O312" s="2" t="s">
        <v>96</v>
      </c>
      <c r="P312" s="2" t="str">
        <f>"2170528760                    "</f>
        <v xml:space="preserve">2170528760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10.34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3</v>
      </c>
      <c r="BJ312" s="2">
        <v>4.0999999999999996</v>
      </c>
      <c r="BK312" s="2">
        <v>4.5</v>
      </c>
      <c r="BL312" s="2">
        <v>127.09</v>
      </c>
      <c r="BM312" s="2">
        <v>17.79</v>
      </c>
      <c r="BN312" s="2">
        <v>144.88</v>
      </c>
      <c r="BO312" s="2">
        <v>144.88</v>
      </c>
      <c r="BP312" s="2"/>
      <c r="BQ312" s="2" t="s">
        <v>91</v>
      </c>
      <c r="BR312" s="2" t="s">
        <v>83</v>
      </c>
      <c r="BS312" s="3">
        <v>42650</v>
      </c>
      <c r="BT312" s="4">
        <v>0.41666666666666669</v>
      </c>
      <c r="BU312" s="2" t="s">
        <v>701</v>
      </c>
      <c r="BV312" s="2" t="s">
        <v>85</v>
      </c>
      <c r="BW312" s="2"/>
      <c r="BX312" s="2"/>
      <c r="BY312" s="2">
        <v>20358</v>
      </c>
      <c r="BZ312" s="2" t="s">
        <v>27</v>
      </c>
      <c r="CA312" s="2"/>
      <c r="CB312" s="2"/>
      <c r="CC312" s="2" t="s">
        <v>699</v>
      </c>
      <c r="CD312" s="2">
        <v>1759</v>
      </c>
      <c r="CE312" s="2" t="s">
        <v>86</v>
      </c>
      <c r="CF312" s="5">
        <v>42653</v>
      </c>
      <c r="CG312" s="2"/>
      <c r="CH312" s="2"/>
      <c r="CI312" s="2">
        <v>1</v>
      </c>
      <c r="CJ312" s="2">
        <v>1</v>
      </c>
      <c r="CK312" s="2">
        <v>24</v>
      </c>
      <c r="CL312" s="2" t="s">
        <v>88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"FES1162505117"</f>
        <v>FES1162505117</v>
      </c>
      <c r="F313" s="3">
        <v>42649</v>
      </c>
      <c r="G313" s="2">
        <v>201704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160</v>
      </c>
      <c r="M313" s="2" t="s">
        <v>161</v>
      </c>
      <c r="N313" s="2" t="s">
        <v>646</v>
      </c>
      <c r="O313" s="2" t="s">
        <v>96</v>
      </c>
      <c r="P313" s="2" t="str">
        <f>"2170528774                    "</f>
        <v xml:space="preserve">2170528774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19.899999999999999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12</v>
      </c>
      <c r="BJ313" s="2">
        <v>4.0999999999999996</v>
      </c>
      <c r="BK313" s="2">
        <v>12</v>
      </c>
      <c r="BL313" s="2">
        <v>244.54</v>
      </c>
      <c r="BM313" s="2">
        <v>34.24</v>
      </c>
      <c r="BN313" s="2">
        <v>278.77999999999997</v>
      </c>
      <c r="BO313" s="2">
        <v>278.77999999999997</v>
      </c>
      <c r="BP313" s="2"/>
      <c r="BQ313" s="2" t="s">
        <v>508</v>
      </c>
      <c r="BR313" s="2" t="s">
        <v>83</v>
      </c>
      <c r="BS313" s="3">
        <v>42650</v>
      </c>
      <c r="BT313" s="4">
        <v>0.4826388888888889</v>
      </c>
      <c r="BU313" s="2" t="s">
        <v>508</v>
      </c>
      <c r="BV313" s="2" t="s">
        <v>88</v>
      </c>
      <c r="BW313" s="2" t="s">
        <v>277</v>
      </c>
      <c r="BX313" s="2" t="s">
        <v>695</v>
      </c>
      <c r="BY313" s="2">
        <v>20358</v>
      </c>
      <c r="BZ313" s="2" t="s">
        <v>27</v>
      </c>
      <c r="CA313" s="2" t="s">
        <v>316</v>
      </c>
      <c r="CB313" s="2"/>
      <c r="CC313" s="2" t="s">
        <v>161</v>
      </c>
      <c r="CD313" s="2">
        <v>7550</v>
      </c>
      <c r="CE313" s="2" t="s">
        <v>86</v>
      </c>
      <c r="CF313" s="5">
        <v>42650</v>
      </c>
      <c r="CG313" s="2"/>
      <c r="CH313" s="2"/>
      <c r="CI313" s="2">
        <v>1</v>
      </c>
      <c r="CJ313" s="2">
        <v>1</v>
      </c>
      <c r="CK313" s="2">
        <v>21</v>
      </c>
      <c r="CL313" s="2" t="s">
        <v>88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"FES1162504981"</f>
        <v>FES1162504981</v>
      </c>
      <c r="F314" s="3">
        <v>42649</v>
      </c>
      <c r="G314" s="2">
        <v>201704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160</v>
      </c>
      <c r="M314" s="2" t="s">
        <v>161</v>
      </c>
      <c r="N314" s="2" t="s">
        <v>411</v>
      </c>
      <c r="O314" s="2" t="s">
        <v>96</v>
      </c>
      <c r="P314" s="2" t="str">
        <f>"2170528475                    "</f>
        <v xml:space="preserve">2170528475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3.32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2</v>
      </c>
      <c r="BJ314" s="2">
        <v>1.1000000000000001</v>
      </c>
      <c r="BK314" s="2">
        <v>2</v>
      </c>
      <c r="BL314" s="2">
        <v>40.76</v>
      </c>
      <c r="BM314" s="2">
        <v>5.71</v>
      </c>
      <c r="BN314" s="2">
        <v>46.47</v>
      </c>
      <c r="BO314" s="2">
        <v>46.47</v>
      </c>
      <c r="BP314" s="2"/>
      <c r="BQ314" s="2" t="s">
        <v>412</v>
      </c>
      <c r="BR314" s="2" t="s">
        <v>83</v>
      </c>
      <c r="BS314" s="3">
        <v>42650</v>
      </c>
      <c r="BT314" s="4">
        <v>0.47916666666666669</v>
      </c>
      <c r="BU314" s="2" t="s">
        <v>702</v>
      </c>
      <c r="BV314" s="2" t="s">
        <v>85</v>
      </c>
      <c r="BW314" s="2"/>
      <c r="BX314" s="2"/>
      <c r="BY314" s="2">
        <v>5320</v>
      </c>
      <c r="BZ314" s="2"/>
      <c r="CA314" s="2"/>
      <c r="CB314" s="2"/>
      <c r="CC314" s="2" t="s">
        <v>161</v>
      </c>
      <c r="CD314" s="2">
        <v>7945</v>
      </c>
      <c r="CE314" s="2" t="s">
        <v>86</v>
      </c>
      <c r="CF314" s="5">
        <v>42654</v>
      </c>
      <c r="CG314" s="2"/>
      <c r="CH314" s="2"/>
      <c r="CI314" s="2">
        <v>1</v>
      </c>
      <c r="CJ314" s="2">
        <v>1</v>
      </c>
      <c r="CK314" s="2">
        <v>21</v>
      </c>
      <c r="CL314" s="2" t="s">
        <v>88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"FES1162505166"</f>
        <v>FES1162505166</v>
      </c>
      <c r="F315" s="3">
        <v>42649</v>
      </c>
      <c r="G315" s="2">
        <v>201704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160</v>
      </c>
      <c r="M315" s="2" t="s">
        <v>161</v>
      </c>
      <c r="N315" s="2" t="s">
        <v>179</v>
      </c>
      <c r="O315" s="2" t="s">
        <v>96</v>
      </c>
      <c r="P315" s="2" t="str">
        <f>"2170528837                    "</f>
        <v xml:space="preserve">2170528837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15.76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9</v>
      </c>
      <c r="BJ315" s="2">
        <v>9.1</v>
      </c>
      <c r="BK315" s="2">
        <v>9.5</v>
      </c>
      <c r="BL315" s="2">
        <v>193.6</v>
      </c>
      <c r="BM315" s="2">
        <v>27.1</v>
      </c>
      <c r="BN315" s="2">
        <v>220.7</v>
      </c>
      <c r="BO315" s="2">
        <v>220.7</v>
      </c>
      <c r="BP315" s="2"/>
      <c r="BQ315" s="2" t="s">
        <v>180</v>
      </c>
      <c r="BR315" s="2" t="s">
        <v>83</v>
      </c>
      <c r="BS315" s="3">
        <v>42650</v>
      </c>
      <c r="BT315" s="4">
        <v>0.41666666666666669</v>
      </c>
      <c r="BU315" s="2" t="s">
        <v>181</v>
      </c>
      <c r="BV315" s="2" t="s">
        <v>85</v>
      </c>
      <c r="BW315" s="2"/>
      <c r="BX315" s="2"/>
      <c r="BY315" s="2">
        <v>45632</v>
      </c>
      <c r="BZ315" s="2" t="s">
        <v>27</v>
      </c>
      <c r="CA315" s="2"/>
      <c r="CB315" s="2"/>
      <c r="CC315" s="2" t="s">
        <v>161</v>
      </c>
      <c r="CD315" s="2">
        <v>7405</v>
      </c>
      <c r="CE315" s="2" t="s">
        <v>86</v>
      </c>
      <c r="CF315" s="5">
        <v>42653</v>
      </c>
      <c r="CG315" s="2"/>
      <c r="CH315" s="2"/>
      <c r="CI315" s="2">
        <v>1</v>
      </c>
      <c r="CJ315" s="2">
        <v>1</v>
      </c>
      <c r="CK315" s="2">
        <v>21</v>
      </c>
      <c r="CL315" s="2" t="s">
        <v>88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"FES1162504946"</f>
        <v>FES1162504946</v>
      </c>
      <c r="F316" s="3">
        <v>42649</v>
      </c>
      <c r="G316" s="2">
        <v>201704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160</v>
      </c>
      <c r="M316" s="2" t="s">
        <v>161</v>
      </c>
      <c r="N316" s="2" t="s">
        <v>601</v>
      </c>
      <c r="O316" s="2" t="s">
        <v>96</v>
      </c>
      <c r="P316" s="2" t="str">
        <f>"2170526641                    "</f>
        <v xml:space="preserve">2170526641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3.32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1.5</v>
      </c>
      <c r="BJ316" s="2">
        <v>1.7</v>
      </c>
      <c r="BK316" s="2">
        <v>2</v>
      </c>
      <c r="BL316" s="2">
        <v>40.76</v>
      </c>
      <c r="BM316" s="2">
        <v>5.71</v>
      </c>
      <c r="BN316" s="2">
        <v>46.47</v>
      </c>
      <c r="BO316" s="2">
        <v>46.47</v>
      </c>
      <c r="BP316" s="2"/>
      <c r="BQ316" s="2" t="s">
        <v>602</v>
      </c>
      <c r="BR316" s="2" t="s">
        <v>83</v>
      </c>
      <c r="BS316" s="3">
        <v>42650</v>
      </c>
      <c r="BT316" s="4">
        <v>0.38263888888888892</v>
      </c>
      <c r="BU316" s="2" t="s">
        <v>703</v>
      </c>
      <c r="BV316" s="2" t="s">
        <v>85</v>
      </c>
      <c r="BW316" s="2"/>
      <c r="BX316" s="2"/>
      <c r="BY316" s="2">
        <v>8521.07</v>
      </c>
      <c r="BZ316" s="2" t="s">
        <v>27</v>
      </c>
      <c r="CA316" s="2"/>
      <c r="CB316" s="2"/>
      <c r="CC316" s="2" t="s">
        <v>161</v>
      </c>
      <c r="CD316" s="2">
        <v>7945</v>
      </c>
      <c r="CE316" s="2" t="s">
        <v>108</v>
      </c>
      <c r="CF316" s="5">
        <v>42653</v>
      </c>
      <c r="CG316" s="2"/>
      <c r="CH316" s="2"/>
      <c r="CI316" s="2">
        <v>1</v>
      </c>
      <c r="CJ316" s="2">
        <v>1</v>
      </c>
      <c r="CK316" s="2">
        <v>21</v>
      </c>
      <c r="CL316" s="2" t="s">
        <v>88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"FES1162505141"</f>
        <v>FES1162505141</v>
      </c>
      <c r="F317" s="3">
        <v>42649</v>
      </c>
      <c r="G317" s="2">
        <v>201704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698</v>
      </c>
      <c r="M317" s="2" t="s">
        <v>699</v>
      </c>
      <c r="N317" s="2" t="s">
        <v>704</v>
      </c>
      <c r="O317" s="2" t="s">
        <v>96</v>
      </c>
      <c r="P317" s="2" t="str">
        <f>"2170528799                    "</f>
        <v xml:space="preserve">2170528799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4.66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57.31</v>
      </c>
      <c r="BM317" s="2">
        <v>8.02</v>
      </c>
      <c r="BN317" s="2">
        <v>65.33</v>
      </c>
      <c r="BO317" s="2">
        <v>65.33</v>
      </c>
      <c r="BP317" s="2"/>
      <c r="BQ317" s="2" t="s">
        <v>705</v>
      </c>
      <c r="BR317" s="2" t="s">
        <v>83</v>
      </c>
      <c r="BS317" s="3">
        <v>42650</v>
      </c>
      <c r="BT317" s="4">
        <v>0.41666666666666669</v>
      </c>
      <c r="BU317" s="2" t="s">
        <v>701</v>
      </c>
      <c r="BV317" s="2" t="s">
        <v>85</v>
      </c>
      <c r="BW317" s="2"/>
      <c r="BX317" s="2"/>
      <c r="BY317" s="2">
        <v>1200</v>
      </c>
      <c r="BZ317" s="2" t="s">
        <v>27</v>
      </c>
      <c r="CA317" s="2"/>
      <c r="CB317" s="2"/>
      <c r="CC317" s="2" t="s">
        <v>699</v>
      </c>
      <c r="CD317" s="2">
        <v>1759</v>
      </c>
      <c r="CE317" s="2" t="s">
        <v>108</v>
      </c>
      <c r="CF317" s="5">
        <v>42653</v>
      </c>
      <c r="CG317" s="2"/>
      <c r="CH317" s="2"/>
      <c r="CI317" s="2">
        <v>1</v>
      </c>
      <c r="CJ317" s="2">
        <v>1</v>
      </c>
      <c r="CK317" s="2">
        <v>24</v>
      </c>
      <c r="CL317" s="2" t="s">
        <v>88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"FES1162505150"</f>
        <v>FES1162505150</v>
      </c>
      <c r="F318" s="3">
        <v>42649</v>
      </c>
      <c r="G318" s="2">
        <v>201704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143</v>
      </c>
      <c r="M318" s="2" t="s">
        <v>144</v>
      </c>
      <c r="N318" s="2" t="s">
        <v>216</v>
      </c>
      <c r="O318" s="2" t="s">
        <v>96</v>
      </c>
      <c r="P318" s="2" t="str">
        <f>"2170528819                    "</f>
        <v xml:space="preserve">2170528819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3.32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1</v>
      </c>
      <c r="BJ318" s="2">
        <v>0.2</v>
      </c>
      <c r="BK318" s="2">
        <v>1</v>
      </c>
      <c r="BL318" s="2">
        <v>40.76</v>
      </c>
      <c r="BM318" s="2">
        <v>5.71</v>
      </c>
      <c r="BN318" s="2">
        <v>46.47</v>
      </c>
      <c r="BO318" s="2">
        <v>46.47</v>
      </c>
      <c r="BP318" s="2"/>
      <c r="BQ318" s="2" t="s">
        <v>91</v>
      </c>
      <c r="BR318" s="2" t="s">
        <v>83</v>
      </c>
      <c r="BS318" s="3">
        <v>42650</v>
      </c>
      <c r="BT318" s="4">
        <v>0.4375</v>
      </c>
      <c r="BU318" s="2" t="s">
        <v>706</v>
      </c>
      <c r="BV318" s="2" t="s">
        <v>85</v>
      </c>
      <c r="BW318" s="2"/>
      <c r="BX318" s="2"/>
      <c r="BY318" s="2">
        <v>1200</v>
      </c>
      <c r="BZ318" s="2" t="s">
        <v>27</v>
      </c>
      <c r="CA318" s="2"/>
      <c r="CB318" s="2"/>
      <c r="CC318" s="2" t="s">
        <v>144</v>
      </c>
      <c r="CD318" s="2">
        <v>5201</v>
      </c>
      <c r="CE318" s="2" t="s">
        <v>108</v>
      </c>
      <c r="CF318" s="5">
        <v>42653</v>
      </c>
      <c r="CG318" s="2"/>
      <c r="CH318" s="2"/>
      <c r="CI318" s="2">
        <v>1</v>
      </c>
      <c r="CJ318" s="2">
        <v>1</v>
      </c>
      <c r="CK318" s="2">
        <v>21</v>
      </c>
      <c r="CL318" s="2" t="s">
        <v>88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"FES1162505138"</f>
        <v>FES1162505138</v>
      </c>
      <c r="F319" s="3">
        <v>42649</v>
      </c>
      <c r="G319" s="2">
        <v>201704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207</v>
      </c>
      <c r="M319" s="2" t="s">
        <v>208</v>
      </c>
      <c r="N319" s="2" t="s">
        <v>209</v>
      </c>
      <c r="O319" s="2" t="s">
        <v>96</v>
      </c>
      <c r="P319" s="2" t="str">
        <f>"2170527748                    "</f>
        <v xml:space="preserve">2170527748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3.32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2</v>
      </c>
      <c r="BJ319" s="2">
        <v>0.9</v>
      </c>
      <c r="BK319" s="2">
        <v>2</v>
      </c>
      <c r="BL319" s="2">
        <v>40.76</v>
      </c>
      <c r="BM319" s="2">
        <v>5.71</v>
      </c>
      <c r="BN319" s="2">
        <v>46.47</v>
      </c>
      <c r="BO319" s="2">
        <v>46.47</v>
      </c>
      <c r="BP319" s="2"/>
      <c r="BQ319" s="2" t="s">
        <v>168</v>
      </c>
      <c r="BR319" s="2" t="s">
        <v>83</v>
      </c>
      <c r="BS319" s="3">
        <v>42650</v>
      </c>
      <c r="BT319" s="4">
        <v>0.4375</v>
      </c>
      <c r="BU319" s="2" t="s">
        <v>210</v>
      </c>
      <c r="BV319" s="2" t="s">
        <v>85</v>
      </c>
      <c r="BW319" s="2"/>
      <c r="BX319" s="2"/>
      <c r="BY319" s="2">
        <v>4275</v>
      </c>
      <c r="BZ319" s="2" t="s">
        <v>27</v>
      </c>
      <c r="CA319" s="2"/>
      <c r="CB319" s="2"/>
      <c r="CC319" s="2" t="s">
        <v>208</v>
      </c>
      <c r="CD319" s="2">
        <v>4113</v>
      </c>
      <c r="CE319" s="2" t="s">
        <v>86</v>
      </c>
      <c r="CF319" s="5">
        <v>42653</v>
      </c>
      <c r="CG319" s="2"/>
      <c r="CH319" s="2"/>
      <c r="CI319" s="2">
        <v>1</v>
      </c>
      <c r="CJ319" s="2">
        <v>1</v>
      </c>
      <c r="CK319" s="2">
        <v>21</v>
      </c>
      <c r="CL319" s="2" t="s">
        <v>88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"FES1162505167"</f>
        <v>FES1162505167</v>
      </c>
      <c r="F320" s="3">
        <v>42649</v>
      </c>
      <c r="G320" s="2">
        <v>201704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143</v>
      </c>
      <c r="M320" s="2" t="s">
        <v>144</v>
      </c>
      <c r="N320" s="2" t="s">
        <v>145</v>
      </c>
      <c r="O320" s="2" t="s">
        <v>96</v>
      </c>
      <c r="P320" s="2" t="str">
        <f>"2170528842                    "</f>
        <v xml:space="preserve">2170528842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3.32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</v>
      </c>
      <c r="BJ320" s="2">
        <v>0.2</v>
      </c>
      <c r="BK320" s="2">
        <v>1</v>
      </c>
      <c r="BL320" s="2">
        <v>40.76</v>
      </c>
      <c r="BM320" s="2">
        <v>5.71</v>
      </c>
      <c r="BN320" s="2">
        <v>46.47</v>
      </c>
      <c r="BO320" s="2">
        <v>46.47</v>
      </c>
      <c r="BP320" s="2"/>
      <c r="BQ320" s="2" t="s">
        <v>91</v>
      </c>
      <c r="BR320" s="2" t="s">
        <v>83</v>
      </c>
      <c r="BS320" s="3">
        <v>42650</v>
      </c>
      <c r="BT320" s="4">
        <v>0.4375</v>
      </c>
      <c r="BU320" s="2" t="s">
        <v>707</v>
      </c>
      <c r="BV320" s="2" t="s">
        <v>85</v>
      </c>
      <c r="BW320" s="2"/>
      <c r="BX320" s="2"/>
      <c r="BY320" s="2">
        <v>1200</v>
      </c>
      <c r="BZ320" s="2" t="s">
        <v>27</v>
      </c>
      <c r="CA320" s="2"/>
      <c r="CB320" s="2"/>
      <c r="CC320" s="2" t="s">
        <v>144</v>
      </c>
      <c r="CD320" s="2">
        <v>5201</v>
      </c>
      <c r="CE320" s="2" t="s">
        <v>108</v>
      </c>
      <c r="CF320" s="5">
        <v>42653</v>
      </c>
      <c r="CG320" s="2"/>
      <c r="CH320" s="2"/>
      <c r="CI320" s="2">
        <v>1</v>
      </c>
      <c r="CJ320" s="2">
        <v>1</v>
      </c>
      <c r="CK320" s="2">
        <v>21</v>
      </c>
      <c r="CL320" s="2" t="s">
        <v>88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"FES1162505143"</f>
        <v>FES1162505143</v>
      </c>
      <c r="F321" s="3">
        <v>42649</v>
      </c>
      <c r="G321" s="2">
        <v>201704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137</v>
      </c>
      <c r="M321" s="2" t="s">
        <v>138</v>
      </c>
      <c r="N321" s="2" t="s">
        <v>139</v>
      </c>
      <c r="O321" s="2" t="s">
        <v>96</v>
      </c>
      <c r="P321" s="2" t="str">
        <f>"2170528814                    "</f>
        <v xml:space="preserve">2170528814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3.32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40.76</v>
      </c>
      <c r="BM321" s="2">
        <v>5.71</v>
      </c>
      <c r="BN321" s="2">
        <v>46.47</v>
      </c>
      <c r="BO321" s="2">
        <v>46.47</v>
      </c>
      <c r="BP321" s="2"/>
      <c r="BQ321" s="2" t="s">
        <v>140</v>
      </c>
      <c r="BR321" s="2" t="s">
        <v>83</v>
      </c>
      <c r="BS321" s="3">
        <v>42650</v>
      </c>
      <c r="BT321" s="4">
        <v>0.36319444444444443</v>
      </c>
      <c r="BU321" s="2" t="s">
        <v>708</v>
      </c>
      <c r="BV321" s="2"/>
      <c r="BW321" s="2"/>
      <c r="BX321" s="2"/>
      <c r="BY321" s="2">
        <v>1200</v>
      </c>
      <c r="BZ321" s="2" t="s">
        <v>27</v>
      </c>
      <c r="CA321" s="2" t="s">
        <v>170</v>
      </c>
      <c r="CB321" s="2"/>
      <c r="CC321" s="2" t="s">
        <v>138</v>
      </c>
      <c r="CD321" s="2">
        <v>3201</v>
      </c>
      <c r="CE321" s="2" t="s">
        <v>108</v>
      </c>
      <c r="CF321" s="5">
        <v>42650</v>
      </c>
      <c r="CG321" s="2"/>
      <c r="CH321" s="2"/>
      <c r="CI321" s="2">
        <v>0</v>
      </c>
      <c r="CJ321" s="2">
        <v>0</v>
      </c>
      <c r="CK321" s="2">
        <v>21</v>
      </c>
      <c r="CL321" s="2" t="s">
        <v>88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"FES1162504903"</f>
        <v>FES1162504903</v>
      </c>
      <c r="F322" s="3">
        <v>42649</v>
      </c>
      <c r="G322" s="2">
        <v>201704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160</v>
      </c>
      <c r="M322" s="2" t="s">
        <v>161</v>
      </c>
      <c r="N322" s="2" t="s">
        <v>244</v>
      </c>
      <c r="O322" s="2" t="s">
        <v>96</v>
      </c>
      <c r="P322" s="2" t="str">
        <f>"2170526192                    "</f>
        <v xml:space="preserve">2170526192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30.68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11</v>
      </c>
      <c r="BJ322" s="2">
        <v>18.3</v>
      </c>
      <c r="BK322" s="2">
        <v>18.5</v>
      </c>
      <c r="BL322" s="2">
        <v>377</v>
      </c>
      <c r="BM322" s="2">
        <v>52.78</v>
      </c>
      <c r="BN322" s="2">
        <v>429.78</v>
      </c>
      <c r="BO322" s="2">
        <v>429.78</v>
      </c>
      <c r="BP322" s="2"/>
      <c r="BQ322" s="2" t="s">
        <v>117</v>
      </c>
      <c r="BR322" s="2" t="s">
        <v>83</v>
      </c>
      <c r="BS322" s="3">
        <v>42650</v>
      </c>
      <c r="BT322" s="4">
        <v>0.40972222222222227</v>
      </c>
      <c r="BU322" s="2" t="s">
        <v>709</v>
      </c>
      <c r="BV322" s="2" t="s">
        <v>85</v>
      </c>
      <c r="BW322" s="2"/>
      <c r="BX322" s="2"/>
      <c r="BY322" s="2">
        <v>91264</v>
      </c>
      <c r="BZ322" s="2" t="s">
        <v>27</v>
      </c>
      <c r="CA322" s="2"/>
      <c r="CB322" s="2"/>
      <c r="CC322" s="2" t="s">
        <v>161</v>
      </c>
      <c r="CD322" s="2">
        <v>7800</v>
      </c>
      <c r="CE322" s="2" t="s">
        <v>86</v>
      </c>
      <c r="CF322" s="5">
        <v>42653</v>
      </c>
      <c r="CG322" s="2"/>
      <c r="CH322" s="2"/>
      <c r="CI322" s="2">
        <v>1</v>
      </c>
      <c r="CJ322" s="2">
        <v>1</v>
      </c>
      <c r="CK322" s="2">
        <v>21</v>
      </c>
      <c r="CL322" s="2" t="s">
        <v>88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"FES1162505068"</f>
        <v>FES1162505068</v>
      </c>
      <c r="F323" s="3">
        <v>42649</v>
      </c>
      <c r="G323" s="2">
        <v>201704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160</v>
      </c>
      <c r="M323" s="2" t="s">
        <v>161</v>
      </c>
      <c r="N323" s="2" t="s">
        <v>710</v>
      </c>
      <c r="O323" s="2" t="s">
        <v>96</v>
      </c>
      <c r="P323" s="2" t="str">
        <f>"2170528725                    "</f>
        <v xml:space="preserve">2170528725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3.32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1</v>
      </c>
      <c r="BJ323" s="2">
        <v>1.2</v>
      </c>
      <c r="BK323" s="2">
        <v>1.5</v>
      </c>
      <c r="BL323" s="2">
        <v>40.76</v>
      </c>
      <c r="BM323" s="2">
        <v>5.71</v>
      </c>
      <c r="BN323" s="2">
        <v>46.47</v>
      </c>
      <c r="BO323" s="2">
        <v>46.47</v>
      </c>
      <c r="BP323" s="2"/>
      <c r="BQ323" s="2" t="s">
        <v>711</v>
      </c>
      <c r="BR323" s="2" t="s">
        <v>83</v>
      </c>
      <c r="BS323" s="3">
        <v>42650</v>
      </c>
      <c r="BT323" s="4">
        <v>0.41666666666666669</v>
      </c>
      <c r="BU323" s="2" t="s">
        <v>712</v>
      </c>
      <c r="BV323" s="2" t="s">
        <v>85</v>
      </c>
      <c r="BW323" s="2"/>
      <c r="BX323" s="2"/>
      <c r="BY323" s="2">
        <v>5846.4</v>
      </c>
      <c r="BZ323" s="2" t="s">
        <v>27</v>
      </c>
      <c r="CA323" s="2"/>
      <c r="CB323" s="2"/>
      <c r="CC323" s="2" t="s">
        <v>161</v>
      </c>
      <c r="CD323" s="2">
        <v>7441</v>
      </c>
      <c r="CE323" s="2" t="s">
        <v>108</v>
      </c>
      <c r="CF323" s="5">
        <v>42653</v>
      </c>
      <c r="CG323" s="2"/>
      <c r="CH323" s="2"/>
      <c r="CI323" s="2">
        <v>1</v>
      </c>
      <c r="CJ323" s="2">
        <v>1</v>
      </c>
      <c r="CK323" s="2">
        <v>21</v>
      </c>
      <c r="CL323" s="2" t="s">
        <v>88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"FES1162505149"</f>
        <v>FES1162505149</v>
      </c>
      <c r="F324" s="3">
        <v>42649</v>
      </c>
      <c r="G324" s="2">
        <v>201704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160</v>
      </c>
      <c r="M324" s="2" t="s">
        <v>161</v>
      </c>
      <c r="N324" s="2" t="s">
        <v>176</v>
      </c>
      <c r="O324" s="2" t="s">
        <v>96</v>
      </c>
      <c r="P324" s="2" t="str">
        <f>"2170528818                    "</f>
        <v xml:space="preserve">2170528818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4.9800000000000004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3</v>
      </c>
      <c r="BJ324" s="2">
        <v>1.5</v>
      </c>
      <c r="BK324" s="2">
        <v>3</v>
      </c>
      <c r="BL324" s="2">
        <v>61.14</v>
      </c>
      <c r="BM324" s="2">
        <v>8.56</v>
      </c>
      <c r="BN324" s="2">
        <v>69.7</v>
      </c>
      <c r="BO324" s="2">
        <v>69.7</v>
      </c>
      <c r="BP324" s="2"/>
      <c r="BQ324" s="2" t="s">
        <v>258</v>
      </c>
      <c r="BR324" s="2" t="s">
        <v>83</v>
      </c>
      <c r="BS324" s="3">
        <v>42650</v>
      </c>
      <c r="BT324" s="4">
        <v>0.41666666666666669</v>
      </c>
      <c r="BU324" s="2" t="s">
        <v>146</v>
      </c>
      <c r="BV324" s="2" t="s">
        <v>85</v>
      </c>
      <c r="BW324" s="2"/>
      <c r="BX324" s="2"/>
      <c r="BY324" s="2">
        <v>7540</v>
      </c>
      <c r="BZ324" s="2" t="s">
        <v>27</v>
      </c>
      <c r="CA324" s="2"/>
      <c r="CB324" s="2"/>
      <c r="CC324" s="2" t="s">
        <v>161</v>
      </c>
      <c r="CD324" s="2">
        <v>7405</v>
      </c>
      <c r="CE324" s="2" t="s">
        <v>86</v>
      </c>
      <c r="CF324" s="5">
        <v>42653</v>
      </c>
      <c r="CG324" s="2"/>
      <c r="CH324" s="2"/>
      <c r="CI324" s="2">
        <v>1</v>
      </c>
      <c r="CJ324" s="2">
        <v>1</v>
      </c>
      <c r="CK324" s="2">
        <v>21</v>
      </c>
      <c r="CL324" s="2" t="s">
        <v>88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"FES1162505164"</f>
        <v>FES1162505164</v>
      </c>
      <c r="F325" s="3">
        <v>42649</v>
      </c>
      <c r="G325" s="2">
        <v>201704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160</v>
      </c>
      <c r="M325" s="2" t="s">
        <v>161</v>
      </c>
      <c r="N325" s="2" t="s">
        <v>713</v>
      </c>
      <c r="O325" s="2" t="s">
        <v>96</v>
      </c>
      <c r="P325" s="2" t="str">
        <f>"2170526923                    "</f>
        <v xml:space="preserve">2170526923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7.46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1</v>
      </c>
      <c r="BI325" s="2">
        <v>1</v>
      </c>
      <c r="BJ325" s="2">
        <v>4.0999999999999996</v>
      </c>
      <c r="BK325" s="2">
        <v>4.5</v>
      </c>
      <c r="BL325" s="2">
        <v>91.7</v>
      </c>
      <c r="BM325" s="2">
        <v>12.84</v>
      </c>
      <c r="BN325" s="2">
        <v>104.54</v>
      </c>
      <c r="BO325" s="2">
        <v>104.54</v>
      </c>
      <c r="BP325" s="2"/>
      <c r="BQ325" s="2" t="s">
        <v>714</v>
      </c>
      <c r="BR325" s="2" t="s">
        <v>83</v>
      </c>
      <c r="BS325" s="3">
        <v>42650</v>
      </c>
      <c r="BT325" s="4">
        <v>0.41666666666666669</v>
      </c>
      <c r="BU325" s="2" t="s">
        <v>715</v>
      </c>
      <c r="BV325" s="2" t="s">
        <v>85</v>
      </c>
      <c r="BW325" s="2"/>
      <c r="BX325" s="2"/>
      <c r="BY325" s="2">
        <v>20358</v>
      </c>
      <c r="BZ325" s="2" t="s">
        <v>27</v>
      </c>
      <c r="CA325" s="2"/>
      <c r="CB325" s="2"/>
      <c r="CC325" s="2" t="s">
        <v>161</v>
      </c>
      <c r="CD325" s="2">
        <v>7441</v>
      </c>
      <c r="CE325" s="2" t="s">
        <v>86</v>
      </c>
      <c r="CF325" s="5">
        <v>42653</v>
      </c>
      <c r="CG325" s="2"/>
      <c r="CH325" s="2"/>
      <c r="CI325" s="2">
        <v>1</v>
      </c>
      <c r="CJ325" s="2">
        <v>1</v>
      </c>
      <c r="CK325" s="2">
        <v>21</v>
      </c>
      <c r="CL325" s="2" t="s">
        <v>88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"FES1162505097"</f>
        <v>FES1162505097</v>
      </c>
      <c r="F326" s="3">
        <v>42649</v>
      </c>
      <c r="G326" s="2">
        <v>201704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153</v>
      </c>
      <c r="M326" s="2" t="s">
        <v>153</v>
      </c>
      <c r="N326" s="2" t="s">
        <v>343</v>
      </c>
      <c r="O326" s="2" t="s">
        <v>96</v>
      </c>
      <c r="P326" s="2" t="str">
        <f>"2170528761                    "</f>
        <v xml:space="preserve">2170528761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3.32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1</v>
      </c>
      <c r="BJ326" s="2">
        <v>0.2</v>
      </c>
      <c r="BK326" s="2">
        <v>1</v>
      </c>
      <c r="BL326" s="2">
        <v>40.76</v>
      </c>
      <c r="BM326" s="2">
        <v>5.71</v>
      </c>
      <c r="BN326" s="2">
        <v>46.47</v>
      </c>
      <c r="BO326" s="2">
        <v>46.47</v>
      </c>
      <c r="BP326" s="2"/>
      <c r="BQ326" s="2" t="s">
        <v>344</v>
      </c>
      <c r="BR326" s="2" t="s">
        <v>83</v>
      </c>
      <c r="BS326" s="3">
        <v>42650</v>
      </c>
      <c r="BT326" s="4">
        <v>0.54166666666666663</v>
      </c>
      <c r="BU326" s="2" t="s">
        <v>630</v>
      </c>
      <c r="BV326" s="2" t="s">
        <v>85</v>
      </c>
      <c r="BW326" s="2"/>
      <c r="BX326" s="2"/>
      <c r="BY326" s="2">
        <v>1200</v>
      </c>
      <c r="BZ326" s="2" t="s">
        <v>27</v>
      </c>
      <c r="CA326" s="2" t="s">
        <v>129</v>
      </c>
      <c r="CB326" s="2"/>
      <c r="CC326" s="2" t="s">
        <v>153</v>
      </c>
      <c r="CD326" s="2">
        <v>7646</v>
      </c>
      <c r="CE326" s="2" t="s">
        <v>108</v>
      </c>
      <c r="CF326" s="5">
        <v>42653</v>
      </c>
      <c r="CG326" s="2"/>
      <c r="CH326" s="2"/>
      <c r="CI326" s="2">
        <v>1</v>
      </c>
      <c r="CJ326" s="2">
        <v>1</v>
      </c>
      <c r="CK326" s="2">
        <v>21</v>
      </c>
      <c r="CL326" s="2" t="s">
        <v>88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"FES1162505171"</f>
        <v>FES1162505171</v>
      </c>
      <c r="F327" s="3">
        <v>42649</v>
      </c>
      <c r="G327" s="2">
        <v>201704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153</v>
      </c>
      <c r="M327" s="2" t="s">
        <v>153</v>
      </c>
      <c r="N327" s="2" t="s">
        <v>343</v>
      </c>
      <c r="O327" s="2" t="s">
        <v>96</v>
      </c>
      <c r="P327" s="2" t="str">
        <f>"2170526684                    "</f>
        <v xml:space="preserve">2170526684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3.32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1</v>
      </c>
      <c r="BJ327" s="2">
        <v>0.2</v>
      </c>
      <c r="BK327" s="2">
        <v>1</v>
      </c>
      <c r="BL327" s="2">
        <v>40.76</v>
      </c>
      <c r="BM327" s="2">
        <v>5.71</v>
      </c>
      <c r="BN327" s="2">
        <v>46.47</v>
      </c>
      <c r="BO327" s="2">
        <v>46.47</v>
      </c>
      <c r="BP327" s="2"/>
      <c r="BQ327" s="2" t="s">
        <v>344</v>
      </c>
      <c r="BR327" s="2" t="s">
        <v>83</v>
      </c>
      <c r="BS327" s="3">
        <v>42650</v>
      </c>
      <c r="BT327" s="4">
        <v>0.54513888888888895</v>
      </c>
      <c r="BU327" s="2" t="s">
        <v>630</v>
      </c>
      <c r="BV327" s="2" t="s">
        <v>85</v>
      </c>
      <c r="BW327" s="2"/>
      <c r="BX327" s="2"/>
      <c r="BY327" s="2">
        <v>1200</v>
      </c>
      <c r="BZ327" s="2" t="s">
        <v>27</v>
      </c>
      <c r="CA327" s="2" t="s">
        <v>129</v>
      </c>
      <c r="CB327" s="2"/>
      <c r="CC327" s="2" t="s">
        <v>153</v>
      </c>
      <c r="CD327" s="2">
        <v>7646</v>
      </c>
      <c r="CE327" s="2" t="s">
        <v>108</v>
      </c>
      <c r="CF327" s="5">
        <v>42653</v>
      </c>
      <c r="CG327" s="2"/>
      <c r="CH327" s="2"/>
      <c r="CI327" s="2">
        <v>1</v>
      </c>
      <c r="CJ327" s="2">
        <v>1</v>
      </c>
      <c r="CK327" s="2">
        <v>21</v>
      </c>
      <c r="CL327" s="2" t="s">
        <v>88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"FES1162505090"</f>
        <v>FES1162505090</v>
      </c>
      <c r="F328" s="3">
        <v>42649</v>
      </c>
      <c r="G328" s="2">
        <v>201704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160</v>
      </c>
      <c r="M328" s="2" t="s">
        <v>161</v>
      </c>
      <c r="N328" s="2" t="s">
        <v>279</v>
      </c>
      <c r="O328" s="2" t="s">
        <v>96</v>
      </c>
      <c r="P328" s="2" t="str">
        <f>"2170528751                    "</f>
        <v xml:space="preserve">2170528751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4.9800000000000004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2</v>
      </c>
      <c r="BJ328" s="2">
        <v>2.6</v>
      </c>
      <c r="BK328" s="2">
        <v>3</v>
      </c>
      <c r="BL328" s="2">
        <v>61.14</v>
      </c>
      <c r="BM328" s="2">
        <v>8.56</v>
      </c>
      <c r="BN328" s="2">
        <v>69.7</v>
      </c>
      <c r="BO328" s="2">
        <v>69.7</v>
      </c>
      <c r="BP328" s="2"/>
      <c r="BQ328" s="2" t="s">
        <v>280</v>
      </c>
      <c r="BR328" s="2" t="s">
        <v>83</v>
      </c>
      <c r="BS328" s="3">
        <v>42650</v>
      </c>
      <c r="BT328" s="4">
        <v>0.34722222222222227</v>
      </c>
      <c r="BU328" s="2" t="s">
        <v>281</v>
      </c>
      <c r="BV328" s="2" t="s">
        <v>85</v>
      </c>
      <c r="BW328" s="2"/>
      <c r="BX328" s="2"/>
      <c r="BY328" s="2">
        <v>13003.78</v>
      </c>
      <c r="BZ328" s="2" t="s">
        <v>27</v>
      </c>
      <c r="CA328" s="2"/>
      <c r="CB328" s="2"/>
      <c r="CC328" s="2" t="s">
        <v>161</v>
      </c>
      <c r="CD328" s="2">
        <v>7441</v>
      </c>
      <c r="CE328" s="2" t="s">
        <v>108</v>
      </c>
      <c r="CF328" s="5">
        <v>42653</v>
      </c>
      <c r="CG328" s="2"/>
      <c r="CH328" s="2"/>
      <c r="CI328" s="2">
        <v>1</v>
      </c>
      <c r="CJ328" s="2">
        <v>1</v>
      </c>
      <c r="CK328" s="2">
        <v>21</v>
      </c>
      <c r="CL328" s="2" t="s">
        <v>88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"FES1162504857"</f>
        <v>FES1162504857</v>
      </c>
      <c r="F329" s="3">
        <v>42648</v>
      </c>
      <c r="G329" s="2">
        <v>201704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119</v>
      </c>
      <c r="M329" s="2" t="s">
        <v>120</v>
      </c>
      <c r="N329" s="2" t="s">
        <v>337</v>
      </c>
      <c r="O329" s="2" t="s">
        <v>96</v>
      </c>
      <c r="P329" s="2" t="str">
        <f>"2170528535                    "</f>
        <v xml:space="preserve">2170528535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3.32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40.76</v>
      </c>
      <c r="BM329" s="2">
        <v>5.71</v>
      </c>
      <c r="BN329" s="2">
        <v>46.47</v>
      </c>
      <c r="BO329" s="2">
        <v>46.47</v>
      </c>
      <c r="BP329" s="2"/>
      <c r="BQ329" s="2" t="s">
        <v>338</v>
      </c>
      <c r="BR329" s="2" t="s">
        <v>83</v>
      </c>
      <c r="BS329" s="3">
        <v>42649</v>
      </c>
      <c r="BT329" s="4">
        <v>0.32083333333333336</v>
      </c>
      <c r="BU329" s="2" t="s">
        <v>339</v>
      </c>
      <c r="BV329" s="2" t="s">
        <v>85</v>
      </c>
      <c r="BW329" s="2"/>
      <c r="BX329" s="2"/>
      <c r="BY329" s="2">
        <v>1200</v>
      </c>
      <c r="BZ329" s="2" t="s">
        <v>27</v>
      </c>
      <c r="CA329" s="2"/>
      <c r="CB329" s="2"/>
      <c r="CC329" s="2" t="s">
        <v>120</v>
      </c>
      <c r="CD329" s="2">
        <v>6230</v>
      </c>
      <c r="CE329" s="2" t="s">
        <v>108</v>
      </c>
      <c r="CF329" s="5">
        <v>42650</v>
      </c>
      <c r="CG329" s="2"/>
      <c r="CH329" s="2"/>
      <c r="CI329" s="2">
        <v>1</v>
      </c>
      <c r="CJ329" s="2">
        <v>1</v>
      </c>
      <c r="CK329" s="2">
        <v>21</v>
      </c>
      <c r="CL329" s="2" t="s">
        <v>88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"FES1162504828"</f>
        <v>FES1162504828</v>
      </c>
      <c r="F330" s="3">
        <v>42648</v>
      </c>
      <c r="G330" s="2">
        <v>201704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98</v>
      </c>
      <c r="M330" s="2" t="s">
        <v>99</v>
      </c>
      <c r="N330" s="2" t="s">
        <v>716</v>
      </c>
      <c r="O330" s="2" t="s">
        <v>96</v>
      </c>
      <c r="P330" s="2" t="str">
        <f>"2170528492                    "</f>
        <v xml:space="preserve">2170528492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3.32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</v>
      </c>
      <c r="BJ330" s="2">
        <v>0.2</v>
      </c>
      <c r="BK330" s="2">
        <v>1</v>
      </c>
      <c r="BL330" s="2">
        <v>40.76</v>
      </c>
      <c r="BM330" s="2">
        <v>5.71</v>
      </c>
      <c r="BN330" s="2">
        <v>46.47</v>
      </c>
      <c r="BO330" s="2">
        <v>46.47</v>
      </c>
      <c r="BP330" s="2"/>
      <c r="BQ330" s="2" t="s">
        <v>717</v>
      </c>
      <c r="BR330" s="2" t="s">
        <v>83</v>
      </c>
      <c r="BS330" s="3">
        <v>42649</v>
      </c>
      <c r="BT330" s="4">
        <v>0.34722222222222227</v>
      </c>
      <c r="BU330" s="2" t="s">
        <v>718</v>
      </c>
      <c r="BV330" s="2" t="s">
        <v>85</v>
      </c>
      <c r="BW330" s="2"/>
      <c r="BX330" s="2"/>
      <c r="BY330" s="2">
        <v>1200</v>
      </c>
      <c r="BZ330" s="2" t="s">
        <v>27</v>
      </c>
      <c r="CA330" s="2" t="s">
        <v>333</v>
      </c>
      <c r="CB330" s="2"/>
      <c r="CC330" s="2" t="s">
        <v>99</v>
      </c>
      <c r="CD330" s="2">
        <v>6045</v>
      </c>
      <c r="CE330" s="2" t="s">
        <v>108</v>
      </c>
      <c r="CF330" s="5">
        <v>42650</v>
      </c>
      <c r="CG330" s="2"/>
      <c r="CH330" s="2"/>
      <c r="CI330" s="2">
        <v>1</v>
      </c>
      <c r="CJ330" s="2">
        <v>1</v>
      </c>
      <c r="CK330" s="2">
        <v>21</v>
      </c>
      <c r="CL330" s="2" t="s">
        <v>88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"FES1162504752"</f>
        <v>FES1162504752</v>
      </c>
      <c r="F331" s="3">
        <v>42648</v>
      </c>
      <c r="G331" s="2">
        <v>201704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98</v>
      </c>
      <c r="M331" s="2" t="s">
        <v>99</v>
      </c>
      <c r="N331" s="2" t="s">
        <v>224</v>
      </c>
      <c r="O331" s="2" t="s">
        <v>96</v>
      </c>
      <c r="P331" s="2" t="str">
        <f>"2170528413                    "</f>
        <v xml:space="preserve">2170528413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3.32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40.76</v>
      </c>
      <c r="BM331" s="2">
        <v>5.71</v>
      </c>
      <c r="BN331" s="2">
        <v>46.47</v>
      </c>
      <c r="BO331" s="2">
        <v>46.47</v>
      </c>
      <c r="BP331" s="2"/>
      <c r="BQ331" s="2" t="s">
        <v>225</v>
      </c>
      <c r="BR331" s="2" t="s">
        <v>83</v>
      </c>
      <c r="BS331" s="3">
        <v>42649</v>
      </c>
      <c r="BT331" s="4">
        <v>0.31944444444444448</v>
      </c>
      <c r="BU331" s="2" t="s">
        <v>719</v>
      </c>
      <c r="BV331" s="2" t="s">
        <v>85</v>
      </c>
      <c r="BW331" s="2"/>
      <c r="BX331" s="2"/>
      <c r="BY331" s="2">
        <v>1200</v>
      </c>
      <c r="BZ331" s="2" t="s">
        <v>27</v>
      </c>
      <c r="CA331" s="2"/>
      <c r="CB331" s="2"/>
      <c r="CC331" s="2" t="s">
        <v>99</v>
      </c>
      <c r="CD331" s="2">
        <v>6001</v>
      </c>
      <c r="CE331" s="2" t="s">
        <v>108</v>
      </c>
      <c r="CF331" s="5">
        <v>42650</v>
      </c>
      <c r="CG331" s="2"/>
      <c r="CH331" s="2"/>
      <c r="CI331" s="2">
        <v>1</v>
      </c>
      <c r="CJ331" s="2">
        <v>1</v>
      </c>
      <c r="CK331" s="2">
        <v>21</v>
      </c>
      <c r="CL331" s="2" t="s">
        <v>88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"FES1162504839"</f>
        <v>FES1162504839</v>
      </c>
      <c r="F332" s="3">
        <v>42648</v>
      </c>
      <c r="G332" s="2">
        <v>201704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98</v>
      </c>
      <c r="M332" s="2" t="s">
        <v>99</v>
      </c>
      <c r="N332" s="2" t="s">
        <v>104</v>
      </c>
      <c r="O332" s="2" t="s">
        <v>96</v>
      </c>
      <c r="P332" s="2" t="str">
        <f>"2170528514                    "</f>
        <v xml:space="preserve">2170528514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3.32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1</v>
      </c>
      <c r="BJ332" s="2">
        <v>0.2</v>
      </c>
      <c r="BK332" s="2">
        <v>1</v>
      </c>
      <c r="BL332" s="2">
        <v>40.76</v>
      </c>
      <c r="BM332" s="2">
        <v>5.71</v>
      </c>
      <c r="BN332" s="2">
        <v>46.47</v>
      </c>
      <c r="BO332" s="2">
        <v>46.47</v>
      </c>
      <c r="BP332" s="2"/>
      <c r="BQ332" s="2" t="s">
        <v>105</v>
      </c>
      <c r="BR332" s="2" t="s">
        <v>83</v>
      </c>
      <c r="BS332" s="3">
        <v>42649</v>
      </c>
      <c r="BT332" s="4">
        <v>0.3833333333333333</v>
      </c>
      <c r="BU332" s="2" t="s">
        <v>105</v>
      </c>
      <c r="BV332" s="2" t="s">
        <v>85</v>
      </c>
      <c r="BW332" s="2"/>
      <c r="BX332" s="2"/>
      <c r="BY332" s="2">
        <v>1200</v>
      </c>
      <c r="BZ332" s="2" t="s">
        <v>27</v>
      </c>
      <c r="CA332" s="2"/>
      <c r="CB332" s="2"/>
      <c r="CC332" s="2" t="s">
        <v>99</v>
      </c>
      <c r="CD332" s="2">
        <v>6001</v>
      </c>
      <c r="CE332" s="2" t="s">
        <v>108</v>
      </c>
      <c r="CF332" s="5">
        <v>42650</v>
      </c>
      <c r="CG332" s="2"/>
      <c r="CH332" s="2"/>
      <c r="CI332" s="2">
        <v>1</v>
      </c>
      <c r="CJ332" s="2">
        <v>1</v>
      </c>
      <c r="CK332" s="2">
        <v>21</v>
      </c>
      <c r="CL332" s="2" t="s">
        <v>88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"FES1162504786"</f>
        <v>FES1162504786</v>
      </c>
      <c r="F333" s="3">
        <v>42648</v>
      </c>
      <c r="G333" s="2">
        <v>201704</v>
      </c>
      <c r="H333" s="2" t="s">
        <v>74</v>
      </c>
      <c r="I333" s="2" t="s">
        <v>75</v>
      </c>
      <c r="J333" s="2" t="s">
        <v>76</v>
      </c>
      <c r="K333" s="2" t="s">
        <v>77</v>
      </c>
      <c r="L333" s="2" t="s">
        <v>156</v>
      </c>
      <c r="M333" s="2" t="s">
        <v>157</v>
      </c>
      <c r="N333" s="2" t="s">
        <v>507</v>
      </c>
      <c r="O333" s="2" t="s">
        <v>96</v>
      </c>
      <c r="P333" s="2" t="str">
        <f>"2170528436                    "</f>
        <v xml:space="preserve">2170528436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4.9800000000000004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1</v>
      </c>
      <c r="BJ333" s="2">
        <v>2.7</v>
      </c>
      <c r="BK333" s="2">
        <v>3</v>
      </c>
      <c r="BL333" s="2">
        <v>61.14</v>
      </c>
      <c r="BM333" s="2">
        <v>8.56</v>
      </c>
      <c r="BN333" s="2">
        <v>69.7</v>
      </c>
      <c r="BO333" s="2">
        <v>69.7</v>
      </c>
      <c r="BP333" s="2"/>
      <c r="BQ333" s="2" t="s">
        <v>508</v>
      </c>
      <c r="BR333" s="2" t="s">
        <v>83</v>
      </c>
      <c r="BS333" s="3">
        <v>42649</v>
      </c>
      <c r="BT333" s="4">
        <v>0.40277777777777773</v>
      </c>
      <c r="BU333" s="2" t="s">
        <v>181</v>
      </c>
      <c r="BV333" s="2" t="s">
        <v>85</v>
      </c>
      <c r="BW333" s="2"/>
      <c r="BX333" s="2"/>
      <c r="BY333" s="2">
        <v>13672.76</v>
      </c>
      <c r="BZ333" s="2" t="s">
        <v>27</v>
      </c>
      <c r="CA333" s="2"/>
      <c r="CB333" s="2"/>
      <c r="CC333" s="2" t="s">
        <v>157</v>
      </c>
      <c r="CD333" s="2">
        <v>7130</v>
      </c>
      <c r="CE333" s="2" t="s">
        <v>108</v>
      </c>
      <c r="CF333" s="5">
        <v>42650</v>
      </c>
      <c r="CG333" s="2"/>
      <c r="CH333" s="2"/>
      <c r="CI333" s="2">
        <v>1</v>
      </c>
      <c r="CJ333" s="2">
        <v>1</v>
      </c>
      <c r="CK333" s="2">
        <v>21</v>
      </c>
      <c r="CL333" s="2" t="s">
        <v>88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"FES1162504795"</f>
        <v>FES1162504795</v>
      </c>
      <c r="F334" s="3">
        <v>42648</v>
      </c>
      <c r="G334" s="2">
        <v>201704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153</v>
      </c>
      <c r="M334" s="2" t="s">
        <v>153</v>
      </c>
      <c r="N334" s="2" t="s">
        <v>343</v>
      </c>
      <c r="O334" s="2" t="s">
        <v>96</v>
      </c>
      <c r="P334" s="2" t="str">
        <f>"2170528452                    "</f>
        <v xml:space="preserve">2170528452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3.32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0.2</v>
      </c>
      <c r="BK334" s="2">
        <v>1</v>
      </c>
      <c r="BL334" s="2">
        <v>40.76</v>
      </c>
      <c r="BM334" s="2">
        <v>5.71</v>
      </c>
      <c r="BN334" s="2">
        <v>46.47</v>
      </c>
      <c r="BO334" s="2">
        <v>46.47</v>
      </c>
      <c r="BP334" s="2"/>
      <c r="BQ334" s="2" t="s">
        <v>344</v>
      </c>
      <c r="BR334" s="2" t="s">
        <v>83</v>
      </c>
      <c r="BS334" s="3">
        <v>42649</v>
      </c>
      <c r="BT334" s="4">
        <v>0.49305555555555558</v>
      </c>
      <c r="BU334" s="2" t="s">
        <v>720</v>
      </c>
      <c r="BV334" s="2" t="s">
        <v>85</v>
      </c>
      <c r="BW334" s="2"/>
      <c r="BX334" s="2"/>
      <c r="BY334" s="2">
        <v>1200</v>
      </c>
      <c r="BZ334" s="2" t="s">
        <v>27</v>
      </c>
      <c r="CA334" s="2"/>
      <c r="CB334" s="2"/>
      <c r="CC334" s="2" t="s">
        <v>153</v>
      </c>
      <c r="CD334" s="2">
        <v>7646</v>
      </c>
      <c r="CE334" s="2" t="s">
        <v>108</v>
      </c>
      <c r="CF334" s="5">
        <v>42650</v>
      </c>
      <c r="CG334" s="2"/>
      <c r="CH334" s="2"/>
      <c r="CI334" s="2">
        <v>1</v>
      </c>
      <c r="CJ334" s="2">
        <v>1</v>
      </c>
      <c r="CK334" s="2">
        <v>21</v>
      </c>
      <c r="CL334" s="2" t="s">
        <v>88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"FES1162504615"</f>
        <v>FES1162504615</v>
      </c>
      <c r="F335" s="3">
        <v>42648</v>
      </c>
      <c r="G335" s="2">
        <v>201704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160</v>
      </c>
      <c r="M335" s="2" t="s">
        <v>161</v>
      </c>
      <c r="N335" s="2" t="s">
        <v>643</v>
      </c>
      <c r="O335" s="2" t="s">
        <v>96</v>
      </c>
      <c r="P335" s="2" t="str">
        <f>"2170528279                    "</f>
        <v xml:space="preserve">2170528279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3.32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1</v>
      </c>
      <c r="BJ335" s="2">
        <v>0.2</v>
      </c>
      <c r="BK335" s="2">
        <v>1</v>
      </c>
      <c r="BL335" s="2">
        <v>40.76</v>
      </c>
      <c r="BM335" s="2">
        <v>5.71</v>
      </c>
      <c r="BN335" s="2">
        <v>46.47</v>
      </c>
      <c r="BO335" s="2">
        <v>46.47</v>
      </c>
      <c r="BP335" s="2"/>
      <c r="BQ335" s="2" t="s">
        <v>644</v>
      </c>
      <c r="BR335" s="2" t="s">
        <v>83</v>
      </c>
      <c r="BS335" s="3">
        <v>42649</v>
      </c>
      <c r="BT335" s="4">
        <v>0.41666666666666669</v>
      </c>
      <c r="BU335" s="2" t="s">
        <v>721</v>
      </c>
      <c r="BV335" s="2" t="s">
        <v>85</v>
      </c>
      <c r="BW335" s="2"/>
      <c r="BX335" s="2"/>
      <c r="BY335" s="2">
        <v>1200</v>
      </c>
      <c r="BZ335" s="2" t="s">
        <v>27</v>
      </c>
      <c r="CA335" s="2"/>
      <c r="CB335" s="2"/>
      <c r="CC335" s="2" t="s">
        <v>161</v>
      </c>
      <c r="CD335" s="2">
        <v>7925</v>
      </c>
      <c r="CE335" s="2" t="s">
        <v>108</v>
      </c>
      <c r="CF335" s="5">
        <v>42650</v>
      </c>
      <c r="CG335" s="2"/>
      <c r="CH335" s="2"/>
      <c r="CI335" s="2">
        <v>1</v>
      </c>
      <c r="CJ335" s="2">
        <v>1</v>
      </c>
      <c r="CK335" s="2">
        <v>21</v>
      </c>
      <c r="CL335" s="2" t="s">
        <v>88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"FES1162504665"</f>
        <v>FES1162504665</v>
      </c>
      <c r="F336" s="3">
        <v>42648</v>
      </c>
      <c r="G336" s="2">
        <v>201704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160</v>
      </c>
      <c r="M336" s="2" t="s">
        <v>161</v>
      </c>
      <c r="N336" s="2" t="s">
        <v>622</v>
      </c>
      <c r="O336" s="2" t="s">
        <v>96</v>
      </c>
      <c r="P336" s="2" t="str">
        <f>"2170528319                    "</f>
        <v xml:space="preserve">2170528319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3.32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1.5</v>
      </c>
      <c r="BJ336" s="2">
        <v>1.9</v>
      </c>
      <c r="BK336" s="2">
        <v>2</v>
      </c>
      <c r="BL336" s="2">
        <v>40.76</v>
      </c>
      <c r="BM336" s="2">
        <v>5.71</v>
      </c>
      <c r="BN336" s="2">
        <v>46.47</v>
      </c>
      <c r="BO336" s="2">
        <v>46.47</v>
      </c>
      <c r="BP336" s="2"/>
      <c r="BQ336" s="2" t="s">
        <v>623</v>
      </c>
      <c r="BR336" s="2" t="s">
        <v>83</v>
      </c>
      <c r="BS336" s="3">
        <v>42649</v>
      </c>
      <c r="BT336" s="4">
        <v>0.44444444444444442</v>
      </c>
      <c r="BU336" s="2" t="s">
        <v>624</v>
      </c>
      <c r="BV336" s="2" t="s">
        <v>85</v>
      </c>
      <c r="BW336" s="2"/>
      <c r="BX336" s="2"/>
      <c r="BY336" s="2">
        <v>9501.89</v>
      </c>
      <c r="BZ336" s="2" t="s">
        <v>27</v>
      </c>
      <c r="CA336" s="2"/>
      <c r="CB336" s="2"/>
      <c r="CC336" s="2" t="s">
        <v>161</v>
      </c>
      <c r="CD336" s="2">
        <v>7490</v>
      </c>
      <c r="CE336" s="2" t="s">
        <v>108</v>
      </c>
      <c r="CF336" s="5">
        <v>42650</v>
      </c>
      <c r="CG336" s="2"/>
      <c r="CH336" s="2"/>
      <c r="CI336" s="2">
        <v>1</v>
      </c>
      <c r="CJ336" s="2">
        <v>1</v>
      </c>
      <c r="CK336" s="2">
        <v>21</v>
      </c>
      <c r="CL336" s="2" t="s">
        <v>88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"FES1162504808"</f>
        <v>FES1162504808</v>
      </c>
      <c r="F337" s="3">
        <v>42648</v>
      </c>
      <c r="G337" s="2">
        <v>201704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160</v>
      </c>
      <c r="M337" s="2" t="s">
        <v>161</v>
      </c>
      <c r="N337" s="2" t="s">
        <v>722</v>
      </c>
      <c r="O337" s="2" t="s">
        <v>96</v>
      </c>
      <c r="P337" s="2" t="str">
        <f>"2170528480                    "</f>
        <v xml:space="preserve">2170528480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3.32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1</v>
      </c>
      <c r="BJ337" s="2">
        <v>1.8</v>
      </c>
      <c r="BK337" s="2">
        <v>2</v>
      </c>
      <c r="BL337" s="2">
        <v>40.76</v>
      </c>
      <c r="BM337" s="2">
        <v>5.71</v>
      </c>
      <c r="BN337" s="2">
        <v>46.47</v>
      </c>
      <c r="BO337" s="2">
        <v>46.47</v>
      </c>
      <c r="BP337" s="2"/>
      <c r="BQ337" s="2" t="s">
        <v>117</v>
      </c>
      <c r="BR337" s="2" t="s">
        <v>83</v>
      </c>
      <c r="BS337" s="3">
        <v>42649</v>
      </c>
      <c r="BT337" s="4">
        <v>0.4368055555555555</v>
      </c>
      <c r="BU337" s="2" t="s">
        <v>723</v>
      </c>
      <c r="BV337" s="2" t="s">
        <v>85</v>
      </c>
      <c r="BW337" s="2"/>
      <c r="BX337" s="2"/>
      <c r="BY337" s="2">
        <v>9037.56</v>
      </c>
      <c r="BZ337" s="2" t="s">
        <v>27</v>
      </c>
      <c r="CA337" s="2"/>
      <c r="CB337" s="2"/>
      <c r="CC337" s="2" t="s">
        <v>161</v>
      </c>
      <c r="CD337" s="2">
        <v>7560</v>
      </c>
      <c r="CE337" s="2" t="s">
        <v>108</v>
      </c>
      <c r="CF337" s="5">
        <v>42650</v>
      </c>
      <c r="CG337" s="2"/>
      <c r="CH337" s="2"/>
      <c r="CI337" s="2">
        <v>1</v>
      </c>
      <c r="CJ337" s="2">
        <v>1</v>
      </c>
      <c r="CK337" s="2">
        <v>21</v>
      </c>
      <c r="CL337" s="2" t="s">
        <v>88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"FES1162504716"</f>
        <v>FES1162504716</v>
      </c>
      <c r="F338" s="3">
        <v>42648</v>
      </c>
      <c r="G338" s="2">
        <v>201704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160</v>
      </c>
      <c r="M338" s="2" t="s">
        <v>161</v>
      </c>
      <c r="N338" s="2" t="s">
        <v>179</v>
      </c>
      <c r="O338" s="2" t="s">
        <v>96</v>
      </c>
      <c r="P338" s="2" t="str">
        <f>"2170528370                    "</f>
        <v xml:space="preserve">2170528370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9.1199999999999992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1.4</v>
      </c>
      <c r="BJ338" s="2">
        <v>5.2</v>
      </c>
      <c r="BK338" s="2">
        <v>5.5</v>
      </c>
      <c r="BL338" s="2">
        <v>112.08</v>
      </c>
      <c r="BM338" s="2">
        <v>15.69</v>
      </c>
      <c r="BN338" s="2">
        <v>127.77</v>
      </c>
      <c r="BO338" s="2">
        <v>127.77</v>
      </c>
      <c r="BP338" s="2"/>
      <c r="BQ338" s="2" t="s">
        <v>180</v>
      </c>
      <c r="BR338" s="2" t="s">
        <v>83</v>
      </c>
      <c r="BS338" s="3">
        <v>42649</v>
      </c>
      <c r="BT338" s="4">
        <v>0.41666666666666669</v>
      </c>
      <c r="BU338" s="2" t="s">
        <v>724</v>
      </c>
      <c r="BV338" s="2" t="s">
        <v>85</v>
      </c>
      <c r="BW338" s="2"/>
      <c r="BX338" s="2"/>
      <c r="BY338" s="2">
        <v>26175.25</v>
      </c>
      <c r="BZ338" s="2" t="s">
        <v>27</v>
      </c>
      <c r="CA338" s="2" t="s">
        <v>129</v>
      </c>
      <c r="CB338" s="2"/>
      <c r="CC338" s="2" t="s">
        <v>161</v>
      </c>
      <c r="CD338" s="2">
        <v>7405</v>
      </c>
      <c r="CE338" s="2" t="s">
        <v>108</v>
      </c>
      <c r="CF338" s="5">
        <v>42650</v>
      </c>
      <c r="CG338" s="2"/>
      <c r="CH338" s="2"/>
      <c r="CI338" s="2">
        <v>1</v>
      </c>
      <c r="CJ338" s="2">
        <v>1</v>
      </c>
      <c r="CK338" s="2">
        <v>21</v>
      </c>
      <c r="CL338" s="2" t="s">
        <v>88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"FES1162504789"</f>
        <v>FES1162504789</v>
      </c>
      <c r="F339" s="3">
        <v>42648</v>
      </c>
      <c r="G339" s="2">
        <v>201704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160</v>
      </c>
      <c r="M339" s="2" t="s">
        <v>161</v>
      </c>
      <c r="N339" s="2" t="s">
        <v>279</v>
      </c>
      <c r="O339" s="2" t="s">
        <v>96</v>
      </c>
      <c r="P339" s="2" t="str">
        <f>"2170528442                    "</f>
        <v xml:space="preserve">2170528442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7.46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4.2</v>
      </c>
      <c r="BJ339" s="2">
        <v>1.9</v>
      </c>
      <c r="BK339" s="2">
        <v>4.5</v>
      </c>
      <c r="BL339" s="2">
        <v>91.7</v>
      </c>
      <c r="BM339" s="2">
        <v>12.84</v>
      </c>
      <c r="BN339" s="2">
        <v>104.54</v>
      </c>
      <c r="BO339" s="2">
        <v>104.54</v>
      </c>
      <c r="BP339" s="2"/>
      <c r="BQ339" s="2" t="s">
        <v>280</v>
      </c>
      <c r="BR339" s="2" t="s">
        <v>83</v>
      </c>
      <c r="BS339" s="3">
        <v>42649</v>
      </c>
      <c r="BT339" s="4">
        <v>0.34722222222222227</v>
      </c>
      <c r="BU339" s="2" t="s">
        <v>281</v>
      </c>
      <c r="BV339" s="2" t="s">
        <v>85</v>
      </c>
      <c r="BW339" s="2"/>
      <c r="BX339" s="2"/>
      <c r="BY339" s="2">
        <v>9364.99</v>
      </c>
      <c r="BZ339" s="2" t="s">
        <v>27</v>
      </c>
      <c r="CA339" s="2"/>
      <c r="CB339" s="2"/>
      <c r="CC339" s="2" t="s">
        <v>161</v>
      </c>
      <c r="CD339" s="2">
        <v>7441</v>
      </c>
      <c r="CE339" s="2" t="s">
        <v>108</v>
      </c>
      <c r="CF339" s="5">
        <v>42650</v>
      </c>
      <c r="CG339" s="2"/>
      <c r="CH339" s="2"/>
      <c r="CI339" s="2">
        <v>1</v>
      </c>
      <c r="CJ339" s="2">
        <v>1</v>
      </c>
      <c r="CK339" s="2">
        <v>21</v>
      </c>
      <c r="CL339" s="2" t="s">
        <v>88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"FES1162504793"</f>
        <v>FES1162504793</v>
      </c>
      <c r="F340" s="3">
        <v>42648</v>
      </c>
      <c r="G340" s="2">
        <v>201704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160</v>
      </c>
      <c r="M340" s="2" t="s">
        <v>161</v>
      </c>
      <c r="N340" s="2" t="s">
        <v>176</v>
      </c>
      <c r="O340" s="2" t="s">
        <v>96</v>
      </c>
      <c r="P340" s="2" t="str">
        <f>"2170528448                    "</f>
        <v xml:space="preserve">2170528448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4.9800000000000004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3</v>
      </c>
      <c r="BJ340" s="2">
        <v>0.2</v>
      </c>
      <c r="BK340" s="2">
        <v>3</v>
      </c>
      <c r="BL340" s="2">
        <v>61.14</v>
      </c>
      <c r="BM340" s="2">
        <v>8.56</v>
      </c>
      <c r="BN340" s="2">
        <v>69.7</v>
      </c>
      <c r="BO340" s="2">
        <v>69.7</v>
      </c>
      <c r="BP340" s="2"/>
      <c r="BQ340" s="2" t="s">
        <v>258</v>
      </c>
      <c r="BR340" s="2" t="s">
        <v>83</v>
      </c>
      <c r="BS340" s="3">
        <v>42649</v>
      </c>
      <c r="BT340" s="4">
        <v>0.41666666666666669</v>
      </c>
      <c r="BU340" s="2" t="s">
        <v>725</v>
      </c>
      <c r="BV340" s="2" t="s">
        <v>85</v>
      </c>
      <c r="BW340" s="2"/>
      <c r="BX340" s="2"/>
      <c r="BY340" s="2">
        <v>1200</v>
      </c>
      <c r="BZ340" s="2" t="s">
        <v>27</v>
      </c>
      <c r="CA340" s="2" t="s">
        <v>129</v>
      </c>
      <c r="CB340" s="2"/>
      <c r="CC340" s="2" t="s">
        <v>161</v>
      </c>
      <c r="CD340" s="2">
        <v>7405</v>
      </c>
      <c r="CE340" s="2" t="s">
        <v>108</v>
      </c>
      <c r="CF340" s="5">
        <v>42650</v>
      </c>
      <c r="CG340" s="2"/>
      <c r="CH340" s="2"/>
      <c r="CI340" s="2">
        <v>1</v>
      </c>
      <c r="CJ340" s="2">
        <v>1</v>
      </c>
      <c r="CK340" s="2">
        <v>21</v>
      </c>
      <c r="CL340" s="2" t="s">
        <v>88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"FES1162504783"</f>
        <v>FES1162504783</v>
      </c>
      <c r="F341" s="3">
        <v>42648</v>
      </c>
      <c r="G341" s="2">
        <v>201704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160</v>
      </c>
      <c r="M341" s="2" t="s">
        <v>161</v>
      </c>
      <c r="N341" s="2" t="s">
        <v>643</v>
      </c>
      <c r="O341" s="2" t="s">
        <v>96</v>
      </c>
      <c r="P341" s="2" t="str">
        <f>"2170528433                    "</f>
        <v xml:space="preserve">2170528433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3.32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1</v>
      </c>
      <c r="BJ341" s="2">
        <v>0.7</v>
      </c>
      <c r="BK341" s="2">
        <v>1</v>
      </c>
      <c r="BL341" s="2">
        <v>40.76</v>
      </c>
      <c r="BM341" s="2">
        <v>5.71</v>
      </c>
      <c r="BN341" s="2">
        <v>46.47</v>
      </c>
      <c r="BO341" s="2">
        <v>46.47</v>
      </c>
      <c r="BP341" s="2"/>
      <c r="BQ341" s="2" t="s">
        <v>644</v>
      </c>
      <c r="BR341" s="2" t="s">
        <v>83</v>
      </c>
      <c r="BS341" s="3">
        <v>42649</v>
      </c>
      <c r="BT341" s="4">
        <v>0.41666666666666669</v>
      </c>
      <c r="BU341" s="2" t="s">
        <v>721</v>
      </c>
      <c r="BV341" s="2" t="s">
        <v>85</v>
      </c>
      <c r="BW341" s="2"/>
      <c r="BX341" s="2"/>
      <c r="BY341" s="2">
        <v>3421.37</v>
      </c>
      <c r="BZ341" s="2" t="s">
        <v>27</v>
      </c>
      <c r="CA341" s="2"/>
      <c r="CB341" s="2"/>
      <c r="CC341" s="2" t="s">
        <v>161</v>
      </c>
      <c r="CD341" s="2">
        <v>7925</v>
      </c>
      <c r="CE341" s="2" t="s">
        <v>108</v>
      </c>
      <c r="CF341" s="5">
        <v>42650</v>
      </c>
      <c r="CG341" s="2"/>
      <c r="CH341" s="2"/>
      <c r="CI341" s="2">
        <v>1</v>
      </c>
      <c r="CJ341" s="2">
        <v>1</v>
      </c>
      <c r="CK341" s="2">
        <v>21</v>
      </c>
      <c r="CL341" s="2" t="s">
        <v>88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"FES1162504807"</f>
        <v>FES1162504807</v>
      </c>
      <c r="F342" s="3">
        <v>42648</v>
      </c>
      <c r="G342" s="2">
        <v>201704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160</v>
      </c>
      <c r="M342" s="2" t="s">
        <v>161</v>
      </c>
      <c r="N342" s="2" t="s">
        <v>176</v>
      </c>
      <c r="O342" s="2" t="s">
        <v>96</v>
      </c>
      <c r="P342" s="2" t="str">
        <f>"2170528448                    "</f>
        <v xml:space="preserve">2170528448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3.32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1</v>
      </c>
      <c r="BJ342" s="2">
        <v>0.2</v>
      </c>
      <c r="BK342" s="2">
        <v>1</v>
      </c>
      <c r="BL342" s="2">
        <v>40.76</v>
      </c>
      <c r="BM342" s="2">
        <v>5.71</v>
      </c>
      <c r="BN342" s="2">
        <v>46.47</v>
      </c>
      <c r="BO342" s="2">
        <v>46.47</v>
      </c>
      <c r="BP342" s="2"/>
      <c r="BQ342" s="2" t="s">
        <v>258</v>
      </c>
      <c r="BR342" s="2" t="s">
        <v>83</v>
      </c>
      <c r="BS342" s="3">
        <v>42649</v>
      </c>
      <c r="BT342" s="4">
        <v>0.41666666666666669</v>
      </c>
      <c r="BU342" s="2" t="s">
        <v>725</v>
      </c>
      <c r="BV342" s="2" t="s">
        <v>85</v>
      </c>
      <c r="BW342" s="2"/>
      <c r="BX342" s="2"/>
      <c r="BY342" s="2">
        <v>1200</v>
      </c>
      <c r="BZ342" s="2" t="s">
        <v>27</v>
      </c>
      <c r="CA342" s="2" t="s">
        <v>129</v>
      </c>
      <c r="CB342" s="2"/>
      <c r="CC342" s="2" t="s">
        <v>161</v>
      </c>
      <c r="CD342" s="2">
        <v>7405</v>
      </c>
      <c r="CE342" s="2" t="s">
        <v>108</v>
      </c>
      <c r="CF342" s="5">
        <v>42650</v>
      </c>
      <c r="CG342" s="2"/>
      <c r="CH342" s="2"/>
      <c r="CI342" s="2">
        <v>1</v>
      </c>
      <c r="CJ342" s="2">
        <v>1</v>
      </c>
      <c r="CK342" s="2">
        <v>21</v>
      </c>
      <c r="CL342" s="2" t="s">
        <v>88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"FES1162504801"</f>
        <v>FES1162504801</v>
      </c>
      <c r="F343" s="3">
        <v>42648</v>
      </c>
      <c r="G343" s="2">
        <v>201704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148</v>
      </c>
      <c r="M343" s="2" t="s">
        <v>149</v>
      </c>
      <c r="N343" s="2" t="s">
        <v>726</v>
      </c>
      <c r="O343" s="2" t="s">
        <v>96</v>
      </c>
      <c r="P343" s="2" t="str">
        <f>"2170528463                    "</f>
        <v xml:space="preserve">2170528463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3.32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</v>
      </c>
      <c r="BJ343" s="2">
        <v>0.8</v>
      </c>
      <c r="BK343" s="2">
        <v>1</v>
      </c>
      <c r="BL343" s="2">
        <v>40.76</v>
      </c>
      <c r="BM343" s="2">
        <v>5.71</v>
      </c>
      <c r="BN343" s="2">
        <v>46.47</v>
      </c>
      <c r="BO343" s="2">
        <v>46.47</v>
      </c>
      <c r="BP343" s="2"/>
      <c r="BQ343" s="2" t="s">
        <v>117</v>
      </c>
      <c r="BR343" s="2" t="s">
        <v>83</v>
      </c>
      <c r="BS343" s="3">
        <v>42649</v>
      </c>
      <c r="BT343" s="4">
        <v>0.4375</v>
      </c>
      <c r="BU343" s="2" t="s">
        <v>727</v>
      </c>
      <c r="BV343" s="2" t="s">
        <v>85</v>
      </c>
      <c r="BW343" s="2"/>
      <c r="BX343" s="2"/>
      <c r="BY343" s="2">
        <v>4075.5</v>
      </c>
      <c r="BZ343" s="2" t="s">
        <v>27</v>
      </c>
      <c r="CA343" s="2"/>
      <c r="CB343" s="2"/>
      <c r="CC343" s="2" t="s">
        <v>149</v>
      </c>
      <c r="CD343" s="2">
        <v>4070</v>
      </c>
      <c r="CE343" s="2" t="s">
        <v>108</v>
      </c>
      <c r="CF343" s="5">
        <v>42649</v>
      </c>
      <c r="CG343" s="2"/>
      <c r="CH343" s="2"/>
      <c r="CI343" s="2">
        <v>1</v>
      </c>
      <c r="CJ343" s="2">
        <v>1</v>
      </c>
      <c r="CK343" s="2">
        <v>21</v>
      </c>
      <c r="CL343" s="2" t="s">
        <v>88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"FES1162504816"</f>
        <v>FES1162504816</v>
      </c>
      <c r="F344" s="3">
        <v>42648</v>
      </c>
      <c r="G344" s="2">
        <v>201704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148</v>
      </c>
      <c r="M344" s="2" t="s">
        <v>149</v>
      </c>
      <c r="N344" s="2" t="s">
        <v>473</v>
      </c>
      <c r="O344" s="2" t="s">
        <v>96</v>
      </c>
      <c r="P344" s="2" t="str">
        <f>"2170528440                    "</f>
        <v xml:space="preserve">2170528440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3.32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1</v>
      </c>
      <c r="BJ344" s="2">
        <v>0.2</v>
      </c>
      <c r="BK344" s="2">
        <v>1</v>
      </c>
      <c r="BL344" s="2">
        <v>40.76</v>
      </c>
      <c r="BM344" s="2">
        <v>5.71</v>
      </c>
      <c r="BN344" s="2">
        <v>46.47</v>
      </c>
      <c r="BO344" s="2">
        <v>46.47</v>
      </c>
      <c r="BP344" s="2"/>
      <c r="BQ344" s="2" t="s">
        <v>117</v>
      </c>
      <c r="BR344" s="2" t="s">
        <v>83</v>
      </c>
      <c r="BS344" s="3">
        <v>42649</v>
      </c>
      <c r="BT344" s="4">
        <v>0.30902777777777779</v>
      </c>
      <c r="BU344" s="2" t="s">
        <v>728</v>
      </c>
      <c r="BV344" s="2" t="s">
        <v>85</v>
      </c>
      <c r="BW344" s="2"/>
      <c r="BX344" s="2"/>
      <c r="BY344" s="2">
        <v>1200</v>
      </c>
      <c r="BZ344" s="2" t="s">
        <v>27</v>
      </c>
      <c r="CA344" s="2" t="s">
        <v>129</v>
      </c>
      <c r="CB344" s="2"/>
      <c r="CC344" s="2" t="s">
        <v>149</v>
      </c>
      <c r="CD344" s="2">
        <v>4052</v>
      </c>
      <c r="CE344" s="2" t="s">
        <v>108</v>
      </c>
      <c r="CF344" s="5">
        <v>42650</v>
      </c>
      <c r="CG344" s="2"/>
      <c r="CH344" s="2"/>
      <c r="CI344" s="2">
        <v>1</v>
      </c>
      <c r="CJ344" s="2">
        <v>1</v>
      </c>
      <c r="CK344" s="2">
        <v>21</v>
      </c>
      <c r="CL344" s="2" t="s">
        <v>88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"FES1162504805"</f>
        <v>FES1162504805</v>
      </c>
      <c r="F345" s="3">
        <v>42648</v>
      </c>
      <c r="G345" s="2">
        <v>201704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137</v>
      </c>
      <c r="M345" s="2" t="s">
        <v>138</v>
      </c>
      <c r="N345" s="2" t="s">
        <v>139</v>
      </c>
      <c r="O345" s="2" t="s">
        <v>96</v>
      </c>
      <c r="P345" s="2" t="str">
        <f>"2170528469                    "</f>
        <v xml:space="preserve">2170528469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3.32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</v>
      </c>
      <c r="BJ345" s="2">
        <v>0.2</v>
      </c>
      <c r="BK345" s="2">
        <v>1</v>
      </c>
      <c r="BL345" s="2">
        <v>40.76</v>
      </c>
      <c r="BM345" s="2">
        <v>5.71</v>
      </c>
      <c r="BN345" s="2">
        <v>46.47</v>
      </c>
      <c r="BO345" s="2">
        <v>46.47</v>
      </c>
      <c r="BP345" s="2"/>
      <c r="BQ345" s="2" t="s">
        <v>140</v>
      </c>
      <c r="BR345" s="2" t="s">
        <v>83</v>
      </c>
      <c r="BS345" s="3">
        <v>42649</v>
      </c>
      <c r="BT345" s="4">
        <v>0.40625</v>
      </c>
      <c r="BU345" s="2" t="s">
        <v>708</v>
      </c>
      <c r="BV345" s="2"/>
      <c r="BW345" s="2"/>
      <c r="BX345" s="2"/>
      <c r="BY345" s="2">
        <v>1200</v>
      </c>
      <c r="BZ345" s="2" t="s">
        <v>27</v>
      </c>
      <c r="CA345" s="2" t="s">
        <v>170</v>
      </c>
      <c r="CB345" s="2"/>
      <c r="CC345" s="2" t="s">
        <v>138</v>
      </c>
      <c r="CD345" s="2">
        <v>3201</v>
      </c>
      <c r="CE345" s="2" t="s">
        <v>108</v>
      </c>
      <c r="CF345" s="5">
        <v>42649</v>
      </c>
      <c r="CG345" s="2"/>
      <c r="CH345" s="2"/>
      <c r="CI345" s="2">
        <v>0</v>
      </c>
      <c r="CJ345" s="2">
        <v>0</v>
      </c>
      <c r="CK345" s="2">
        <v>21</v>
      </c>
      <c r="CL345" s="2" t="s">
        <v>88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"FES1162504815"</f>
        <v>FES1162504815</v>
      </c>
      <c r="F346" s="3">
        <v>42648</v>
      </c>
      <c r="G346" s="2">
        <v>201704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148</v>
      </c>
      <c r="M346" s="2" t="s">
        <v>149</v>
      </c>
      <c r="N346" s="2" t="s">
        <v>729</v>
      </c>
      <c r="O346" s="2" t="s">
        <v>96</v>
      </c>
      <c r="P346" s="2" t="str">
        <f>"2170522139                    "</f>
        <v xml:space="preserve">2170522139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3.32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40.76</v>
      </c>
      <c r="BM346" s="2">
        <v>5.71</v>
      </c>
      <c r="BN346" s="2">
        <v>46.47</v>
      </c>
      <c r="BO346" s="2">
        <v>46.47</v>
      </c>
      <c r="BP346" s="2"/>
      <c r="BQ346" s="2" t="s">
        <v>117</v>
      </c>
      <c r="BR346" s="2" t="s">
        <v>83</v>
      </c>
      <c r="BS346" s="3">
        <v>42649</v>
      </c>
      <c r="BT346" s="4">
        <v>0.36458333333333331</v>
      </c>
      <c r="BU346" s="2" t="s">
        <v>730</v>
      </c>
      <c r="BV346" s="2"/>
      <c r="BW346" s="2"/>
      <c r="BX346" s="2"/>
      <c r="BY346" s="2">
        <v>1200</v>
      </c>
      <c r="BZ346" s="2" t="s">
        <v>27</v>
      </c>
      <c r="CA346" s="2"/>
      <c r="CB346" s="2"/>
      <c r="CC346" s="2" t="s">
        <v>149</v>
      </c>
      <c r="CD346" s="2">
        <v>4001</v>
      </c>
      <c r="CE346" s="2" t="s">
        <v>108</v>
      </c>
      <c r="CF346" s="5">
        <v>42650</v>
      </c>
      <c r="CG346" s="2"/>
      <c r="CH346" s="2"/>
      <c r="CI346" s="2">
        <v>0</v>
      </c>
      <c r="CJ346" s="2">
        <v>0</v>
      </c>
      <c r="CK346" s="2">
        <v>21</v>
      </c>
      <c r="CL346" s="2" t="s">
        <v>88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"FES1162504834"</f>
        <v>FES1162504834</v>
      </c>
      <c r="F347" s="3">
        <v>42648</v>
      </c>
      <c r="G347" s="2">
        <v>201704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160</v>
      </c>
      <c r="M347" s="2" t="s">
        <v>161</v>
      </c>
      <c r="N347" s="2" t="s">
        <v>279</v>
      </c>
      <c r="O347" s="2" t="s">
        <v>96</v>
      </c>
      <c r="P347" s="2" t="str">
        <f>"2170528507                    "</f>
        <v xml:space="preserve">2170528507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3.32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1.3</v>
      </c>
      <c r="BK347" s="2">
        <v>1.5</v>
      </c>
      <c r="BL347" s="2">
        <v>40.76</v>
      </c>
      <c r="BM347" s="2">
        <v>5.71</v>
      </c>
      <c r="BN347" s="2">
        <v>46.47</v>
      </c>
      <c r="BO347" s="2">
        <v>46.47</v>
      </c>
      <c r="BP347" s="2"/>
      <c r="BQ347" s="2" t="s">
        <v>280</v>
      </c>
      <c r="BR347" s="2" t="s">
        <v>83</v>
      </c>
      <c r="BS347" s="3">
        <v>42649</v>
      </c>
      <c r="BT347" s="4">
        <v>0.34722222222222227</v>
      </c>
      <c r="BU347" s="2" t="s">
        <v>731</v>
      </c>
      <c r="BV347" s="2" t="s">
        <v>85</v>
      </c>
      <c r="BW347" s="2"/>
      <c r="BX347" s="2"/>
      <c r="BY347" s="2">
        <v>6668.06</v>
      </c>
      <c r="BZ347" s="2" t="s">
        <v>27</v>
      </c>
      <c r="CA347" s="2"/>
      <c r="CB347" s="2"/>
      <c r="CC347" s="2" t="s">
        <v>161</v>
      </c>
      <c r="CD347" s="2">
        <v>7441</v>
      </c>
      <c r="CE347" s="2" t="s">
        <v>108</v>
      </c>
      <c r="CF347" s="5">
        <v>42650</v>
      </c>
      <c r="CG347" s="2"/>
      <c r="CH347" s="2"/>
      <c r="CI347" s="2">
        <v>1</v>
      </c>
      <c r="CJ347" s="2">
        <v>1</v>
      </c>
      <c r="CK347" s="2">
        <v>21</v>
      </c>
      <c r="CL347" s="2" t="s">
        <v>88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"FES1162504817"</f>
        <v>FES1162504817</v>
      </c>
      <c r="F348" s="3">
        <v>42648</v>
      </c>
      <c r="G348" s="2">
        <v>201704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160</v>
      </c>
      <c r="M348" s="2" t="s">
        <v>161</v>
      </c>
      <c r="N348" s="2" t="s">
        <v>267</v>
      </c>
      <c r="O348" s="2" t="s">
        <v>96</v>
      </c>
      <c r="P348" s="2" t="str">
        <f>"2170528460                    "</f>
        <v xml:space="preserve">2170528460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3.32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1</v>
      </c>
      <c r="BJ348" s="2">
        <v>0.2</v>
      </c>
      <c r="BK348" s="2">
        <v>1</v>
      </c>
      <c r="BL348" s="2">
        <v>40.76</v>
      </c>
      <c r="BM348" s="2">
        <v>5.71</v>
      </c>
      <c r="BN348" s="2">
        <v>46.47</v>
      </c>
      <c r="BO348" s="2">
        <v>46.47</v>
      </c>
      <c r="BP348" s="2"/>
      <c r="BQ348" s="2" t="s">
        <v>117</v>
      </c>
      <c r="BR348" s="2" t="s">
        <v>83</v>
      </c>
      <c r="BS348" s="3">
        <v>42649</v>
      </c>
      <c r="BT348" s="4">
        <v>0.41666666666666669</v>
      </c>
      <c r="BU348" s="2" t="s">
        <v>732</v>
      </c>
      <c r="BV348" s="2" t="s">
        <v>85</v>
      </c>
      <c r="BW348" s="2"/>
      <c r="BX348" s="2"/>
      <c r="BY348" s="2">
        <v>1200</v>
      </c>
      <c r="BZ348" s="2" t="s">
        <v>27</v>
      </c>
      <c r="CA348" s="2"/>
      <c r="CB348" s="2"/>
      <c r="CC348" s="2" t="s">
        <v>161</v>
      </c>
      <c r="CD348" s="2">
        <v>7441</v>
      </c>
      <c r="CE348" s="2" t="s">
        <v>108</v>
      </c>
      <c r="CF348" s="5">
        <v>42650</v>
      </c>
      <c r="CG348" s="2"/>
      <c r="CH348" s="2"/>
      <c r="CI348" s="2">
        <v>1</v>
      </c>
      <c r="CJ348" s="2">
        <v>1</v>
      </c>
      <c r="CK348" s="2">
        <v>21</v>
      </c>
      <c r="CL348" s="2" t="s">
        <v>88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"FES1162504620"</f>
        <v>FES1162504620</v>
      </c>
      <c r="F349" s="3">
        <v>42648</v>
      </c>
      <c r="G349" s="2">
        <v>201704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377</v>
      </c>
      <c r="M349" s="2" t="s">
        <v>378</v>
      </c>
      <c r="N349" s="2" t="s">
        <v>532</v>
      </c>
      <c r="O349" s="2" t="s">
        <v>96</v>
      </c>
      <c r="P349" s="2" t="str">
        <f>"2170528286                    "</f>
        <v xml:space="preserve">2170528286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3.32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1.7</v>
      </c>
      <c r="BJ349" s="2">
        <v>1.7</v>
      </c>
      <c r="BK349" s="2">
        <v>2</v>
      </c>
      <c r="BL349" s="2">
        <v>40.76</v>
      </c>
      <c r="BM349" s="2">
        <v>5.71</v>
      </c>
      <c r="BN349" s="2">
        <v>46.47</v>
      </c>
      <c r="BO349" s="2">
        <v>46.47</v>
      </c>
      <c r="BP349" s="2"/>
      <c r="BQ349" s="2" t="s">
        <v>533</v>
      </c>
      <c r="BR349" s="2" t="s">
        <v>83</v>
      </c>
      <c r="BS349" s="3">
        <v>42649</v>
      </c>
      <c r="BT349" s="4">
        <v>0.36458333333333331</v>
      </c>
      <c r="BU349" s="2" t="s">
        <v>733</v>
      </c>
      <c r="BV349" s="2" t="s">
        <v>85</v>
      </c>
      <c r="BW349" s="2"/>
      <c r="BX349" s="2"/>
      <c r="BY349" s="2">
        <v>8672.66</v>
      </c>
      <c r="BZ349" s="2" t="s">
        <v>27</v>
      </c>
      <c r="CA349" s="2" t="s">
        <v>129</v>
      </c>
      <c r="CB349" s="2"/>
      <c r="CC349" s="2" t="s">
        <v>378</v>
      </c>
      <c r="CD349" s="2">
        <v>6536</v>
      </c>
      <c r="CE349" s="2" t="s">
        <v>108</v>
      </c>
      <c r="CF349" s="5">
        <v>42653</v>
      </c>
      <c r="CG349" s="2"/>
      <c r="CH349" s="2"/>
      <c r="CI349" s="2">
        <v>1</v>
      </c>
      <c r="CJ349" s="2">
        <v>1</v>
      </c>
      <c r="CK349" s="2">
        <v>21</v>
      </c>
      <c r="CL349" s="2" t="s">
        <v>88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"FES1162504846"</f>
        <v>FES1162504846</v>
      </c>
      <c r="F350" s="3">
        <v>42648</v>
      </c>
      <c r="G350" s="2">
        <v>201704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160</v>
      </c>
      <c r="M350" s="2" t="s">
        <v>161</v>
      </c>
      <c r="N350" s="2" t="s">
        <v>734</v>
      </c>
      <c r="O350" s="2" t="s">
        <v>96</v>
      </c>
      <c r="P350" s="2" t="str">
        <f>"2170528521                    "</f>
        <v xml:space="preserve">2170528521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3.32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1</v>
      </c>
      <c r="BJ350" s="2">
        <v>0.2</v>
      </c>
      <c r="BK350" s="2">
        <v>1</v>
      </c>
      <c r="BL350" s="2">
        <v>40.76</v>
      </c>
      <c r="BM350" s="2">
        <v>5.71</v>
      </c>
      <c r="BN350" s="2">
        <v>46.47</v>
      </c>
      <c r="BO350" s="2">
        <v>46.47</v>
      </c>
      <c r="BP350" s="2"/>
      <c r="BQ350" s="2" t="s">
        <v>91</v>
      </c>
      <c r="BR350" s="2" t="s">
        <v>83</v>
      </c>
      <c r="BS350" s="3">
        <v>42649</v>
      </c>
      <c r="BT350" s="4">
        <v>0.41666666666666669</v>
      </c>
      <c r="BU350" s="2" t="s">
        <v>735</v>
      </c>
      <c r="BV350" s="2" t="s">
        <v>85</v>
      </c>
      <c r="BW350" s="2"/>
      <c r="BX350" s="2"/>
      <c r="BY350" s="2">
        <v>1200</v>
      </c>
      <c r="BZ350" s="2" t="s">
        <v>27</v>
      </c>
      <c r="CA350" s="2"/>
      <c r="CB350" s="2"/>
      <c r="CC350" s="2" t="s">
        <v>161</v>
      </c>
      <c r="CD350" s="2">
        <v>7405</v>
      </c>
      <c r="CE350" s="2" t="s">
        <v>108</v>
      </c>
      <c r="CF350" s="5">
        <v>42650</v>
      </c>
      <c r="CG350" s="2"/>
      <c r="CH350" s="2"/>
      <c r="CI350" s="2">
        <v>1</v>
      </c>
      <c r="CJ350" s="2">
        <v>1</v>
      </c>
      <c r="CK350" s="2">
        <v>21</v>
      </c>
      <c r="CL350" s="2" t="s">
        <v>88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"FES1162504829"</f>
        <v>FES1162504829</v>
      </c>
      <c r="F351" s="3">
        <v>42648</v>
      </c>
      <c r="G351" s="2">
        <v>201704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323</v>
      </c>
      <c r="M351" s="2" t="s">
        <v>324</v>
      </c>
      <c r="N351" s="2" t="s">
        <v>325</v>
      </c>
      <c r="O351" s="2" t="s">
        <v>96</v>
      </c>
      <c r="P351" s="2" t="str">
        <f>"2170528497                    "</f>
        <v xml:space="preserve">2170528497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3.32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1</v>
      </c>
      <c r="BJ351" s="2">
        <v>0.2</v>
      </c>
      <c r="BK351" s="2">
        <v>1</v>
      </c>
      <c r="BL351" s="2">
        <v>40.76</v>
      </c>
      <c r="BM351" s="2">
        <v>5.71</v>
      </c>
      <c r="BN351" s="2">
        <v>46.47</v>
      </c>
      <c r="BO351" s="2">
        <v>46.47</v>
      </c>
      <c r="BP351" s="2"/>
      <c r="BQ351" s="2" t="s">
        <v>117</v>
      </c>
      <c r="BR351" s="2" t="s">
        <v>83</v>
      </c>
      <c r="BS351" s="3">
        <v>42649</v>
      </c>
      <c r="BT351" s="4">
        <v>0.375</v>
      </c>
      <c r="BU351" s="2" t="s">
        <v>736</v>
      </c>
      <c r="BV351" s="2"/>
      <c r="BW351" s="2"/>
      <c r="BX351" s="2"/>
      <c r="BY351" s="2">
        <v>1200</v>
      </c>
      <c r="BZ351" s="2" t="s">
        <v>27</v>
      </c>
      <c r="CA351" s="2"/>
      <c r="CB351" s="2"/>
      <c r="CC351" s="2" t="s">
        <v>324</v>
      </c>
      <c r="CD351" s="2">
        <v>9301</v>
      </c>
      <c r="CE351" s="2" t="s">
        <v>108</v>
      </c>
      <c r="CF351" s="5">
        <v>42650</v>
      </c>
      <c r="CG351" s="2"/>
      <c r="CH351" s="2"/>
      <c r="CI351" s="2">
        <v>0</v>
      </c>
      <c r="CJ351" s="2">
        <v>0</v>
      </c>
      <c r="CK351" s="2">
        <v>21</v>
      </c>
      <c r="CL351" s="2" t="s">
        <v>88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"FES1162504835"</f>
        <v>FES1162504835</v>
      </c>
      <c r="F352" s="3">
        <v>42648</v>
      </c>
      <c r="G352" s="2">
        <v>201704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160</v>
      </c>
      <c r="M352" s="2" t="s">
        <v>161</v>
      </c>
      <c r="N352" s="2" t="s">
        <v>737</v>
      </c>
      <c r="O352" s="2" t="s">
        <v>96</v>
      </c>
      <c r="P352" s="2" t="str">
        <f>"2170528508                    "</f>
        <v xml:space="preserve">2170528508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4.9800000000000004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2</v>
      </c>
      <c r="BJ352" s="2">
        <v>2.8</v>
      </c>
      <c r="BK352" s="2">
        <v>3</v>
      </c>
      <c r="BL352" s="2">
        <v>61.14</v>
      </c>
      <c r="BM352" s="2">
        <v>8.56</v>
      </c>
      <c r="BN352" s="2">
        <v>69.7</v>
      </c>
      <c r="BO352" s="2">
        <v>69.7</v>
      </c>
      <c r="BP352" s="2"/>
      <c r="BQ352" s="2" t="s">
        <v>91</v>
      </c>
      <c r="BR352" s="2" t="s">
        <v>83</v>
      </c>
      <c r="BS352" s="3">
        <v>42649</v>
      </c>
      <c r="BT352" s="4">
        <v>0.375</v>
      </c>
      <c r="BU352" s="2" t="s">
        <v>738</v>
      </c>
      <c r="BV352" s="2" t="s">
        <v>85</v>
      </c>
      <c r="BW352" s="2"/>
      <c r="BX352" s="2"/>
      <c r="BY352" s="2">
        <v>14171.19</v>
      </c>
      <c r="BZ352" s="2" t="s">
        <v>27</v>
      </c>
      <c r="CA352" s="2"/>
      <c r="CB352" s="2"/>
      <c r="CC352" s="2" t="s">
        <v>161</v>
      </c>
      <c r="CD352" s="2">
        <v>7708</v>
      </c>
      <c r="CE352" s="2" t="s">
        <v>86</v>
      </c>
      <c r="CF352" s="5">
        <v>42650</v>
      </c>
      <c r="CG352" s="2"/>
      <c r="CH352" s="2"/>
      <c r="CI352" s="2">
        <v>1</v>
      </c>
      <c r="CJ352" s="2">
        <v>1</v>
      </c>
      <c r="CK352" s="2">
        <v>21</v>
      </c>
      <c r="CL352" s="2" t="s">
        <v>88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"FES1162504633"</f>
        <v>FES1162504633</v>
      </c>
      <c r="F353" s="3">
        <v>42648</v>
      </c>
      <c r="G353" s="2">
        <v>201704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160</v>
      </c>
      <c r="M353" s="2" t="s">
        <v>161</v>
      </c>
      <c r="N353" s="2" t="s">
        <v>244</v>
      </c>
      <c r="O353" s="2" t="s">
        <v>96</v>
      </c>
      <c r="P353" s="2" t="str">
        <f>"2170526569                    "</f>
        <v xml:space="preserve">2170526569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7.46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3</v>
      </c>
      <c r="BJ353" s="2">
        <v>4.0999999999999996</v>
      </c>
      <c r="BK353" s="2">
        <v>4.5</v>
      </c>
      <c r="BL353" s="2">
        <v>91.7</v>
      </c>
      <c r="BM353" s="2">
        <v>12.84</v>
      </c>
      <c r="BN353" s="2">
        <v>104.54</v>
      </c>
      <c r="BO353" s="2">
        <v>104.54</v>
      </c>
      <c r="BP353" s="2"/>
      <c r="BQ353" s="2" t="s">
        <v>117</v>
      </c>
      <c r="BR353" s="2" t="s">
        <v>83</v>
      </c>
      <c r="BS353" s="3">
        <v>42649</v>
      </c>
      <c r="BT353" s="4">
        <v>0.41666666666666669</v>
      </c>
      <c r="BU353" s="2" t="s">
        <v>709</v>
      </c>
      <c r="BV353" s="2" t="s">
        <v>85</v>
      </c>
      <c r="BW353" s="2"/>
      <c r="BX353" s="2"/>
      <c r="BY353" s="2">
        <v>20358</v>
      </c>
      <c r="BZ353" s="2" t="s">
        <v>27</v>
      </c>
      <c r="CA353" s="2"/>
      <c r="CB353" s="2"/>
      <c r="CC353" s="2" t="s">
        <v>161</v>
      </c>
      <c r="CD353" s="2">
        <v>7800</v>
      </c>
      <c r="CE353" s="2" t="s">
        <v>86</v>
      </c>
      <c r="CF353" s="5">
        <v>42650</v>
      </c>
      <c r="CG353" s="2"/>
      <c r="CH353" s="2"/>
      <c r="CI353" s="2">
        <v>1</v>
      </c>
      <c r="CJ353" s="2">
        <v>1</v>
      </c>
      <c r="CK353" s="2">
        <v>21</v>
      </c>
      <c r="CL353" s="2" t="s">
        <v>88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"FES1162504628"</f>
        <v>FES1162504628</v>
      </c>
      <c r="F354" s="3">
        <v>42648</v>
      </c>
      <c r="G354" s="2">
        <v>201704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160</v>
      </c>
      <c r="M354" s="2" t="s">
        <v>161</v>
      </c>
      <c r="N354" s="2" t="s">
        <v>244</v>
      </c>
      <c r="O354" s="2" t="s">
        <v>96</v>
      </c>
      <c r="P354" s="2" t="str">
        <f>"2170526305                    "</f>
        <v xml:space="preserve">2170526305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7.46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4</v>
      </c>
      <c r="BJ354" s="2">
        <v>4.0999999999999996</v>
      </c>
      <c r="BK354" s="2">
        <v>4.5</v>
      </c>
      <c r="BL354" s="2">
        <v>91.7</v>
      </c>
      <c r="BM354" s="2">
        <v>12.84</v>
      </c>
      <c r="BN354" s="2">
        <v>104.54</v>
      </c>
      <c r="BO354" s="2">
        <v>104.54</v>
      </c>
      <c r="BP354" s="2"/>
      <c r="BQ354" s="2" t="s">
        <v>117</v>
      </c>
      <c r="BR354" s="2" t="s">
        <v>83</v>
      </c>
      <c r="BS354" s="3">
        <v>42649</v>
      </c>
      <c r="BT354" s="4">
        <v>0.42708333333333331</v>
      </c>
      <c r="BU354" s="2" t="s">
        <v>739</v>
      </c>
      <c r="BV354" s="2" t="s">
        <v>85</v>
      </c>
      <c r="BW354" s="2"/>
      <c r="BX354" s="2"/>
      <c r="BY354" s="2">
        <v>20358</v>
      </c>
      <c r="BZ354" s="2" t="s">
        <v>27</v>
      </c>
      <c r="CA354" s="2" t="s">
        <v>129</v>
      </c>
      <c r="CB354" s="2"/>
      <c r="CC354" s="2" t="s">
        <v>161</v>
      </c>
      <c r="CD354" s="2">
        <v>7800</v>
      </c>
      <c r="CE354" s="2" t="s">
        <v>86</v>
      </c>
      <c r="CF354" s="5">
        <v>42650</v>
      </c>
      <c r="CG354" s="2"/>
      <c r="CH354" s="2"/>
      <c r="CI354" s="2">
        <v>1</v>
      </c>
      <c r="CJ354" s="2">
        <v>1</v>
      </c>
      <c r="CK354" s="2">
        <v>21</v>
      </c>
      <c r="CL354" s="2" t="s">
        <v>88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"FES1162504604"</f>
        <v>FES1162504604</v>
      </c>
      <c r="F355" s="3">
        <v>42648</v>
      </c>
      <c r="G355" s="2">
        <v>201704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156</v>
      </c>
      <c r="M355" s="2" t="s">
        <v>157</v>
      </c>
      <c r="N355" s="2" t="s">
        <v>507</v>
      </c>
      <c r="O355" s="2" t="s">
        <v>96</v>
      </c>
      <c r="P355" s="2" t="str">
        <f>"2170527210                    "</f>
        <v xml:space="preserve">2170527210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18.239999999999998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11</v>
      </c>
      <c r="BJ355" s="2">
        <v>4.0999999999999996</v>
      </c>
      <c r="BK355" s="2">
        <v>11</v>
      </c>
      <c r="BL355" s="2">
        <v>224.16</v>
      </c>
      <c r="BM355" s="2">
        <v>31.38</v>
      </c>
      <c r="BN355" s="2">
        <v>255.54</v>
      </c>
      <c r="BO355" s="2">
        <v>255.54</v>
      </c>
      <c r="BP355" s="2"/>
      <c r="BQ355" s="2" t="s">
        <v>508</v>
      </c>
      <c r="BR355" s="2" t="s">
        <v>83</v>
      </c>
      <c r="BS355" s="3">
        <v>42649</v>
      </c>
      <c r="BT355" s="4">
        <v>0.40277777777777773</v>
      </c>
      <c r="BU355" s="2" t="s">
        <v>181</v>
      </c>
      <c r="BV355" s="2" t="s">
        <v>85</v>
      </c>
      <c r="BW355" s="2"/>
      <c r="BX355" s="2"/>
      <c r="BY355" s="2">
        <v>20358</v>
      </c>
      <c r="BZ355" s="2" t="s">
        <v>27</v>
      </c>
      <c r="CA355" s="2"/>
      <c r="CB355" s="2"/>
      <c r="CC355" s="2" t="s">
        <v>157</v>
      </c>
      <c r="CD355" s="2">
        <v>7130</v>
      </c>
      <c r="CE355" s="2" t="s">
        <v>86</v>
      </c>
      <c r="CF355" s="5">
        <v>42650</v>
      </c>
      <c r="CG355" s="2"/>
      <c r="CH355" s="2"/>
      <c r="CI355" s="2">
        <v>1</v>
      </c>
      <c r="CJ355" s="2">
        <v>1</v>
      </c>
      <c r="CK355" s="2">
        <v>21</v>
      </c>
      <c r="CL355" s="2" t="s">
        <v>88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"FES1162504635"</f>
        <v>FES1162504635</v>
      </c>
      <c r="F356" s="3">
        <v>42648</v>
      </c>
      <c r="G356" s="2">
        <v>201704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160</v>
      </c>
      <c r="M356" s="2" t="s">
        <v>161</v>
      </c>
      <c r="N356" s="2" t="s">
        <v>244</v>
      </c>
      <c r="O356" s="2" t="s">
        <v>96</v>
      </c>
      <c r="P356" s="2" t="str">
        <f>"2170526301                    "</f>
        <v xml:space="preserve">2170526301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7.46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3</v>
      </c>
      <c r="BJ356" s="2">
        <v>4.0999999999999996</v>
      </c>
      <c r="BK356" s="2">
        <v>4.5</v>
      </c>
      <c r="BL356" s="2">
        <v>91.7</v>
      </c>
      <c r="BM356" s="2">
        <v>12.84</v>
      </c>
      <c r="BN356" s="2">
        <v>104.54</v>
      </c>
      <c r="BO356" s="2">
        <v>104.54</v>
      </c>
      <c r="BP356" s="2"/>
      <c r="BQ356" s="2" t="s">
        <v>117</v>
      </c>
      <c r="BR356" s="2" t="s">
        <v>83</v>
      </c>
      <c r="BS356" s="3">
        <v>42649</v>
      </c>
      <c r="BT356" s="4">
        <v>0.42708333333333331</v>
      </c>
      <c r="BU356" s="2" t="s">
        <v>739</v>
      </c>
      <c r="BV356" s="2" t="s">
        <v>85</v>
      </c>
      <c r="BW356" s="2"/>
      <c r="BX356" s="2"/>
      <c r="BY356" s="2">
        <v>20358</v>
      </c>
      <c r="BZ356" s="2" t="s">
        <v>27</v>
      </c>
      <c r="CA356" s="2" t="s">
        <v>129</v>
      </c>
      <c r="CB356" s="2"/>
      <c r="CC356" s="2" t="s">
        <v>161</v>
      </c>
      <c r="CD356" s="2">
        <v>7800</v>
      </c>
      <c r="CE356" s="2" t="s">
        <v>86</v>
      </c>
      <c r="CF356" s="5">
        <v>42650</v>
      </c>
      <c r="CG356" s="2"/>
      <c r="CH356" s="2"/>
      <c r="CI356" s="2">
        <v>1</v>
      </c>
      <c r="CJ356" s="2">
        <v>1</v>
      </c>
      <c r="CK356" s="2">
        <v>21</v>
      </c>
      <c r="CL356" s="2" t="s">
        <v>88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"FES1162504651"</f>
        <v>FES1162504651</v>
      </c>
      <c r="F357" s="3">
        <v>42648</v>
      </c>
      <c r="G357" s="2">
        <v>201704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153</v>
      </c>
      <c r="M357" s="2" t="s">
        <v>153</v>
      </c>
      <c r="N357" s="2" t="s">
        <v>200</v>
      </c>
      <c r="O357" s="2" t="s">
        <v>96</v>
      </c>
      <c r="P357" s="2" t="str">
        <f>"2170526163                    "</f>
        <v xml:space="preserve">2170526163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19.899999999999999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7</v>
      </c>
      <c r="BJ357" s="2">
        <v>11.9</v>
      </c>
      <c r="BK357" s="2">
        <v>12</v>
      </c>
      <c r="BL357" s="2">
        <v>244.54</v>
      </c>
      <c r="BM357" s="2">
        <v>34.24</v>
      </c>
      <c r="BN357" s="2">
        <v>278.77999999999997</v>
      </c>
      <c r="BO357" s="2">
        <v>278.77999999999997</v>
      </c>
      <c r="BP357" s="2"/>
      <c r="BQ357" s="2" t="s">
        <v>201</v>
      </c>
      <c r="BR357" s="2" t="s">
        <v>83</v>
      </c>
      <c r="BS357" s="3">
        <v>42649</v>
      </c>
      <c r="BT357" s="4">
        <v>0.50069444444444444</v>
      </c>
      <c r="BU357" s="2" t="s">
        <v>448</v>
      </c>
      <c r="BV357" s="2" t="s">
        <v>85</v>
      </c>
      <c r="BW357" s="2"/>
      <c r="BX357" s="2"/>
      <c r="BY357" s="2">
        <v>59610.85</v>
      </c>
      <c r="BZ357" s="2" t="s">
        <v>27</v>
      </c>
      <c r="CA357" s="2"/>
      <c r="CB357" s="2"/>
      <c r="CC357" s="2" t="s">
        <v>153</v>
      </c>
      <c r="CD357" s="2">
        <v>7646</v>
      </c>
      <c r="CE357" s="2" t="s">
        <v>86</v>
      </c>
      <c r="CF357" s="5">
        <v>42650</v>
      </c>
      <c r="CG357" s="2"/>
      <c r="CH357" s="2"/>
      <c r="CI357" s="2">
        <v>1</v>
      </c>
      <c r="CJ357" s="2">
        <v>1</v>
      </c>
      <c r="CK357" s="2">
        <v>21</v>
      </c>
      <c r="CL357" s="2" t="s">
        <v>88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"FES1162504612"</f>
        <v>FES1162504612</v>
      </c>
      <c r="F358" s="3">
        <v>42648</v>
      </c>
      <c r="G358" s="2">
        <v>201704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153</v>
      </c>
      <c r="M358" s="2" t="s">
        <v>153</v>
      </c>
      <c r="N358" s="2" t="s">
        <v>740</v>
      </c>
      <c r="O358" s="2" t="s">
        <v>96</v>
      </c>
      <c r="P358" s="2" t="str">
        <f>"2170527971                    "</f>
        <v xml:space="preserve">2170527971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4.1500000000000004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2.2999999999999998</v>
      </c>
      <c r="BJ358" s="2">
        <v>2.1</v>
      </c>
      <c r="BK358" s="2">
        <v>2.5</v>
      </c>
      <c r="BL358" s="2">
        <v>50.95</v>
      </c>
      <c r="BM358" s="2">
        <v>7.13</v>
      </c>
      <c r="BN358" s="2">
        <v>58.08</v>
      </c>
      <c r="BO358" s="2">
        <v>58.08</v>
      </c>
      <c r="BP358" s="2"/>
      <c r="BQ358" s="2" t="s">
        <v>741</v>
      </c>
      <c r="BR358" s="2" t="s">
        <v>83</v>
      </c>
      <c r="BS358" s="3">
        <v>42649</v>
      </c>
      <c r="BT358" s="4">
        <v>0.41666666666666669</v>
      </c>
      <c r="BU358" s="2" t="s">
        <v>742</v>
      </c>
      <c r="BV358" s="2" t="s">
        <v>85</v>
      </c>
      <c r="BW358" s="2"/>
      <c r="BX358" s="2"/>
      <c r="BY358" s="2">
        <v>10433.1</v>
      </c>
      <c r="BZ358" s="2"/>
      <c r="CA358" s="2"/>
      <c r="CB358" s="2"/>
      <c r="CC358" s="2" t="s">
        <v>153</v>
      </c>
      <c r="CD358" s="2">
        <v>7646</v>
      </c>
      <c r="CE358" s="2" t="s">
        <v>86</v>
      </c>
      <c r="CF358" s="5">
        <v>42655</v>
      </c>
      <c r="CG358" s="2"/>
      <c r="CH358" s="2"/>
      <c r="CI358" s="2">
        <v>1</v>
      </c>
      <c r="CJ358" s="2">
        <v>1</v>
      </c>
      <c r="CK358" s="2">
        <v>21</v>
      </c>
      <c r="CL358" s="2" t="s">
        <v>88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"FES1162504830"</f>
        <v>FES1162504830</v>
      </c>
      <c r="F359" s="3">
        <v>42648</v>
      </c>
      <c r="G359" s="2">
        <v>201704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148</v>
      </c>
      <c r="M359" s="2" t="s">
        <v>149</v>
      </c>
      <c r="N359" s="2" t="s">
        <v>743</v>
      </c>
      <c r="O359" s="2" t="s">
        <v>96</v>
      </c>
      <c r="P359" s="2" t="str">
        <f>"2170528247                    "</f>
        <v xml:space="preserve">2170528247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52.25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16.899999999999999</v>
      </c>
      <c r="BJ359" s="2">
        <v>31.3</v>
      </c>
      <c r="BK359" s="2">
        <v>31.5</v>
      </c>
      <c r="BL359" s="2">
        <v>641.92999999999995</v>
      </c>
      <c r="BM359" s="2">
        <v>89.87</v>
      </c>
      <c r="BN359" s="2">
        <v>731.8</v>
      </c>
      <c r="BO359" s="2">
        <v>731.8</v>
      </c>
      <c r="BP359" s="2"/>
      <c r="BQ359" s="2" t="s">
        <v>91</v>
      </c>
      <c r="BR359" s="2" t="s">
        <v>83</v>
      </c>
      <c r="BS359" s="3">
        <v>42649</v>
      </c>
      <c r="BT359" s="4">
        <v>0.30208333333333331</v>
      </c>
      <c r="BU359" s="2" t="s">
        <v>744</v>
      </c>
      <c r="BV359" s="2"/>
      <c r="BW359" s="2"/>
      <c r="BX359" s="2"/>
      <c r="BY359" s="2">
        <v>156580.51</v>
      </c>
      <c r="BZ359" s="2" t="s">
        <v>27</v>
      </c>
      <c r="CA359" s="2" t="s">
        <v>129</v>
      </c>
      <c r="CB359" s="2"/>
      <c r="CC359" s="2" t="s">
        <v>149</v>
      </c>
      <c r="CD359" s="2">
        <v>4001</v>
      </c>
      <c r="CE359" s="2" t="s">
        <v>86</v>
      </c>
      <c r="CF359" s="5">
        <v>42650</v>
      </c>
      <c r="CG359" s="2"/>
      <c r="CH359" s="2"/>
      <c r="CI359" s="2">
        <v>0</v>
      </c>
      <c r="CJ359" s="2">
        <v>0</v>
      </c>
      <c r="CK359" s="2">
        <v>21</v>
      </c>
      <c r="CL359" s="2" t="s">
        <v>88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"FES1162504630"</f>
        <v>FES1162504630</v>
      </c>
      <c r="F360" s="3">
        <v>42648</v>
      </c>
      <c r="G360" s="2">
        <v>201704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160</v>
      </c>
      <c r="M360" s="2" t="s">
        <v>161</v>
      </c>
      <c r="N360" s="2" t="s">
        <v>244</v>
      </c>
      <c r="O360" s="2" t="s">
        <v>96</v>
      </c>
      <c r="P360" s="2" t="str">
        <f>"2170526354                    "</f>
        <v xml:space="preserve">2170526354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8.2899999999999991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3</v>
      </c>
      <c r="BJ360" s="2">
        <v>4.5999999999999996</v>
      </c>
      <c r="BK360" s="2">
        <v>5</v>
      </c>
      <c r="BL360" s="2">
        <v>101.89</v>
      </c>
      <c r="BM360" s="2">
        <v>14.26</v>
      </c>
      <c r="BN360" s="2">
        <v>116.15</v>
      </c>
      <c r="BO360" s="2">
        <v>116.15</v>
      </c>
      <c r="BP360" s="2"/>
      <c r="BQ360" s="2" t="s">
        <v>117</v>
      </c>
      <c r="BR360" s="2" t="s">
        <v>83</v>
      </c>
      <c r="BS360" s="3">
        <v>42649</v>
      </c>
      <c r="BT360" s="4">
        <v>0.42708333333333331</v>
      </c>
      <c r="BU360" s="2" t="s">
        <v>739</v>
      </c>
      <c r="BV360" s="2" t="s">
        <v>85</v>
      </c>
      <c r="BW360" s="2"/>
      <c r="BX360" s="2"/>
      <c r="BY360" s="2">
        <v>22846.46</v>
      </c>
      <c r="BZ360" s="2" t="s">
        <v>27</v>
      </c>
      <c r="CA360" s="2" t="s">
        <v>129</v>
      </c>
      <c r="CB360" s="2"/>
      <c r="CC360" s="2" t="s">
        <v>161</v>
      </c>
      <c r="CD360" s="2">
        <v>7800</v>
      </c>
      <c r="CE360" s="2" t="s">
        <v>86</v>
      </c>
      <c r="CF360" s="5">
        <v>42650</v>
      </c>
      <c r="CG360" s="2"/>
      <c r="CH360" s="2"/>
      <c r="CI360" s="2">
        <v>1</v>
      </c>
      <c r="CJ360" s="2">
        <v>1</v>
      </c>
      <c r="CK360" s="2">
        <v>21</v>
      </c>
      <c r="CL360" s="2" t="s">
        <v>88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"FES1162504565"</f>
        <v>FES1162504565</v>
      </c>
      <c r="F361" s="3">
        <v>42648</v>
      </c>
      <c r="G361" s="2">
        <v>201704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503</v>
      </c>
      <c r="M361" s="2" t="s">
        <v>504</v>
      </c>
      <c r="N361" s="2" t="s">
        <v>505</v>
      </c>
      <c r="O361" s="2" t="s">
        <v>96</v>
      </c>
      <c r="P361" s="2" t="str">
        <f>"2170524364                    "</f>
        <v xml:space="preserve">2170524364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26.74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9</v>
      </c>
      <c r="BJ361" s="2">
        <v>7.7</v>
      </c>
      <c r="BK361" s="2">
        <v>9</v>
      </c>
      <c r="BL361" s="2">
        <v>328.6</v>
      </c>
      <c r="BM361" s="2">
        <v>46</v>
      </c>
      <c r="BN361" s="2">
        <v>374.6</v>
      </c>
      <c r="BO361" s="2">
        <v>374.6</v>
      </c>
      <c r="BP361" s="2"/>
      <c r="BQ361" s="2" t="s">
        <v>91</v>
      </c>
      <c r="BR361" s="2" t="s">
        <v>83</v>
      </c>
      <c r="BS361" s="3">
        <v>42649</v>
      </c>
      <c r="BT361" s="4">
        <v>0.41666666666666669</v>
      </c>
      <c r="BU361" s="2" t="s">
        <v>745</v>
      </c>
      <c r="BV361" s="2" t="s">
        <v>85</v>
      </c>
      <c r="BW361" s="2"/>
      <c r="BX361" s="2"/>
      <c r="BY361" s="2">
        <v>38457.97</v>
      </c>
      <c r="BZ361" s="2" t="s">
        <v>27</v>
      </c>
      <c r="CA361" s="2"/>
      <c r="CB361" s="2"/>
      <c r="CC361" s="2" t="s">
        <v>504</v>
      </c>
      <c r="CD361" s="2">
        <v>7349</v>
      </c>
      <c r="CE361" s="2" t="s">
        <v>86</v>
      </c>
      <c r="CF361" s="5">
        <v>42650</v>
      </c>
      <c r="CG361" s="2"/>
      <c r="CH361" s="2"/>
      <c r="CI361" s="2">
        <v>1</v>
      </c>
      <c r="CJ361" s="2">
        <v>1</v>
      </c>
      <c r="CK361" s="2">
        <v>23</v>
      </c>
      <c r="CL361" s="2" t="s">
        <v>88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"FES1162504638"</f>
        <v>FES1162504638</v>
      </c>
      <c r="F362" s="3">
        <v>42648</v>
      </c>
      <c r="G362" s="2">
        <v>201704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153</v>
      </c>
      <c r="M362" s="2" t="s">
        <v>153</v>
      </c>
      <c r="N362" s="2" t="s">
        <v>200</v>
      </c>
      <c r="O362" s="2" t="s">
        <v>96</v>
      </c>
      <c r="P362" s="2" t="str">
        <f>"2170525592                    "</f>
        <v xml:space="preserve">2170525592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3.32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2</v>
      </c>
      <c r="BJ362" s="2">
        <v>1.1000000000000001</v>
      </c>
      <c r="BK362" s="2">
        <v>2</v>
      </c>
      <c r="BL362" s="2">
        <v>40.76</v>
      </c>
      <c r="BM362" s="2">
        <v>5.71</v>
      </c>
      <c r="BN362" s="2">
        <v>46.47</v>
      </c>
      <c r="BO362" s="2">
        <v>46.47</v>
      </c>
      <c r="BP362" s="2"/>
      <c r="BQ362" s="2" t="s">
        <v>201</v>
      </c>
      <c r="BR362" s="2" t="s">
        <v>83</v>
      </c>
      <c r="BS362" s="3">
        <v>42649</v>
      </c>
      <c r="BT362" s="4">
        <v>0.5</v>
      </c>
      <c r="BU362" s="2" t="s">
        <v>448</v>
      </c>
      <c r="BV362" s="2" t="s">
        <v>85</v>
      </c>
      <c r="BW362" s="2"/>
      <c r="BX362" s="2"/>
      <c r="BY362" s="2">
        <v>5320</v>
      </c>
      <c r="BZ362" s="2" t="s">
        <v>27</v>
      </c>
      <c r="CA362" s="2"/>
      <c r="CB362" s="2"/>
      <c r="CC362" s="2" t="s">
        <v>153</v>
      </c>
      <c r="CD362" s="2">
        <v>7646</v>
      </c>
      <c r="CE362" s="2" t="s">
        <v>86</v>
      </c>
      <c r="CF362" s="5">
        <v>42650</v>
      </c>
      <c r="CG362" s="2"/>
      <c r="CH362" s="2"/>
      <c r="CI362" s="2">
        <v>1</v>
      </c>
      <c r="CJ362" s="2">
        <v>1</v>
      </c>
      <c r="CK362" s="2">
        <v>21</v>
      </c>
      <c r="CL362" s="2" t="s">
        <v>88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"FES1162504837"</f>
        <v>FES1162504837</v>
      </c>
      <c r="F363" s="3">
        <v>42648</v>
      </c>
      <c r="G363" s="2">
        <v>201704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160</v>
      </c>
      <c r="M363" s="2" t="s">
        <v>161</v>
      </c>
      <c r="N363" s="2" t="s">
        <v>734</v>
      </c>
      <c r="O363" s="2" t="s">
        <v>96</v>
      </c>
      <c r="P363" s="2" t="str">
        <f>"2170528512                    "</f>
        <v xml:space="preserve">2170528512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9.9499999999999993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5</v>
      </c>
      <c r="BJ363" s="2">
        <v>5.8</v>
      </c>
      <c r="BK363" s="2">
        <v>6</v>
      </c>
      <c r="BL363" s="2">
        <v>122.27</v>
      </c>
      <c r="BM363" s="2">
        <v>17.12</v>
      </c>
      <c r="BN363" s="2">
        <v>139.38999999999999</v>
      </c>
      <c r="BO363" s="2">
        <v>139.38999999999999</v>
      </c>
      <c r="BP363" s="2"/>
      <c r="BQ363" s="2" t="s">
        <v>91</v>
      </c>
      <c r="BR363" s="2" t="s">
        <v>83</v>
      </c>
      <c r="BS363" s="3">
        <v>42649</v>
      </c>
      <c r="BT363" s="4">
        <v>0.41666666666666669</v>
      </c>
      <c r="BU363" s="2" t="s">
        <v>746</v>
      </c>
      <c r="BV363" s="2" t="s">
        <v>85</v>
      </c>
      <c r="BW363" s="2"/>
      <c r="BX363" s="2"/>
      <c r="BY363" s="2">
        <v>28807.46</v>
      </c>
      <c r="BZ363" s="2" t="s">
        <v>27</v>
      </c>
      <c r="CA363" s="2"/>
      <c r="CB363" s="2"/>
      <c r="CC363" s="2" t="s">
        <v>161</v>
      </c>
      <c r="CD363" s="2">
        <v>7405</v>
      </c>
      <c r="CE363" s="2" t="s">
        <v>86</v>
      </c>
      <c r="CF363" s="5">
        <v>42650</v>
      </c>
      <c r="CG363" s="2"/>
      <c r="CH363" s="2"/>
      <c r="CI363" s="2">
        <v>1</v>
      </c>
      <c r="CJ363" s="2">
        <v>1</v>
      </c>
      <c r="CK363" s="2">
        <v>21</v>
      </c>
      <c r="CL363" s="2" t="s">
        <v>88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"FES1162504861"</f>
        <v>FES1162504861</v>
      </c>
      <c r="F364" s="3">
        <v>42648</v>
      </c>
      <c r="G364" s="2">
        <v>201704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160</v>
      </c>
      <c r="M364" s="2" t="s">
        <v>161</v>
      </c>
      <c r="N364" s="2" t="s">
        <v>179</v>
      </c>
      <c r="O364" s="2" t="s">
        <v>96</v>
      </c>
      <c r="P364" s="2" t="str">
        <f>"2170525358                    "</f>
        <v xml:space="preserve">2170525358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11.61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7</v>
      </c>
      <c r="BJ364" s="2">
        <v>3.7</v>
      </c>
      <c r="BK364" s="2">
        <v>7</v>
      </c>
      <c r="BL364" s="2">
        <v>142.65</v>
      </c>
      <c r="BM364" s="2">
        <v>19.97</v>
      </c>
      <c r="BN364" s="2">
        <v>162.62</v>
      </c>
      <c r="BO364" s="2">
        <v>162.62</v>
      </c>
      <c r="BP364" s="2"/>
      <c r="BQ364" s="2" t="s">
        <v>180</v>
      </c>
      <c r="BR364" s="2" t="s">
        <v>83</v>
      </c>
      <c r="BS364" s="3">
        <v>42649</v>
      </c>
      <c r="BT364" s="4">
        <v>0.41666666666666669</v>
      </c>
      <c r="BU364" s="2" t="s">
        <v>747</v>
      </c>
      <c r="BV364" s="2" t="s">
        <v>85</v>
      </c>
      <c r="BW364" s="2"/>
      <c r="BX364" s="2"/>
      <c r="BY364" s="2">
        <v>18408</v>
      </c>
      <c r="BZ364" s="2" t="s">
        <v>27</v>
      </c>
      <c r="CA364" s="2" t="s">
        <v>129</v>
      </c>
      <c r="CB364" s="2"/>
      <c r="CC364" s="2" t="s">
        <v>161</v>
      </c>
      <c r="CD364" s="2">
        <v>7405</v>
      </c>
      <c r="CE364" s="2" t="s">
        <v>86</v>
      </c>
      <c r="CF364" s="5">
        <v>42650</v>
      </c>
      <c r="CG364" s="2"/>
      <c r="CH364" s="2"/>
      <c r="CI364" s="2">
        <v>1</v>
      </c>
      <c r="CJ364" s="2">
        <v>1</v>
      </c>
      <c r="CK364" s="2">
        <v>21</v>
      </c>
      <c r="CL364" s="2" t="s">
        <v>88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"FES1162504885"</f>
        <v>FES1162504885</v>
      </c>
      <c r="F365" s="3">
        <v>42648</v>
      </c>
      <c r="G365" s="2">
        <v>201704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160</v>
      </c>
      <c r="M365" s="2" t="s">
        <v>161</v>
      </c>
      <c r="N365" s="2" t="s">
        <v>176</v>
      </c>
      <c r="O365" s="2" t="s">
        <v>96</v>
      </c>
      <c r="P365" s="2" t="str">
        <f>"2170528560                    "</f>
        <v xml:space="preserve">2170528560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3.32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1</v>
      </c>
      <c r="BJ365" s="2">
        <v>0.2</v>
      </c>
      <c r="BK365" s="2">
        <v>1</v>
      </c>
      <c r="BL365" s="2">
        <v>40.76</v>
      </c>
      <c r="BM365" s="2">
        <v>5.71</v>
      </c>
      <c r="BN365" s="2">
        <v>46.47</v>
      </c>
      <c r="BO365" s="2">
        <v>46.47</v>
      </c>
      <c r="BP365" s="2"/>
      <c r="BQ365" s="2" t="s">
        <v>258</v>
      </c>
      <c r="BR365" s="2" t="s">
        <v>83</v>
      </c>
      <c r="BS365" s="3">
        <v>42649</v>
      </c>
      <c r="BT365" s="4">
        <v>0.41666666666666669</v>
      </c>
      <c r="BU365" s="2" t="s">
        <v>725</v>
      </c>
      <c r="BV365" s="2" t="s">
        <v>85</v>
      </c>
      <c r="BW365" s="2"/>
      <c r="BX365" s="2"/>
      <c r="BY365" s="2">
        <v>1200</v>
      </c>
      <c r="BZ365" s="2" t="s">
        <v>27</v>
      </c>
      <c r="CA365" s="2" t="s">
        <v>129</v>
      </c>
      <c r="CB365" s="2"/>
      <c r="CC365" s="2" t="s">
        <v>161</v>
      </c>
      <c r="CD365" s="2">
        <v>7405</v>
      </c>
      <c r="CE365" s="2" t="s">
        <v>108</v>
      </c>
      <c r="CF365" s="5">
        <v>42650</v>
      </c>
      <c r="CG365" s="2"/>
      <c r="CH365" s="2"/>
      <c r="CI365" s="2">
        <v>1</v>
      </c>
      <c r="CJ365" s="2">
        <v>1</v>
      </c>
      <c r="CK365" s="2">
        <v>21</v>
      </c>
      <c r="CL365" s="2" t="s">
        <v>88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"FES1162504883"</f>
        <v>FES1162504883</v>
      </c>
      <c r="F366" s="3">
        <v>42648</v>
      </c>
      <c r="G366" s="2">
        <v>201704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160</v>
      </c>
      <c r="M366" s="2" t="s">
        <v>161</v>
      </c>
      <c r="N366" s="2" t="s">
        <v>748</v>
      </c>
      <c r="O366" s="2" t="s">
        <v>96</v>
      </c>
      <c r="P366" s="2" t="str">
        <f>"2170528553                    "</f>
        <v xml:space="preserve">2170528553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3.32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</v>
      </c>
      <c r="BJ366" s="2">
        <v>0.2</v>
      </c>
      <c r="BK366" s="2">
        <v>1</v>
      </c>
      <c r="BL366" s="2">
        <v>40.76</v>
      </c>
      <c r="BM366" s="2">
        <v>5.71</v>
      </c>
      <c r="BN366" s="2">
        <v>46.47</v>
      </c>
      <c r="BO366" s="2">
        <v>46.47</v>
      </c>
      <c r="BP366" s="2"/>
      <c r="BQ366" s="2" t="s">
        <v>117</v>
      </c>
      <c r="BR366" s="2" t="s">
        <v>83</v>
      </c>
      <c r="BS366" s="3">
        <v>42649</v>
      </c>
      <c r="BT366" s="4">
        <v>0.37152777777777773</v>
      </c>
      <c r="BU366" s="2" t="s">
        <v>749</v>
      </c>
      <c r="BV366" s="2" t="s">
        <v>85</v>
      </c>
      <c r="BW366" s="2"/>
      <c r="BX366" s="2"/>
      <c r="BY366" s="2">
        <v>1200</v>
      </c>
      <c r="BZ366" s="2" t="s">
        <v>27</v>
      </c>
      <c r="CA366" s="2" t="s">
        <v>129</v>
      </c>
      <c r="CB366" s="2"/>
      <c r="CC366" s="2" t="s">
        <v>161</v>
      </c>
      <c r="CD366" s="2">
        <v>7493</v>
      </c>
      <c r="CE366" s="2" t="s">
        <v>108</v>
      </c>
      <c r="CF366" s="5">
        <v>42649</v>
      </c>
      <c r="CG366" s="2"/>
      <c r="CH366" s="2"/>
      <c r="CI366" s="2">
        <v>1</v>
      </c>
      <c r="CJ366" s="2">
        <v>1</v>
      </c>
      <c r="CK366" s="2">
        <v>21</v>
      </c>
      <c r="CL366" s="2" t="s">
        <v>88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"FES1162504819"</f>
        <v>FES1162504819</v>
      </c>
      <c r="F367" s="3">
        <v>42648</v>
      </c>
      <c r="G367" s="2">
        <v>201704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160</v>
      </c>
      <c r="M367" s="2" t="s">
        <v>161</v>
      </c>
      <c r="N367" s="2" t="s">
        <v>750</v>
      </c>
      <c r="O367" s="2" t="s">
        <v>96</v>
      </c>
      <c r="P367" s="2" t="str">
        <f>"2170528482                    "</f>
        <v xml:space="preserve">2170528482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3.32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1</v>
      </c>
      <c r="BJ367" s="2">
        <v>0.9</v>
      </c>
      <c r="BK367" s="2">
        <v>1</v>
      </c>
      <c r="BL367" s="2">
        <v>40.76</v>
      </c>
      <c r="BM367" s="2">
        <v>5.71</v>
      </c>
      <c r="BN367" s="2">
        <v>46.47</v>
      </c>
      <c r="BO367" s="2">
        <v>46.47</v>
      </c>
      <c r="BP367" s="2"/>
      <c r="BQ367" s="2" t="s">
        <v>91</v>
      </c>
      <c r="BR367" s="2" t="s">
        <v>83</v>
      </c>
      <c r="BS367" s="3">
        <v>42649</v>
      </c>
      <c r="BT367" s="4">
        <v>0.43055555555555558</v>
      </c>
      <c r="BU367" s="2" t="s">
        <v>751</v>
      </c>
      <c r="BV367" s="2" t="s">
        <v>85</v>
      </c>
      <c r="BW367" s="2"/>
      <c r="BX367" s="2"/>
      <c r="BY367" s="2">
        <v>4702.08</v>
      </c>
      <c r="BZ367" s="2" t="s">
        <v>27</v>
      </c>
      <c r="CA367" s="2"/>
      <c r="CB367" s="2"/>
      <c r="CC367" s="2" t="s">
        <v>161</v>
      </c>
      <c r="CD367" s="2">
        <v>7405</v>
      </c>
      <c r="CE367" s="2" t="s">
        <v>108</v>
      </c>
      <c r="CF367" s="5">
        <v>42650</v>
      </c>
      <c r="CG367" s="2"/>
      <c r="CH367" s="2"/>
      <c r="CI367" s="2">
        <v>1</v>
      </c>
      <c r="CJ367" s="2">
        <v>1</v>
      </c>
      <c r="CK367" s="2">
        <v>21</v>
      </c>
      <c r="CL367" s="2" t="s">
        <v>88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"FES1162504858"</f>
        <v>FES1162504858</v>
      </c>
      <c r="F368" s="3">
        <v>42648</v>
      </c>
      <c r="G368" s="2">
        <v>201704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160</v>
      </c>
      <c r="M368" s="2" t="s">
        <v>161</v>
      </c>
      <c r="N368" s="2" t="s">
        <v>179</v>
      </c>
      <c r="O368" s="2" t="s">
        <v>96</v>
      </c>
      <c r="P368" s="2" t="str">
        <f>"2170528536                    "</f>
        <v xml:space="preserve">2170528536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3.32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2</v>
      </c>
      <c r="BJ368" s="2">
        <v>1.4</v>
      </c>
      <c r="BK368" s="2">
        <v>2</v>
      </c>
      <c r="BL368" s="2">
        <v>40.76</v>
      </c>
      <c r="BM368" s="2">
        <v>5.71</v>
      </c>
      <c r="BN368" s="2">
        <v>46.47</v>
      </c>
      <c r="BO368" s="2">
        <v>46.47</v>
      </c>
      <c r="BP368" s="2"/>
      <c r="BQ368" s="2" t="s">
        <v>180</v>
      </c>
      <c r="BR368" s="2" t="s">
        <v>83</v>
      </c>
      <c r="BS368" s="3">
        <v>42650</v>
      </c>
      <c r="BT368" s="4">
        <v>0.41666666666666669</v>
      </c>
      <c r="BU368" s="2" t="s">
        <v>181</v>
      </c>
      <c r="BV368" s="2" t="s">
        <v>88</v>
      </c>
      <c r="BW368" s="2" t="s">
        <v>222</v>
      </c>
      <c r="BX368" s="2" t="s">
        <v>356</v>
      </c>
      <c r="BY368" s="2">
        <v>6962.11</v>
      </c>
      <c r="BZ368" s="2" t="s">
        <v>27</v>
      </c>
      <c r="CA368" s="2"/>
      <c r="CB368" s="2"/>
      <c r="CC368" s="2" t="s">
        <v>161</v>
      </c>
      <c r="CD368" s="2">
        <v>7405</v>
      </c>
      <c r="CE368" s="2" t="s">
        <v>86</v>
      </c>
      <c r="CF368" s="5">
        <v>42653</v>
      </c>
      <c r="CG368" s="2"/>
      <c r="CH368" s="2"/>
      <c r="CI368" s="2">
        <v>1</v>
      </c>
      <c r="CJ368" s="2">
        <v>2</v>
      </c>
      <c r="CK368" s="2">
        <v>21</v>
      </c>
      <c r="CL368" s="2" t="s">
        <v>88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"FES1162504865"</f>
        <v>FES1162504865</v>
      </c>
      <c r="F369" s="3">
        <v>42648</v>
      </c>
      <c r="G369" s="2">
        <v>201704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153</v>
      </c>
      <c r="M369" s="2" t="s">
        <v>153</v>
      </c>
      <c r="N369" s="2" t="s">
        <v>501</v>
      </c>
      <c r="O369" s="2" t="s">
        <v>96</v>
      </c>
      <c r="P369" s="2" t="str">
        <f>"2170528164                    "</f>
        <v xml:space="preserve">2170528164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3.32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1</v>
      </c>
      <c r="BJ369" s="2">
        <v>0.7</v>
      </c>
      <c r="BK369" s="2">
        <v>1</v>
      </c>
      <c r="BL369" s="2">
        <v>40.76</v>
      </c>
      <c r="BM369" s="2">
        <v>5.71</v>
      </c>
      <c r="BN369" s="2">
        <v>46.47</v>
      </c>
      <c r="BO369" s="2">
        <v>46.47</v>
      </c>
      <c r="BP369" s="2"/>
      <c r="BQ369" s="2" t="s">
        <v>82</v>
      </c>
      <c r="BR369" s="2" t="s">
        <v>83</v>
      </c>
      <c r="BS369" s="3">
        <v>42649</v>
      </c>
      <c r="BT369" s="4">
        <v>0.47986111111111113</v>
      </c>
      <c r="BU369" s="2" t="s">
        <v>752</v>
      </c>
      <c r="BV369" s="2" t="s">
        <v>85</v>
      </c>
      <c r="BW369" s="2"/>
      <c r="BX369" s="2"/>
      <c r="BY369" s="2">
        <v>3572.57</v>
      </c>
      <c r="BZ369" s="2" t="s">
        <v>27</v>
      </c>
      <c r="CA369" s="2"/>
      <c r="CB369" s="2"/>
      <c r="CC369" s="2" t="s">
        <v>153</v>
      </c>
      <c r="CD369" s="2">
        <v>7620</v>
      </c>
      <c r="CE369" s="2" t="s">
        <v>108</v>
      </c>
      <c r="CF369" s="5">
        <v>42650</v>
      </c>
      <c r="CG369" s="2"/>
      <c r="CH369" s="2"/>
      <c r="CI369" s="2">
        <v>1</v>
      </c>
      <c r="CJ369" s="2">
        <v>1</v>
      </c>
      <c r="CK369" s="2">
        <v>21</v>
      </c>
      <c r="CL369" s="2" t="s">
        <v>88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"FES1162504873"</f>
        <v>FES1162504873</v>
      </c>
      <c r="F370" s="3">
        <v>42648</v>
      </c>
      <c r="G370" s="2">
        <v>201704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143</v>
      </c>
      <c r="M370" s="2" t="s">
        <v>144</v>
      </c>
      <c r="N370" s="2" t="s">
        <v>549</v>
      </c>
      <c r="O370" s="2" t="s">
        <v>96</v>
      </c>
      <c r="P370" s="2" t="str">
        <f>"2170528552                    "</f>
        <v xml:space="preserve">2170528552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3.32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1</v>
      </c>
      <c r="BJ370" s="2">
        <v>0.2</v>
      </c>
      <c r="BK370" s="2">
        <v>1</v>
      </c>
      <c r="BL370" s="2">
        <v>40.76</v>
      </c>
      <c r="BM370" s="2">
        <v>5.71</v>
      </c>
      <c r="BN370" s="2">
        <v>46.47</v>
      </c>
      <c r="BO370" s="2">
        <v>46.47</v>
      </c>
      <c r="BP370" s="2"/>
      <c r="BQ370" s="2" t="s">
        <v>168</v>
      </c>
      <c r="BR370" s="2" t="s">
        <v>83</v>
      </c>
      <c r="BS370" s="3">
        <v>42649</v>
      </c>
      <c r="BT370" s="4">
        <v>0.41666666666666669</v>
      </c>
      <c r="BU370" s="2" t="s">
        <v>753</v>
      </c>
      <c r="BV370" s="2" t="s">
        <v>85</v>
      </c>
      <c r="BW370" s="2"/>
      <c r="BX370" s="2"/>
      <c r="BY370" s="2">
        <v>1200</v>
      </c>
      <c r="BZ370" s="2" t="s">
        <v>27</v>
      </c>
      <c r="CA370" s="2" t="s">
        <v>129</v>
      </c>
      <c r="CB370" s="2"/>
      <c r="CC370" s="2" t="s">
        <v>144</v>
      </c>
      <c r="CD370" s="2">
        <v>5205</v>
      </c>
      <c r="CE370" s="2" t="s">
        <v>108</v>
      </c>
      <c r="CF370" s="5">
        <v>42653</v>
      </c>
      <c r="CG370" s="2"/>
      <c r="CH370" s="2"/>
      <c r="CI370" s="2">
        <v>1</v>
      </c>
      <c r="CJ370" s="2">
        <v>1</v>
      </c>
      <c r="CK370" s="2">
        <v>21</v>
      </c>
      <c r="CL370" s="2" t="s">
        <v>88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"FES1162504853"</f>
        <v>FES1162504853</v>
      </c>
      <c r="F371" s="3">
        <v>42648</v>
      </c>
      <c r="G371" s="2">
        <v>201704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160</v>
      </c>
      <c r="M371" s="2" t="s">
        <v>161</v>
      </c>
      <c r="N371" s="2" t="s">
        <v>622</v>
      </c>
      <c r="O371" s="2" t="s">
        <v>96</v>
      </c>
      <c r="P371" s="2" t="str">
        <f>"2170528531                    "</f>
        <v xml:space="preserve">2170528531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3.32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1.1000000000000001</v>
      </c>
      <c r="BJ371" s="2">
        <v>1.7</v>
      </c>
      <c r="BK371" s="2">
        <v>2</v>
      </c>
      <c r="BL371" s="2">
        <v>40.76</v>
      </c>
      <c r="BM371" s="2">
        <v>5.71</v>
      </c>
      <c r="BN371" s="2">
        <v>46.47</v>
      </c>
      <c r="BO371" s="2">
        <v>46.47</v>
      </c>
      <c r="BP371" s="2"/>
      <c r="BQ371" s="2" t="s">
        <v>623</v>
      </c>
      <c r="BR371" s="2" t="s">
        <v>83</v>
      </c>
      <c r="BS371" s="3">
        <v>42649</v>
      </c>
      <c r="BT371" s="4">
        <v>0.44444444444444442</v>
      </c>
      <c r="BU371" s="2" t="s">
        <v>624</v>
      </c>
      <c r="BV371" s="2" t="s">
        <v>85</v>
      </c>
      <c r="BW371" s="2"/>
      <c r="BX371" s="2"/>
      <c r="BY371" s="2">
        <v>8359.9599999999991</v>
      </c>
      <c r="BZ371" s="2" t="s">
        <v>27</v>
      </c>
      <c r="CA371" s="2"/>
      <c r="CB371" s="2"/>
      <c r="CC371" s="2" t="s">
        <v>161</v>
      </c>
      <c r="CD371" s="2">
        <v>7490</v>
      </c>
      <c r="CE371" s="2" t="s">
        <v>108</v>
      </c>
      <c r="CF371" s="5">
        <v>42650</v>
      </c>
      <c r="CG371" s="2"/>
      <c r="CH371" s="2"/>
      <c r="CI371" s="2">
        <v>1</v>
      </c>
      <c r="CJ371" s="2">
        <v>1</v>
      </c>
      <c r="CK371" s="2">
        <v>21</v>
      </c>
      <c r="CL371" s="2" t="s">
        <v>88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"FES1162504765"</f>
        <v>FES1162504765</v>
      </c>
      <c r="F372" s="3">
        <v>42648</v>
      </c>
      <c r="G372" s="2">
        <v>201704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160</v>
      </c>
      <c r="M372" s="2" t="s">
        <v>161</v>
      </c>
      <c r="N372" s="2" t="s">
        <v>754</v>
      </c>
      <c r="O372" s="2" t="s">
        <v>96</v>
      </c>
      <c r="P372" s="2" t="str">
        <f>"2170527568                    "</f>
        <v xml:space="preserve">2170527568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5.81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</v>
      </c>
      <c r="BJ372" s="2">
        <v>3.4</v>
      </c>
      <c r="BK372" s="2">
        <v>3.5</v>
      </c>
      <c r="BL372" s="2">
        <v>71.33</v>
      </c>
      <c r="BM372" s="2">
        <v>9.99</v>
      </c>
      <c r="BN372" s="2">
        <v>81.319999999999993</v>
      </c>
      <c r="BO372" s="2">
        <v>81.319999999999993</v>
      </c>
      <c r="BP372" s="2"/>
      <c r="BQ372" s="2" t="s">
        <v>755</v>
      </c>
      <c r="BR372" s="2" t="s">
        <v>83</v>
      </c>
      <c r="BS372" s="3">
        <v>42649</v>
      </c>
      <c r="BT372" s="4">
        <v>0.38263888888888892</v>
      </c>
      <c r="BU372" s="2" t="s">
        <v>756</v>
      </c>
      <c r="BV372" s="2" t="s">
        <v>85</v>
      </c>
      <c r="BW372" s="2"/>
      <c r="BX372" s="2"/>
      <c r="BY372" s="2">
        <v>16929.97</v>
      </c>
      <c r="BZ372" s="2" t="s">
        <v>27</v>
      </c>
      <c r="CA372" s="2"/>
      <c r="CB372" s="2"/>
      <c r="CC372" s="2" t="s">
        <v>161</v>
      </c>
      <c r="CD372" s="2">
        <v>7441</v>
      </c>
      <c r="CE372" s="2" t="s">
        <v>108</v>
      </c>
      <c r="CF372" s="5">
        <v>42650</v>
      </c>
      <c r="CG372" s="2"/>
      <c r="CH372" s="2"/>
      <c r="CI372" s="2">
        <v>1</v>
      </c>
      <c r="CJ372" s="2">
        <v>1</v>
      </c>
      <c r="CK372" s="2">
        <v>21</v>
      </c>
      <c r="CL372" s="2" t="s">
        <v>88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"FES1162504770"</f>
        <v>FES1162504770</v>
      </c>
      <c r="F373" s="3">
        <v>42648</v>
      </c>
      <c r="G373" s="2">
        <v>201704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153</v>
      </c>
      <c r="M373" s="2" t="s">
        <v>153</v>
      </c>
      <c r="N373" s="2" t="s">
        <v>757</v>
      </c>
      <c r="O373" s="2" t="s">
        <v>96</v>
      </c>
      <c r="P373" s="2" t="str">
        <f>"2170528212                    "</f>
        <v xml:space="preserve">2170528212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3.32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40.76</v>
      </c>
      <c r="BM373" s="2">
        <v>5.71</v>
      </c>
      <c r="BN373" s="2">
        <v>46.47</v>
      </c>
      <c r="BO373" s="2">
        <v>46.47</v>
      </c>
      <c r="BP373" s="2"/>
      <c r="BQ373" s="2" t="s">
        <v>91</v>
      </c>
      <c r="BR373" s="2" t="s">
        <v>83</v>
      </c>
      <c r="BS373" s="3">
        <v>42649</v>
      </c>
      <c r="BT373" s="4">
        <v>0.49236111111111108</v>
      </c>
      <c r="BU373" s="2" t="s">
        <v>758</v>
      </c>
      <c r="BV373" s="2" t="s">
        <v>85</v>
      </c>
      <c r="BW373" s="2"/>
      <c r="BX373" s="2"/>
      <c r="BY373" s="2">
        <v>1200</v>
      </c>
      <c r="BZ373" s="2" t="s">
        <v>27</v>
      </c>
      <c r="CA373" s="2"/>
      <c r="CB373" s="2"/>
      <c r="CC373" s="2" t="s">
        <v>153</v>
      </c>
      <c r="CD373" s="2">
        <v>7646</v>
      </c>
      <c r="CE373" s="2" t="s">
        <v>108</v>
      </c>
      <c r="CF373" s="5">
        <v>42650</v>
      </c>
      <c r="CG373" s="2"/>
      <c r="CH373" s="2"/>
      <c r="CI373" s="2">
        <v>1</v>
      </c>
      <c r="CJ373" s="2">
        <v>1</v>
      </c>
      <c r="CK373" s="2">
        <v>21</v>
      </c>
      <c r="CL373" s="2" t="s">
        <v>88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"FES1162504522"</f>
        <v>FES1162504522</v>
      </c>
      <c r="F374" s="3">
        <v>42648</v>
      </c>
      <c r="G374" s="2">
        <v>201704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160</v>
      </c>
      <c r="M374" s="2" t="s">
        <v>161</v>
      </c>
      <c r="N374" s="2" t="s">
        <v>759</v>
      </c>
      <c r="O374" s="2" t="s">
        <v>96</v>
      </c>
      <c r="P374" s="2" t="str">
        <f>"2170528057                    "</f>
        <v xml:space="preserve">2170528057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3.32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1</v>
      </c>
      <c r="BJ374" s="2">
        <v>0.2</v>
      </c>
      <c r="BK374" s="2">
        <v>1</v>
      </c>
      <c r="BL374" s="2">
        <v>40.76</v>
      </c>
      <c r="BM374" s="2">
        <v>5.71</v>
      </c>
      <c r="BN374" s="2">
        <v>46.47</v>
      </c>
      <c r="BO374" s="2">
        <v>46.47</v>
      </c>
      <c r="BP374" s="2"/>
      <c r="BQ374" s="2" t="s">
        <v>760</v>
      </c>
      <c r="BR374" s="2" t="s">
        <v>83</v>
      </c>
      <c r="BS374" s="3">
        <v>42649</v>
      </c>
      <c r="BT374" s="4">
        <v>0.41666666666666669</v>
      </c>
      <c r="BU374" s="2" t="s">
        <v>761</v>
      </c>
      <c r="BV374" s="2" t="s">
        <v>85</v>
      </c>
      <c r="BW374" s="2"/>
      <c r="BX374" s="2"/>
      <c r="BY374" s="2">
        <v>1200</v>
      </c>
      <c r="BZ374" s="2" t="s">
        <v>27</v>
      </c>
      <c r="CA374" s="2" t="s">
        <v>129</v>
      </c>
      <c r="CB374" s="2"/>
      <c r="CC374" s="2" t="s">
        <v>161</v>
      </c>
      <c r="CD374" s="2">
        <v>7925</v>
      </c>
      <c r="CE374" s="2" t="s">
        <v>108</v>
      </c>
      <c r="CF374" s="5">
        <v>42650</v>
      </c>
      <c r="CG374" s="2"/>
      <c r="CH374" s="2"/>
      <c r="CI374" s="2">
        <v>1</v>
      </c>
      <c r="CJ374" s="2">
        <v>1</v>
      </c>
      <c r="CK374" s="2">
        <v>21</v>
      </c>
      <c r="CL374" s="2" t="s">
        <v>88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"FES1162504879"</f>
        <v>FES1162504879</v>
      </c>
      <c r="F375" s="3">
        <v>42648</v>
      </c>
      <c r="G375" s="2">
        <v>201704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143</v>
      </c>
      <c r="M375" s="2" t="s">
        <v>144</v>
      </c>
      <c r="N375" s="2" t="s">
        <v>216</v>
      </c>
      <c r="O375" s="2" t="s">
        <v>96</v>
      </c>
      <c r="P375" s="2" t="str">
        <f>"2170528476                    "</f>
        <v xml:space="preserve">2170528476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3.32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1</v>
      </c>
      <c r="BJ375" s="2">
        <v>0.2</v>
      </c>
      <c r="BK375" s="2">
        <v>1</v>
      </c>
      <c r="BL375" s="2">
        <v>40.76</v>
      </c>
      <c r="BM375" s="2">
        <v>5.71</v>
      </c>
      <c r="BN375" s="2">
        <v>46.47</v>
      </c>
      <c r="BO375" s="2">
        <v>46.47</v>
      </c>
      <c r="BP375" s="2"/>
      <c r="BQ375" s="2" t="s">
        <v>91</v>
      </c>
      <c r="BR375" s="2" t="s">
        <v>83</v>
      </c>
      <c r="BS375" s="3">
        <v>42649</v>
      </c>
      <c r="BT375" s="4">
        <v>0.41666666666666669</v>
      </c>
      <c r="BU375" s="2" t="s">
        <v>572</v>
      </c>
      <c r="BV375" s="2" t="s">
        <v>85</v>
      </c>
      <c r="BW375" s="2"/>
      <c r="BX375" s="2"/>
      <c r="BY375" s="2">
        <v>1200</v>
      </c>
      <c r="BZ375" s="2" t="s">
        <v>27</v>
      </c>
      <c r="CA375" s="2"/>
      <c r="CB375" s="2"/>
      <c r="CC375" s="2" t="s">
        <v>144</v>
      </c>
      <c r="CD375" s="2">
        <v>5201</v>
      </c>
      <c r="CE375" s="2" t="s">
        <v>108</v>
      </c>
      <c r="CF375" s="5">
        <v>42653</v>
      </c>
      <c r="CG375" s="2"/>
      <c r="CH375" s="2"/>
      <c r="CI375" s="2">
        <v>1</v>
      </c>
      <c r="CJ375" s="2">
        <v>1</v>
      </c>
      <c r="CK375" s="2">
        <v>21</v>
      </c>
      <c r="CL375" s="2" t="s">
        <v>88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"FES1162504847"</f>
        <v>FES1162504847</v>
      </c>
      <c r="F376" s="3">
        <v>42648</v>
      </c>
      <c r="G376" s="2">
        <v>201704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148</v>
      </c>
      <c r="M376" s="2" t="s">
        <v>149</v>
      </c>
      <c r="N376" s="2" t="s">
        <v>762</v>
      </c>
      <c r="O376" s="2" t="s">
        <v>96</v>
      </c>
      <c r="P376" s="2" t="str">
        <f>"2170528517                    "</f>
        <v xml:space="preserve">2170528517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3.32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1</v>
      </c>
      <c r="BJ376" s="2">
        <v>0.2</v>
      </c>
      <c r="BK376" s="2">
        <v>1</v>
      </c>
      <c r="BL376" s="2">
        <v>40.76</v>
      </c>
      <c r="BM376" s="2">
        <v>5.71</v>
      </c>
      <c r="BN376" s="2">
        <v>46.47</v>
      </c>
      <c r="BO376" s="2">
        <v>46.47</v>
      </c>
      <c r="BP376" s="2"/>
      <c r="BQ376" s="2" t="s">
        <v>91</v>
      </c>
      <c r="BR376" s="2" t="s">
        <v>83</v>
      </c>
      <c r="BS376" s="3">
        <v>42649</v>
      </c>
      <c r="BT376" s="4">
        <v>0.4375</v>
      </c>
      <c r="BU376" s="2" t="s">
        <v>763</v>
      </c>
      <c r="BV376" s="2" t="s">
        <v>85</v>
      </c>
      <c r="BW376" s="2"/>
      <c r="BX376" s="2"/>
      <c r="BY376" s="2">
        <v>1200</v>
      </c>
      <c r="BZ376" s="2" t="s">
        <v>27</v>
      </c>
      <c r="CA376" s="2"/>
      <c r="CB376" s="2"/>
      <c r="CC376" s="2" t="s">
        <v>149</v>
      </c>
      <c r="CD376" s="2">
        <v>4068</v>
      </c>
      <c r="CE376" s="2" t="s">
        <v>108</v>
      </c>
      <c r="CF376" s="5">
        <v>42650</v>
      </c>
      <c r="CG376" s="2"/>
      <c r="CH376" s="2"/>
      <c r="CI376" s="2">
        <v>1</v>
      </c>
      <c r="CJ376" s="2">
        <v>1</v>
      </c>
      <c r="CK376" s="2">
        <v>21</v>
      </c>
      <c r="CL376" s="2" t="s">
        <v>88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"FES1162504851"</f>
        <v>FES1162504851</v>
      </c>
      <c r="F377" s="3">
        <v>42648</v>
      </c>
      <c r="G377" s="2">
        <v>201704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207</v>
      </c>
      <c r="M377" s="2" t="s">
        <v>208</v>
      </c>
      <c r="N377" s="2" t="s">
        <v>764</v>
      </c>
      <c r="O377" s="2" t="s">
        <v>96</v>
      </c>
      <c r="P377" s="2" t="str">
        <f>"2170528523                    "</f>
        <v xml:space="preserve">2170528523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8.2899999999999991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5</v>
      </c>
      <c r="BJ377" s="2">
        <v>4.0999999999999996</v>
      </c>
      <c r="BK377" s="2">
        <v>5</v>
      </c>
      <c r="BL377" s="2">
        <v>101.89</v>
      </c>
      <c r="BM377" s="2">
        <v>14.26</v>
      </c>
      <c r="BN377" s="2">
        <v>116.15</v>
      </c>
      <c r="BO377" s="2">
        <v>116.15</v>
      </c>
      <c r="BP377" s="2"/>
      <c r="BQ377" s="2" t="s">
        <v>765</v>
      </c>
      <c r="BR377" s="2" t="s">
        <v>83</v>
      </c>
      <c r="BS377" s="3">
        <v>42649</v>
      </c>
      <c r="BT377" s="4">
        <v>0.4375</v>
      </c>
      <c r="BU377" s="2" t="s">
        <v>766</v>
      </c>
      <c r="BV377" s="2" t="s">
        <v>85</v>
      </c>
      <c r="BW377" s="2"/>
      <c r="BX377" s="2"/>
      <c r="BY377" s="2">
        <v>20358</v>
      </c>
      <c r="BZ377" s="2" t="s">
        <v>27</v>
      </c>
      <c r="CA377" s="2"/>
      <c r="CB377" s="2"/>
      <c r="CC377" s="2" t="s">
        <v>208</v>
      </c>
      <c r="CD377" s="2">
        <v>4133</v>
      </c>
      <c r="CE377" s="2" t="s">
        <v>86</v>
      </c>
      <c r="CF377" s="5">
        <v>42650</v>
      </c>
      <c r="CG377" s="2"/>
      <c r="CH377" s="2"/>
      <c r="CI377" s="2">
        <v>1</v>
      </c>
      <c r="CJ377" s="2">
        <v>1</v>
      </c>
      <c r="CK377" s="2">
        <v>21</v>
      </c>
      <c r="CL377" s="2" t="s">
        <v>88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"FES1162504624"</f>
        <v>FES1162504624</v>
      </c>
      <c r="F378" s="3">
        <v>42648</v>
      </c>
      <c r="G378" s="2">
        <v>201704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153</v>
      </c>
      <c r="M378" s="2" t="s">
        <v>153</v>
      </c>
      <c r="N378" s="2" t="s">
        <v>501</v>
      </c>
      <c r="O378" s="2" t="s">
        <v>96</v>
      </c>
      <c r="P378" s="2" t="str">
        <f>"2170528164                    "</f>
        <v xml:space="preserve">2170528164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14.93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8</v>
      </c>
      <c r="BJ378" s="2">
        <v>8.8000000000000007</v>
      </c>
      <c r="BK378" s="2">
        <v>9</v>
      </c>
      <c r="BL378" s="2">
        <v>183.41</v>
      </c>
      <c r="BM378" s="2">
        <v>25.68</v>
      </c>
      <c r="BN378" s="2">
        <v>209.09</v>
      </c>
      <c r="BO378" s="2">
        <v>209.09</v>
      </c>
      <c r="BP378" s="2"/>
      <c r="BQ378" s="2" t="s">
        <v>82</v>
      </c>
      <c r="BR378" s="2" t="s">
        <v>83</v>
      </c>
      <c r="BS378" s="3">
        <v>42649</v>
      </c>
      <c r="BT378" s="4">
        <v>0.48055555555555557</v>
      </c>
      <c r="BU378" s="2" t="s">
        <v>752</v>
      </c>
      <c r="BV378" s="2" t="s">
        <v>85</v>
      </c>
      <c r="BW378" s="2"/>
      <c r="BX378" s="2"/>
      <c r="BY378" s="2">
        <v>43991.81</v>
      </c>
      <c r="BZ378" s="2" t="s">
        <v>27</v>
      </c>
      <c r="CA378" s="2"/>
      <c r="CB378" s="2"/>
      <c r="CC378" s="2" t="s">
        <v>153</v>
      </c>
      <c r="CD378" s="2">
        <v>7620</v>
      </c>
      <c r="CE378" s="2" t="s">
        <v>86</v>
      </c>
      <c r="CF378" s="5">
        <v>42650</v>
      </c>
      <c r="CG378" s="2"/>
      <c r="CH378" s="2"/>
      <c r="CI378" s="2">
        <v>1</v>
      </c>
      <c r="CJ378" s="2">
        <v>1</v>
      </c>
      <c r="CK378" s="2">
        <v>21</v>
      </c>
      <c r="CL378" s="2" t="s">
        <v>88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"FES1162504860"</f>
        <v>FES1162504860</v>
      </c>
      <c r="F379" s="3">
        <v>42648</v>
      </c>
      <c r="G379" s="2">
        <v>201704</v>
      </c>
      <c r="H379" s="2" t="s">
        <v>74</v>
      </c>
      <c r="I379" s="2" t="s">
        <v>75</v>
      </c>
      <c r="J379" s="2" t="s">
        <v>76</v>
      </c>
      <c r="K379" s="2" t="s">
        <v>77</v>
      </c>
      <c r="L379" s="2" t="s">
        <v>160</v>
      </c>
      <c r="M379" s="2" t="s">
        <v>161</v>
      </c>
      <c r="N379" s="2" t="s">
        <v>452</v>
      </c>
      <c r="O379" s="2" t="s">
        <v>96</v>
      </c>
      <c r="P379" s="2" t="str">
        <f>"2170522750                    "</f>
        <v xml:space="preserve">2170522750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11.61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7</v>
      </c>
      <c r="BJ379" s="2">
        <v>1.5</v>
      </c>
      <c r="BK379" s="2">
        <v>7</v>
      </c>
      <c r="BL379" s="2">
        <v>142.65</v>
      </c>
      <c r="BM379" s="2">
        <v>19.97</v>
      </c>
      <c r="BN379" s="2">
        <v>162.62</v>
      </c>
      <c r="BO379" s="2">
        <v>162.62</v>
      </c>
      <c r="BP379" s="2"/>
      <c r="BQ379" s="2" t="s">
        <v>453</v>
      </c>
      <c r="BR379" s="2" t="s">
        <v>83</v>
      </c>
      <c r="BS379" s="3">
        <v>42649</v>
      </c>
      <c r="BT379" s="4">
        <v>0.4201388888888889</v>
      </c>
      <c r="BU379" s="2" t="s">
        <v>767</v>
      </c>
      <c r="BV379" s="2" t="s">
        <v>85</v>
      </c>
      <c r="BW379" s="2"/>
      <c r="BX379" s="2"/>
      <c r="BY379" s="2">
        <v>7540</v>
      </c>
      <c r="BZ379" s="2" t="s">
        <v>27</v>
      </c>
      <c r="CA379" s="2" t="s">
        <v>129</v>
      </c>
      <c r="CB379" s="2"/>
      <c r="CC379" s="2" t="s">
        <v>161</v>
      </c>
      <c r="CD379" s="2">
        <v>7530</v>
      </c>
      <c r="CE379" s="2" t="s">
        <v>86</v>
      </c>
      <c r="CF379" s="5">
        <v>42650</v>
      </c>
      <c r="CG379" s="2"/>
      <c r="CH379" s="2"/>
      <c r="CI379" s="2">
        <v>1</v>
      </c>
      <c r="CJ379" s="2">
        <v>1</v>
      </c>
      <c r="CK379" s="2">
        <v>21</v>
      </c>
      <c r="CL379" s="2" t="s">
        <v>88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"FES1162504852"</f>
        <v>FES1162504852</v>
      </c>
      <c r="F380" s="3">
        <v>42648</v>
      </c>
      <c r="G380" s="2">
        <v>201704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137</v>
      </c>
      <c r="M380" s="2" t="s">
        <v>138</v>
      </c>
      <c r="N380" s="2" t="s">
        <v>203</v>
      </c>
      <c r="O380" s="2" t="s">
        <v>96</v>
      </c>
      <c r="P380" s="2" t="str">
        <f>"2170528525                    "</f>
        <v xml:space="preserve">2170528525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20.73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12.1</v>
      </c>
      <c r="BJ380" s="2">
        <v>9.4</v>
      </c>
      <c r="BK380" s="2">
        <v>12.5</v>
      </c>
      <c r="BL380" s="2">
        <v>254.73</v>
      </c>
      <c r="BM380" s="2">
        <v>35.659999999999997</v>
      </c>
      <c r="BN380" s="2">
        <v>290.39</v>
      </c>
      <c r="BO380" s="2">
        <v>290.39</v>
      </c>
      <c r="BP380" s="2"/>
      <c r="BQ380" s="2" t="s">
        <v>168</v>
      </c>
      <c r="BR380" s="2" t="s">
        <v>83</v>
      </c>
      <c r="BS380" s="3">
        <v>42649</v>
      </c>
      <c r="BT380" s="4">
        <v>0.39583333333333331</v>
      </c>
      <c r="BU380" s="2" t="s">
        <v>768</v>
      </c>
      <c r="BV380" s="2"/>
      <c r="BW380" s="2"/>
      <c r="BX380" s="2"/>
      <c r="BY380" s="2">
        <v>47011.17</v>
      </c>
      <c r="BZ380" s="2" t="s">
        <v>27</v>
      </c>
      <c r="CA380" s="2"/>
      <c r="CB380" s="2"/>
      <c r="CC380" s="2" t="s">
        <v>138</v>
      </c>
      <c r="CD380" s="2">
        <v>3201</v>
      </c>
      <c r="CE380" s="2" t="s">
        <v>86</v>
      </c>
      <c r="CF380" s="5">
        <v>42650</v>
      </c>
      <c r="CG380" s="2"/>
      <c r="CH380" s="2"/>
      <c r="CI380" s="2">
        <v>0</v>
      </c>
      <c r="CJ380" s="2">
        <v>0</v>
      </c>
      <c r="CK380" s="2">
        <v>21</v>
      </c>
      <c r="CL380" s="2" t="s">
        <v>88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"FES1162504859"</f>
        <v>FES1162504859</v>
      </c>
      <c r="F381" s="3">
        <v>42648</v>
      </c>
      <c r="G381" s="2">
        <v>201704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98</v>
      </c>
      <c r="M381" s="2" t="s">
        <v>99</v>
      </c>
      <c r="N381" s="2" t="s">
        <v>769</v>
      </c>
      <c r="O381" s="2" t="s">
        <v>96</v>
      </c>
      <c r="P381" s="2" t="str">
        <f>"2170528537                    "</f>
        <v xml:space="preserve">2170528537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5.81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3.3</v>
      </c>
      <c r="BJ381" s="2">
        <v>1.2</v>
      </c>
      <c r="BK381" s="2">
        <v>3.5</v>
      </c>
      <c r="BL381" s="2">
        <v>71.33</v>
      </c>
      <c r="BM381" s="2">
        <v>9.99</v>
      </c>
      <c r="BN381" s="2">
        <v>81.319999999999993</v>
      </c>
      <c r="BO381" s="2">
        <v>81.319999999999993</v>
      </c>
      <c r="BP381" s="2"/>
      <c r="BQ381" s="2" t="s">
        <v>770</v>
      </c>
      <c r="BR381" s="2" t="s">
        <v>83</v>
      </c>
      <c r="BS381" s="3">
        <v>42649</v>
      </c>
      <c r="BT381" s="4">
        <v>0.38194444444444442</v>
      </c>
      <c r="BU381" s="2" t="s">
        <v>771</v>
      </c>
      <c r="BV381" s="2"/>
      <c r="BW381" s="2"/>
      <c r="BX381" s="2"/>
      <c r="BY381" s="2">
        <v>5995</v>
      </c>
      <c r="BZ381" s="2" t="s">
        <v>27</v>
      </c>
      <c r="CA381" s="2"/>
      <c r="CB381" s="2"/>
      <c r="CC381" s="2" t="s">
        <v>99</v>
      </c>
      <c r="CD381" s="2">
        <v>6001</v>
      </c>
      <c r="CE381" s="2" t="s">
        <v>86</v>
      </c>
      <c r="CF381" s="5">
        <v>42650</v>
      </c>
      <c r="CG381" s="2"/>
      <c r="CH381" s="2"/>
      <c r="CI381" s="2">
        <v>0</v>
      </c>
      <c r="CJ381" s="2">
        <v>0</v>
      </c>
      <c r="CK381" s="2">
        <v>21</v>
      </c>
      <c r="CL381" s="2" t="s">
        <v>88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"FES1162504848"</f>
        <v>FES1162504848</v>
      </c>
      <c r="F382" s="3">
        <v>42648</v>
      </c>
      <c r="G382" s="2">
        <v>201704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98</v>
      </c>
      <c r="M382" s="2" t="s">
        <v>99</v>
      </c>
      <c r="N382" s="2" t="s">
        <v>246</v>
      </c>
      <c r="O382" s="2" t="s">
        <v>96</v>
      </c>
      <c r="P382" s="2" t="str">
        <f>"2170528524                    "</f>
        <v xml:space="preserve">2170528524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16.59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10</v>
      </c>
      <c r="BJ382" s="2">
        <v>9.1</v>
      </c>
      <c r="BK382" s="2">
        <v>10</v>
      </c>
      <c r="BL382" s="2">
        <v>203.79</v>
      </c>
      <c r="BM382" s="2">
        <v>28.53</v>
      </c>
      <c r="BN382" s="2">
        <v>232.32</v>
      </c>
      <c r="BO382" s="2">
        <v>232.32</v>
      </c>
      <c r="BP382" s="2"/>
      <c r="BQ382" s="2" t="s">
        <v>247</v>
      </c>
      <c r="BR382" s="2" t="s">
        <v>83</v>
      </c>
      <c r="BS382" s="3">
        <v>42649</v>
      </c>
      <c r="BT382" s="4">
        <v>0.4375</v>
      </c>
      <c r="BU382" s="2" t="s">
        <v>772</v>
      </c>
      <c r="BV382" s="2"/>
      <c r="BW382" s="2"/>
      <c r="BX382" s="2"/>
      <c r="BY382" s="2">
        <v>45632</v>
      </c>
      <c r="BZ382" s="2" t="s">
        <v>27</v>
      </c>
      <c r="CA382" s="2"/>
      <c r="CB382" s="2"/>
      <c r="CC382" s="2" t="s">
        <v>99</v>
      </c>
      <c r="CD382" s="2">
        <v>6001</v>
      </c>
      <c r="CE382" s="2" t="s">
        <v>86</v>
      </c>
      <c r="CF382" s="5">
        <v>42650</v>
      </c>
      <c r="CG382" s="2"/>
      <c r="CH382" s="2"/>
      <c r="CI382" s="2">
        <v>0</v>
      </c>
      <c r="CJ382" s="2">
        <v>0</v>
      </c>
      <c r="CK382" s="2">
        <v>21</v>
      </c>
      <c r="CL382" s="2" t="s">
        <v>88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"FES1162504803"</f>
        <v>FES1162504803</v>
      </c>
      <c r="F383" s="3">
        <v>42648</v>
      </c>
      <c r="G383" s="2">
        <v>201704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98</v>
      </c>
      <c r="M383" s="2" t="s">
        <v>99</v>
      </c>
      <c r="N383" s="2" t="s">
        <v>104</v>
      </c>
      <c r="O383" s="2" t="s">
        <v>96</v>
      </c>
      <c r="P383" s="2" t="str">
        <f>"2170528464                    "</f>
        <v xml:space="preserve">2170528464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3.32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2</v>
      </c>
      <c r="BJ383" s="2">
        <v>1.9</v>
      </c>
      <c r="BK383" s="2">
        <v>2</v>
      </c>
      <c r="BL383" s="2">
        <v>40.76</v>
      </c>
      <c r="BM383" s="2">
        <v>5.71</v>
      </c>
      <c r="BN383" s="2">
        <v>46.47</v>
      </c>
      <c r="BO383" s="2">
        <v>46.47</v>
      </c>
      <c r="BP383" s="2"/>
      <c r="BQ383" s="2" t="s">
        <v>105</v>
      </c>
      <c r="BR383" s="2" t="s">
        <v>83</v>
      </c>
      <c r="BS383" s="3">
        <v>42649</v>
      </c>
      <c r="BT383" s="4">
        <v>0.3833333333333333</v>
      </c>
      <c r="BU383" s="2" t="s">
        <v>105</v>
      </c>
      <c r="BV383" s="2" t="s">
        <v>85</v>
      </c>
      <c r="BW383" s="2"/>
      <c r="BX383" s="2"/>
      <c r="BY383" s="2">
        <v>9360</v>
      </c>
      <c r="BZ383" s="2" t="s">
        <v>27</v>
      </c>
      <c r="CA383" s="2"/>
      <c r="CB383" s="2"/>
      <c r="CC383" s="2" t="s">
        <v>99</v>
      </c>
      <c r="CD383" s="2">
        <v>6001</v>
      </c>
      <c r="CE383" s="2" t="s">
        <v>86</v>
      </c>
      <c r="CF383" s="5">
        <v>42650</v>
      </c>
      <c r="CG383" s="2"/>
      <c r="CH383" s="2"/>
      <c r="CI383" s="2">
        <v>1</v>
      </c>
      <c r="CJ383" s="2">
        <v>1</v>
      </c>
      <c r="CK383" s="2">
        <v>21</v>
      </c>
      <c r="CL383" s="2" t="s">
        <v>88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"FES1162504767"</f>
        <v>FES1162504767</v>
      </c>
      <c r="F384" s="3">
        <v>42648</v>
      </c>
      <c r="G384" s="2">
        <v>201704</v>
      </c>
      <c r="H384" s="2" t="s">
        <v>74</v>
      </c>
      <c r="I384" s="2" t="s">
        <v>75</v>
      </c>
      <c r="J384" s="2" t="s">
        <v>76</v>
      </c>
      <c r="K384" s="2" t="s">
        <v>77</v>
      </c>
      <c r="L384" s="2" t="s">
        <v>463</v>
      </c>
      <c r="M384" s="2" t="s">
        <v>464</v>
      </c>
      <c r="N384" s="2" t="s">
        <v>465</v>
      </c>
      <c r="O384" s="2" t="s">
        <v>96</v>
      </c>
      <c r="P384" s="2" t="str">
        <f>"2170528005                    "</f>
        <v xml:space="preserve">2170528005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4.1500000000000004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2.1</v>
      </c>
      <c r="BJ384" s="2">
        <v>1.8</v>
      </c>
      <c r="BK384" s="2">
        <v>2.5</v>
      </c>
      <c r="BL384" s="2">
        <v>50.95</v>
      </c>
      <c r="BM384" s="2">
        <v>7.13</v>
      </c>
      <c r="BN384" s="2">
        <v>58.08</v>
      </c>
      <c r="BO384" s="2">
        <v>58.08</v>
      </c>
      <c r="BP384" s="2"/>
      <c r="BQ384" s="2" t="s">
        <v>91</v>
      </c>
      <c r="BR384" s="2" t="s">
        <v>83</v>
      </c>
      <c r="BS384" s="3">
        <v>42649</v>
      </c>
      <c r="BT384" s="4">
        <v>0.41666666666666669</v>
      </c>
      <c r="BU384" s="2" t="s">
        <v>773</v>
      </c>
      <c r="BV384" s="2" t="s">
        <v>85</v>
      </c>
      <c r="BW384" s="2"/>
      <c r="BX384" s="2"/>
      <c r="BY384" s="2">
        <v>9249.56</v>
      </c>
      <c r="BZ384" s="2" t="s">
        <v>27</v>
      </c>
      <c r="CA384" s="2"/>
      <c r="CB384" s="2"/>
      <c r="CC384" s="2" t="s">
        <v>464</v>
      </c>
      <c r="CD384" s="2">
        <v>5256</v>
      </c>
      <c r="CE384" s="2" t="s">
        <v>86</v>
      </c>
      <c r="CF384" s="5">
        <v>42653</v>
      </c>
      <c r="CG384" s="2"/>
      <c r="CH384" s="2"/>
      <c r="CI384" s="2">
        <v>1</v>
      </c>
      <c r="CJ384" s="2">
        <v>1</v>
      </c>
      <c r="CK384" s="2">
        <v>21</v>
      </c>
      <c r="CL384" s="2" t="s">
        <v>88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"FES1162504768"</f>
        <v>FES1162504768</v>
      </c>
      <c r="F385" s="3">
        <v>42648</v>
      </c>
      <c r="G385" s="2">
        <v>201704</v>
      </c>
      <c r="H385" s="2" t="s">
        <v>74</v>
      </c>
      <c r="I385" s="2" t="s">
        <v>75</v>
      </c>
      <c r="J385" s="2" t="s">
        <v>76</v>
      </c>
      <c r="K385" s="2" t="s">
        <v>77</v>
      </c>
      <c r="L385" s="2" t="s">
        <v>160</v>
      </c>
      <c r="M385" s="2" t="s">
        <v>161</v>
      </c>
      <c r="N385" s="2" t="s">
        <v>774</v>
      </c>
      <c r="O385" s="2" t="s">
        <v>96</v>
      </c>
      <c r="P385" s="2" t="str">
        <f>"2170528097                    "</f>
        <v xml:space="preserve">2170528097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6.63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4</v>
      </c>
      <c r="BJ385" s="2">
        <v>2.2000000000000002</v>
      </c>
      <c r="BK385" s="2">
        <v>4</v>
      </c>
      <c r="BL385" s="2">
        <v>81.510000000000005</v>
      </c>
      <c r="BM385" s="2">
        <v>11.41</v>
      </c>
      <c r="BN385" s="2">
        <v>92.92</v>
      </c>
      <c r="BO385" s="2">
        <v>92.92</v>
      </c>
      <c r="BP385" s="2"/>
      <c r="BQ385" s="2" t="s">
        <v>91</v>
      </c>
      <c r="BR385" s="2" t="s">
        <v>83</v>
      </c>
      <c r="BS385" s="3">
        <v>42649</v>
      </c>
      <c r="BT385" s="4">
        <v>0.38194444444444442</v>
      </c>
      <c r="BU385" s="2" t="s">
        <v>775</v>
      </c>
      <c r="BV385" s="2"/>
      <c r="BW385" s="2"/>
      <c r="BX385" s="2"/>
      <c r="BY385" s="2">
        <v>10780</v>
      </c>
      <c r="BZ385" s="2" t="s">
        <v>27</v>
      </c>
      <c r="CA385" s="2"/>
      <c r="CB385" s="2"/>
      <c r="CC385" s="2" t="s">
        <v>161</v>
      </c>
      <c r="CD385" s="2">
        <v>8001</v>
      </c>
      <c r="CE385" s="2" t="s">
        <v>86</v>
      </c>
      <c r="CF385" s="5">
        <v>42650</v>
      </c>
      <c r="CG385" s="2"/>
      <c r="CH385" s="2"/>
      <c r="CI385" s="2">
        <v>0</v>
      </c>
      <c r="CJ385" s="2">
        <v>0</v>
      </c>
      <c r="CK385" s="2">
        <v>21</v>
      </c>
      <c r="CL385" s="2" t="s">
        <v>88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"FES1162504747"</f>
        <v>FES1162504747</v>
      </c>
      <c r="F386" s="3">
        <v>42648</v>
      </c>
      <c r="G386" s="2">
        <v>201704</v>
      </c>
      <c r="H386" s="2" t="s">
        <v>74</v>
      </c>
      <c r="I386" s="2" t="s">
        <v>75</v>
      </c>
      <c r="J386" s="2" t="s">
        <v>76</v>
      </c>
      <c r="K386" s="2" t="s">
        <v>77</v>
      </c>
      <c r="L386" s="2" t="s">
        <v>98</v>
      </c>
      <c r="M386" s="2" t="s">
        <v>99</v>
      </c>
      <c r="N386" s="2" t="s">
        <v>330</v>
      </c>
      <c r="O386" s="2" t="s">
        <v>96</v>
      </c>
      <c r="P386" s="2" t="str">
        <f>"2170528408                    "</f>
        <v xml:space="preserve">2170528408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14.93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9</v>
      </c>
      <c r="BJ386" s="2">
        <v>4.0999999999999996</v>
      </c>
      <c r="BK386" s="2">
        <v>9</v>
      </c>
      <c r="BL386" s="2">
        <v>183.41</v>
      </c>
      <c r="BM386" s="2">
        <v>25.68</v>
      </c>
      <c r="BN386" s="2">
        <v>209.09</v>
      </c>
      <c r="BO386" s="2">
        <v>209.09</v>
      </c>
      <c r="BP386" s="2"/>
      <c r="BQ386" s="2" t="s">
        <v>331</v>
      </c>
      <c r="BR386" s="2" t="s">
        <v>83</v>
      </c>
      <c r="BS386" s="3">
        <v>42649</v>
      </c>
      <c r="BT386" s="4">
        <v>0.38541666666666669</v>
      </c>
      <c r="BU386" s="2" t="s">
        <v>332</v>
      </c>
      <c r="BV386" s="2" t="s">
        <v>85</v>
      </c>
      <c r="BW386" s="2"/>
      <c r="BX386" s="2"/>
      <c r="BY386" s="2">
        <v>20358</v>
      </c>
      <c r="BZ386" s="2" t="s">
        <v>27</v>
      </c>
      <c r="CA386" s="2" t="s">
        <v>333</v>
      </c>
      <c r="CB386" s="2"/>
      <c r="CC386" s="2" t="s">
        <v>99</v>
      </c>
      <c r="CD386" s="2">
        <v>6070</v>
      </c>
      <c r="CE386" s="2" t="s">
        <v>86</v>
      </c>
      <c r="CF386" s="5">
        <v>42650</v>
      </c>
      <c r="CG386" s="2"/>
      <c r="CH386" s="2"/>
      <c r="CI386" s="2">
        <v>1</v>
      </c>
      <c r="CJ386" s="2">
        <v>1</v>
      </c>
      <c r="CK386" s="2">
        <v>21</v>
      </c>
      <c r="CL386" s="2" t="s">
        <v>88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"FES1162504822"</f>
        <v>FES1162504822</v>
      </c>
      <c r="F387" s="3">
        <v>42648</v>
      </c>
      <c r="G387" s="2">
        <v>201704</v>
      </c>
      <c r="H387" s="2" t="s">
        <v>74</v>
      </c>
      <c r="I387" s="2" t="s">
        <v>75</v>
      </c>
      <c r="J387" s="2" t="s">
        <v>76</v>
      </c>
      <c r="K387" s="2" t="s">
        <v>77</v>
      </c>
      <c r="L387" s="2" t="s">
        <v>98</v>
      </c>
      <c r="M387" s="2" t="s">
        <v>99</v>
      </c>
      <c r="N387" s="2" t="s">
        <v>350</v>
      </c>
      <c r="O387" s="2" t="s">
        <v>96</v>
      </c>
      <c r="P387" s="2" t="str">
        <f>"2170528491                    "</f>
        <v xml:space="preserve">2170528491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3.32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1</v>
      </c>
      <c r="BJ387" s="2">
        <v>0.2</v>
      </c>
      <c r="BK387" s="2">
        <v>1</v>
      </c>
      <c r="BL387" s="2">
        <v>40.76</v>
      </c>
      <c r="BM387" s="2">
        <v>5.71</v>
      </c>
      <c r="BN387" s="2">
        <v>46.47</v>
      </c>
      <c r="BO387" s="2">
        <v>46.47</v>
      </c>
      <c r="BP387" s="2"/>
      <c r="BQ387" s="2" t="s">
        <v>351</v>
      </c>
      <c r="BR387" s="2" t="s">
        <v>83</v>
      </c>
      <c r="BS387" s="3">
        <v>42649</v>
      </c>
      <c r="BT387" s="4">
        <v>0.36805555555555558</v>
      </c>
      <c r="BU387" s="2" t="s">
        <v>600</v>
      </c>
      <c r="BV387" s="2" t="s">
        <v>85</v>
      </c>
      <c r="BW387" s="2"/>
      <c r="BX387" s="2"/>
      <c r="BY387" s="2">
        <v>1200</v>
      </c>
      <c r="BZ387" s="2" t="s">
        <v>27</v>
      </c>
      <c r="CA387" s="2"/>
      <c r="CB387" s="2"/>
      <c r="CC387" s="2" t="s">
        <v>99</v>
      </c>
      <c r="CD387" s="2">
        <v>6001</v>
      </c>
      <c r="CE387" s="2" t="s">
        <v>108</v>
      </c>
      <c r="CF387" s="5">
        <v>42650</v>
      </c>
      <c r="CG387" s="2"/>
      <c r="CH387" s="2"/>
      <c r="CI387" s="2">
        <v>1</v>
      </c>
      <c r="CJ387" s="2">
        <v>1</v>
      </c>
      <c r="CK387" s="2">
        <v>21</v>
      </c>
      <c r="CL387" s="2" t="s">
        <v>88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"Rfes1162504038"</f>
        <v>Rfes1162504038</v>
      </c>
      <c r="F388" s="3">
        <v>42647</v>
      </c>
      <c r="G388" s="2">
        <v>201704</v>
      </c>
      <c r="H388" s="2" t="s">
        <v>98</v>
      </c>
      <c r="I388" s="2" t="s">
        <v>99</v>
      </c>
      <c r="J388" s="2" t="s">
        <v>100</v>
      </c>
      <c r="K388" s="2" t="s">
        <v>77</v>
      </c>
      <c r="L388" s="2" t="s">
        <v>74</v>
      </c>
      <c r="M388" s="2" t="s">
        <v>75</v>
      </c>
      <c r="N388" s="2" t="s">
        <v>76</v>
      </c>
      <c r="O388" s="2" t="s">
        <v>96</v>
      </c>
      <c r="P388" s="2" t="str">
        <f>"2170525876                    "</f>
        <v xml:space="preserve">2170525876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3.03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1.5</v>
      </c>
      <c r="BK388" s="2">
        <v>1.5</v>
      </c>
      <c r="BL388" s="2">
        <v>40.47</v>
      </c>
      <c r="BM388" s="2">
        <v>5.67</v>
      </c>
      <c r="BN388" s="2">
        <v>46.14</v>
      </c>
      <c r="BO388" s="2">
        <v>46.14</v>
      </c>
      <c r="BP388" s="2"/>
      <c r="BQ388" s="2" t="s">
        <v>83</v>
      </c>
      <c r="BR388" s="2" t="s">
        <v>101</v>
      </c>
      <c r="BS388" s="3">
        <v>42648</v>
      </c>
      <c r="BT388" s="4">
        <v>0.36805555555555558</v>
      </c>
      <c r="BU388" s="2" t="s">
        <v>381</v>
      </c>
      <c r="BV388" s="2" t="s">
        <v>85</v>
      </c>
      <c r="BW388" s="2"/>
      <c r="BX388" s="2"/>
      <c r="BY388" s="2">
        <v>7416.86</v>
      </c>
      <c r="BZ388" s="2" t="s">
        <v>27</v>
      </c>
      <c r="CA388" s="2"/>
      <c r="CB388" s="2"/>
      <c r="CC388" s="2" t="s">
        <v>75</v>
      </c>
      <c r="CD388" s="2">
        <v>1600</v>
      </c>
      <c r="CE388" s="2" t="s">
        <v>108</v>
      </c>
      <c r="CF388" s="5">
        <v>42649</v>
      </c>
      <c r="CG388" s="2"/>
      <c r="CH388" s="2"/>
      <c r="CI388" s="2">
        <v>1</v>
      </c>
      <c r="CJ388" s="2">
        <v>1</v>
      </c>
      <c r="CK388" s="2">
        <v>21</v>
      </c>
      <c r="CL388" s="2" t="s">
        <v>88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"FES1162504692"</f>
        <v>FES1162504692</v>
      </c>
      <c r="F389" s="3">
        <v>42648</v>
      </c>
      <c r="G389" s="2">
        <v>201704</v>
      </c>
      <c r="H389" s="2" t="s">
        <v>74</v>
      </c>
      <c r="I389" s="2" t="s">
        <v>75</v>
      </c>
      <c r="J389" s="2" t="s">
        <v>76</v>
      </c>
      <c r="K389" s="2" t="s">
        <v>77</v>
      </c>
      <c r="L389" s="2" t="s">
        <v>160</v>
      </c>
      <c r="M389" s="2" t="s">
        <v>161</v>
      </c>
      <c r="N389" s="2" t="s">
        <v>184</v>
      </c>
      <c r="O389" s="2" t="s">
        <v>96</v>
      </c>
      <c r="P389" s="2" t="str">
        <f>"2170528348                    "</f>
        <v xml:space="preserve">2170528348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3.32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1</v>
      </c>
      <c r="BJ389" s="2">
        <v>0.2</v>
      </c>
      <c r="BK389" s="2">
        <v>1</v>
      </c>
      <c r="BL389" s="2">
        <v>40.76</v>
      </c>
      <c r="BM389" s="2">
        <v>5.71</v>
      </c>
      <c r="BN389" s="2">
        <v>46.47</v>
      </c>
      <c r="BO389" s="2">
        <v>46.47</v>
      </c>
      <c r="BP389" s="2"/>
      <c r="BQ389" s="2" t="s">
        <v>117</v>
      </c>
      <c r="BR389" s="2" t="s">
        <v>83</v>
      </c>
      <c r="BS389" s="3">
        <v>42649</v>
      </c>
      <c r="BT389" s="4">
        <v>0.41666666666666669</v>
      </c>
      <c r="BU389" s="2" t="s">
        <v>706</v>
      </c>
      <c r="BV389" s="2" t="s">
        <v>85</v>
      </c>
      <c r="BW389" s="2"/>
      <c r="BX389" s="2"/>
      <c r="BY389" s="2">
        <v>1200</v>
      </c>
      <c r="BZ389" s="2" t="s">
        <v>27</v>
      </c>
      <c r="CA389" s="2"/>
      <c r="CB389" s="2"/>
      <c r="CC389" s="2" t="s">
        <v>161</v>
      </c>
      <c r="CD389" s="2">
        <v>7441</v>
      </c>
      <c r="CE389" s="2" t="s">
        <v>103</v>
      </c>
      <c r="CF389" s="5">
        <v>42650</v>
      </c>
      <c r="CG389" s="2"/>
      <c r="CH389" s="2"/>
      <c r="CI389" s="2">
        <v>1</v>
      </c>
      <c r="CJ389" s="2">
        <v>1</v>
      </c>
      <c r="CK389" s="2">
        <v>21</v>
      </c>
      <c r="CL389" s="2" t="s">
        <v>88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"FES1162504657"</f>
        <v>FES1162504657</v>
      </c>
      <c r="F390" s="3">
        <v>42648</v>
      </c>
      <c r="G390" s="2">
        <v>201704</v>
      </c>
      <c r="H390" s="2" t="s">
        <v>74</v>
      </c>
      <c r="I390" s="2" t="s">
        <v>75</v>
      </c>
      <c r="J390" s="2" t="s">
        <v>76</v>
      </c>
      <c r="K390" s="2" t="s">
        <v>77</v>
      </c>
      <c r="L390" s="2" t="s">
        <v>160</v>
      </c>
      <c r="M390" s="2" t="s">
        <v>161</v>
      </c>
      <c r="N390" s="2" t="s">
        <v>622</v>
      </c>
      <c r="O390" s="2" t="s">
        <v>96</v>
      </c>
      <c r="P390" s="2" t="str">
        <f>"2170528309                    "</f>
        <v xml:space="preserve">2170528309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3.32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1</v>
      </c>
      <c r="BJ390" s="2">
        <v>0.2</v>
      </c>
      <c r="BK390" s="2">
        <v>1</v>
      </c>
      <c r="BL390" s="2">
        <v>40.76</v>
      </c>
      <c r="BM390" s="2">
        <v>5.71</v>
      </c>
      <c r="BN390" s="2">
        <v>46.47</v>
      </c>
      <c r="BO390" s="2">
        <v>46.47</v>
      </c>
      <c r="BP390" s="2"/>
      <c r="BQ390" s="2" t="s">
        <v>623</v>
      </c>
      <c r="BR390" s="2" t="s">
        <v>83</v>
      </c>
      <c r="BS390" s="3">
        <v>42649</v>
      </c>
      <c r="BT390" s="4">
        <v>0.44444444444444442</v>
      </c>
      <c r="BU390" s="2" t="s">
        <v>624</v>
      </c>
      <c r="BV390" s="2" t="s">
        <v>85</v>
      </c>
      <c r="BW390" s="2"/>
      <c r="BX390" s="2"/>
      <c r="BY390" s="2">
        <v>1200</v>
      </c>
      <c r="BZ390" s="2" t="s">
        <v>27</v>
      </c>
      <c r="CA390" s="2"/>
      <c r="CB390" s="2"/>
      <c r="CC390" s="2" t="s">
        <v>161</v>
      </c>
      <c r="CD390" s="2">
        <v>7490</v>
      </c>
      <c r="CE390" s="2" t="s">
        <v>103</v>
      </c>
      <c r="CF390" s="5">
        <v>42650</v>
      </c>
      <c r="CG390" s="2"/>
      <c r="CH390" s="2"/>
      <c r="CI390" s="2">
        <v>1</v>
      </c>
      <c r="CJ390" s="2">
        <v>1</v>
      </c>
      <c r="CK390" s="2">
        <v>21</v>
      </c>
      <c r="CL390" s="2" t="s">
        <v>88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"Rfes1162504051"</f>
        <v>Rfes1162504051</v>
      </c>
      <c r="F391" s="3">
        <v>42647</v>
      </c>
      <c r="G391" s="2">
        <v>201704</v>
      </c>
      <c r="H391" s="2" t="s">
        <v>98</v>
      </c>
      <c r="I391" s="2" t="s">
        <v>99</v>
      </c>
      <c r="J391" s="2" t="s">
        <v>100</v>
      </c>
      <c r="K391" s="2" t="s">
        <v>77</v>
      </c>
      <c r="L391" s="2" t="s">
        <v>74</v>
      </c>
      <c r="M391" s="2" t="s">
        <v>75</v>
      </c>
      <c r="N391" s="2" t="s">
        <v>76</v>
      </c>
      <c r="O391" s="2" t="s">
        <v>96</v>
      </c>
      <c r="P391" s="2" t="str">
        <f>"2170525876                    "</f>
        <v xml:space="preserve">2170525876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9.1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4</v>
      </c>
      <c r="BJ391" s="2">
        <v>5.8</v>
      </c>
      <c r="BK391" s="2">
        <v>6</v>
      </c>
      <c r="BL391" s="2">
        <v>121.42</v>
      </c>
      <c r="BM391" s="2">
        <v>17</v>
      </c>
      <c r="BN391" s="2">
        <v>138.41999999999999</v>
      </c>
      <c r="BO391" s="2">
        <v>138.41999999999999</v>
      </c>
      <c r="BP391" s="2"/>
      <c r="BQ391" s="2" t="s">
        <v>83</v>
      </c>
      <c r="BR391" s="2" t="s">
        <v>101</v>
      </c>
      <c r="BS391" s="3">
        <v>42648</v>
      </c>
      <c r="BT391" s="4">
        <v>0.41666666666666669</v>
      </c>
      <c r="BU391" s="2" t="s">
        <v>381</v>
      </c>
      <c r="BV391" s="2" t="s">
        <v>85</v>
      </c>
      <c r="BW391" s="2"/>
      <c r="BX391" s="2"/>
      <c r="BY391" s="2">
        <v>29054.55</v>
      </c>
      <c r="BZ391" s="2" t="s">
        <v>27</v>
      </c>
      <c r="CA391" s="2"/>
      <c r="CB391" s="2"/>
      <c r="CC391" s="2" t="s">
        <v>75</v>
      </c>
      <c r="CD391" s="2">
        <v>1600</v>
      </c>
      <c r="CE391" s="2" t="s">
        <v>86</v>
      </c>
      <c r="CF391" s="5">
        <v>42649</v>
      </c>
      <c r="CG391" s="2"/>
      <c r="CH391" s="2"/>
      <c r="CI391" s="2">
        <v>1</v>
      </c>
      <c r="CJ391" s="2">
        <v>1</v>
      </c>
      <c r="CK391" s="2">
        <v>21</v>
      </c>
      <c r="CL391" s="2" t="s">
        <v>88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"080001451287"</f>
        <v>080001451287</v>
      </c>
      <c r="F392" s="3">
        <v>42648</v>
      </c>
      <c r="G392" s="2">
        <v>201704</v>
      </c>
      <c r="H392" s="2" t="s">
        <v>98</v>
      </c>
      <c r="I392" s="2" t="s">
        <v>99</v>
      </c>
      <c r="J392" s="2" t="s">
        <v>656</v>
      </c>
      <c r="K392" s="2" t="s">
        <v>77</v>
      </c>
      <c r="L392" s="2" t="s">
        <v>74</v>
      </c>
      <c r="M392" s="2" t="s">
        <v>75</v>
      </c>
      <c r="N392" s="2" t="s">
        <v>189</v>
      </c>
      <c r="O392" s="2" t="s">
        <v>96</v>
      </c>
      <c r="P392" s="2" t="str">
        <f>"ZA1000595448                  "</f>
        <v xml:space="preserve">ZA1000595448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3.32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</v>
      </c>
      <c r="BJ392" s="2">
        <v>0.2</v>
      </c>
      <c r="BK392" s="2">
        <v>1</v>
      </c>
      <c r="BL392" s="2">
        <v>40.76</v>
      </c>
      <c r="BM392" s="2">
        <v>5.71</v>
      </c>
      <c r="BN392" s="2">
        <v>46.47</v>
      </c>
      <c r="BO392" s="2">
        <v>46.47</v>
      </c>
      <c r="BP392" s="2" t="s">
        <v>776</v>
      </c>
      <c r="BQ392" s="2" t="s">
        <v>381</v>
      </c>
      <c r="BR392" s="2" t="s">
        <v>657</v>
      </c>
      <c r="BS392" s="3">
        <v>42649</v>
      </c>
      <c r="BT392" s="4">
        <v>0.36805555555555558</v>
      </c>
      <c r="BU392" s="2" t="s">
        <v>777</v>
      </c>
      <c r="BV392" s="2" t="s">
        <v>85</v>
      </c>
      <c r="BW392" s="2"/>
      <c r="BX392" s="2"/>
      <c r="BY392" s="2">
        <v>1200</v>
      </c>
      <c r="BZ392" s="2" t="s">
        <v>27</v>
      </c>
      <c r="CA392" s="2" t="s">
        <v>129</v>
      </c>
      <c r="CB392" s="2"/>
      <c r="CC392" s="2" t="s">
        <v>75</v>
      </c>
      <c r="CD392" s="2">
        <v>1600</v>
      </c>
      <c r="CE392" s="2" t="s">
        <v>86</v>
      </c>
      <c r="CF392" s="5">
        <v>42650</v>
      </c>
      <c r="CG392" s="2"/>
      <c r="CH392" s="2"/>
      <c r="CI392" s="2">
        <v>1</v>
      </c>
      <c r="CJ392" s="2">
        <v>1</v>
      </c>
      <c r="CK392" s="2">
        <v>21</v>
      </c>
      <c r="CL392" s="2" t="s">
        <v>88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"FES1162504664"</f>
        <v>FES1162504664</v>
      </c>
      <c r="F393" s="3">
        <v>42648</v>
      </c>
      <c r="G393" s="2">
        <v>201704</v>
      </c>
      <c r="H393" s="2" t="s">
        <v>74</v>
      </c>
      <c r="I393" s="2" t="s">
        <v>75</v>
      </c>
      <c r="J393" s="2" t="s">
        <v>76</v>
      </c>
      <c r="K393" s="2" t="s">
        <v>77</v>
      </c>
      <c r="L393" s="2" t="s">
        <v>269</v>
      </c>
      <c r="M393" s="2" t="s">
        <v>270</v>
      </c>
      <c r="N393" s="2" t="s">
        <v>778</v>
      </c>
      <c r="O393" s="2" t="s">
        <v>96</v>
      </c>
      <c r="P393" s="2" t="str">
        <f>"2170528318                    "</f>
        <v xml:space="preserve">2170528318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3.32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1</v>
      </c>
      <c r="BJ393" s="2">
        <v>0.2</v>
      </c>
      <c r="BK393" s="2">
        <v>1</v>
      </c>
      <c r="BL393" s="2">
        <v>40.76</v>
      </c>
      <c r="BM393" s="2">
        <v>5.71</v>
      </c>
      <c r="BN393" s="2">
        <v>46.47</v>
      </c>
      <c r="BO393" s="2">
        <v>46.47</v>
      </c>
      <c r="BP393" s="2"/>
      <c r="BQ393" s="2" t="s">
        <v>117</v>
      </c>
      <c r="BR393" s="2" t="s">
        <v>83</v>
      </c>
      <c r="BS393" s="3">
        <v>42649</v>
      </c>
      <c r="BT393" s="4">
        <v>0.4236111111111111</v>
      </c>
      <c r="BU393" s="2" t="s">
        <v>779</v>
      </c>
      <c r="BV393" s="2" t="s">
        <v>85</v>
      </c>
      <c r="BW393" s="2"/>
      <c r="BX393" s="2"/>
      <c r="BY393" s="2">
        <v>1200</v>
      </c>
      <c r="BZ393" s="2" t="s">
        <v>27</v>
      </c>
      <c r="CA393" s="2" t="s">
        <v>129</v>
      </c>
      <c r="CB393" s="2"/>
      <c r="CC393" s="2" t="s">
        <v>270</v>
      </c>
      <c r="CD393" s="2">
        <v>3600</v>
      </c>
      <c r="CE393" s="2" t="s">
        <v>103</v>
      </c>
      <c r="CF393" s="5">
        <v>42650</v>
      </c>
      <c r="CG393" s="2"/>
      <c r="CH393" s="2"/>
      <c r="CI393" s="2">
        <v>1</v>
      </c>
      <c r="CJ393" s="2">
        <v>1</v>
      </c>
      <c r="CK393" s="2">
        <v>21</v>
      </c>
      <c r="CL393" s="2" t="s">
        <v>88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"FES1162504407"</f>
        <v>FES1162504407</v>
      </c>
      <c r="F394" s="3">
        <v>42647</v>
      </c>
      <c r="G394" s="2">
        <v>201704</v>
      </c>
      <c r="H394" s="2" t="s">
        <v>74</v>
      </c>
      <c r="I394" s="2" t="s">
        <v>75</v>
      </c>
      <c r="J394" s="2" t="s">
        <v>76</v>
      </c>
      <c r="K394" s="2" t="s">
        <v>77</v>
      </c>
      <c r="L394" s="2" t="s">
        <v>207</v>
      </c>
      <c r="M394" s="2" t="s">
        <v>208</v>
      </c>
      <c r="N394" s="2" t="s">
        <v>209</v>
      </c>
      <c r="O394" s="2" t="s">
        <v>96</v>
      </c>
      <c r="P394" s="2" t="str">
        <f>"2170528125                    "</f>
        <v xml:space="preserve">2170528125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3.03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1</v>
      </c>
      <c r="BJ394" s="2">
        <v>0.2</v>
      </c>
      <c r="BK394" s="2">
        <v>1</v>
      </c>
      <c r="BL394" s="2">
        <v>40.47</v>
      </c>
      <c r="BM394" s="2">
        <v>5.67</v>
      </c>
      <c r="BN394" s="2">
        <v>46.14</v>
      </c>
      <c r="BO394" s="2">
        <v>46.14</v>
      </c>
      <c r="BP394" s="2"/>
      <c r="BQ394" s="2" t="s">
        <v>652</v>
      </c>
      <c r="BR394" s="2" t="s">
        <v>83</v>
      </c>
      <c r="BS394" s="3">
        <v>42648</v>
      </c>
      <c r="BT394" s="4">
        <v>0.4375</v>
      </c>
      <c r="BU394" s="2" t="s">
        <v>780</v>
      </c>
      <c r="BV394" s="2" t="s">
        <v>85</v>
      </c>
      <c r="BW394" s="2"/>
      <c r="BX394" s="2"/>
      <c r="BY394" s="2">
        <v>1200</v>
      </c>
      <c r="BZ394" s="2" t="s">
        <v>27</v>
      </c>
      <c r="CA394" s="2"/>
      <c r="CB394" s="2"/>
      <c r="CC394" s="2" t="s">
        <v>208</v>
      </c>
      <c r="CD394" s="2">
        <v>4113</v>
      </c>
      <c r="CE394" s="2" t="s">
        <v>103</v>
      </c>
      <c r="CF394" s="5">
        <v>42649</v>
      </c>
      <c r="CG394" s="2"/>
      <c r="CH394" s="2"/>
      <c r="CI394" s="2">
        <v>1</v>
      </c>
      <c r="CJ394" s="2">
        <v>1</v>
      </c>
      <c r="CK394" s="2">
        <v>21</v>
      </c>
      <c r="CL394" s="2" t="s">
        <v>88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"FES1162504175"</f>
        <v>FES1162504175</v>
      </c>
      <c r="F395" s="3">
        <v>42647</v>
      </c>
      <c r="G395" s="2">
        <v>201704</v>
      </c>
      <c r="H395" s="2" t="s">
        <v>74</v>
      </c>
      <c r="I395" s="2" t="s">
        <v>75</v>
      </c>
      <c r="J395" s="2" t="s">
        <v>76</v>
      </c>
      <c r="K395" s="2" t="s">
        <v>77</v>
      </c>
      <c r="L395" s="2" t="s">
        <v>137</v>
      </c>
      <c r="M395" s="2" t="s">
        <v>138</v>
      </c>
      <c r="N395" s="2" t="s">
        <v>291</v>
      </c>
      <c r="O395" s="2" t="s">
        <v>96</v>
      </c>
      <c r="P395" s="2" t="str">
        <f>"2170523000                    "</f>
        <v xml:space="preserve">2170523000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3.03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1</v>
      </c>
      <c r="BJ395" s="2">
        <v>0.2</v>
      </c>
      <c r="BK395" s="2">
        <v>1</v>
      </c>
      <c r="BL395" s="2">
        <v>40.47</v>
      </c>
      <c r="BM395" s="2">
        <v>5.67</v>
      </c>
      <c r="BN395" s="2">
        <v>46.14</v>
      </c>
      <c r="BO395" s="2">
        <v>46.14</v>
      </c>
      <c r="BP395" s="2"/>
      <c r="BQ395" s="2" t="s">
        <v>117</v>
      </c>
      <c r="BR395" s="2" t="s">
        <v>83</v>
      </c>
      <c r="BS395" s="3">
        <v>42648</v>
      </c>
      <c r="BT395" s="4">
        <v>0.37847222222222227</v>
      </c>
      <c r="BU395" s="2" t="s">
        <v>781</v>
      </c>
      <c r="BV395" s="2"/>
      <c r="BW395" s="2"/>
      <c r="BX395" s="2"/>
      <c r="BY395" s="2">
        <v>1200</v>
      </c>
      <c r="BZ395" s="2" t="s">
        <v>27</v>
      </c>
      <c r="CA395" s="2" t="s">
        <v>613</v>
      </c>
      <c r="CB395" s="2"/>
      <c r="CC395" s="2" t="s">
        <v>138</v>
      </c>
      <c r="CD395" s="2">
        <v>3201</v>
      </c>
      <c r="CE395" s="2" t="s">
        <v>782</v>
      </c>
      <c r="CF395" s="5">
        <v>42648</v>
      </c>
      <c r="CG395" s="2"/>
      <c r="CH395" s="2"/>
      <c r="CI395" s="2">
        <v>0</v>
      </c>
      <c r="CJ395" s="2">
        <v>0</v>
      </c>
      <c r="CK395" s="2">
        <v>21</v>
      </c>
      <c r="CL395" s="2" t="s">
        <v>88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"FES1162504720"</f>
        <v>FES1162504720</v>
      </c>
      <c r="F396" s="3">
        <v>42648</v>
      </c>
      <c r="G396" s="2">
        <v>201704</v>
      </c>
      <c r="H396" s="2" t="s">
        <v>74</v>
      </c>
      <c r="I396" s="2" t="s">
        <v>75</v>
      </c>
      <c r="J396" s="2" t="s">
        <v>76</v>
      </c>
      <c r="K396" s="2" t="s">
        <v>77</v>
      </c>
      <c r="L396" s="2" t="s">
        <v>160</v>
      </c>
      <c r="M396" s="2" t="s">
        <v>161</v>
      </c>
      <c r="N396" s="2" t="s">
        <v>179</v>
      </c>
      <c r="O396" s="2" t="s">
        <v>96</v>
      </c>
      <c r="P396" s="2" t="str">
        <f>"2170528376                    "</f>
        <v xml:space="preserve">2170528376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3.32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1</v>
      </c>
      <c r="BJ396" s="2">
        <v>0.2</v>
      </c>
      <c r="BK396" s="2">
        <v>1</v>
      </c>
      <c r="BL396" s="2">
        <v>40.76</v>
      </c>
      <c r="BM396" s="2">
        <v>5.71</v>
      </c>
      <c r="BN396" s="2">
        <v>46.47</v>
      </c>
      <c r="BO396" s="2">
        <v>46.47</v>
      </c>
      <c r="BP396" s="2"/>
      <c r="BQ396" s="2" t="s">
        <v>180</v>
      </c>
      <c r="BR396" s="2" t="s">
        <v>83</v>
      </c>
      <c r="BS396" s="3">
        <v>42649</v>
      </c>
      <c r="BT396" s="4">
        <v>0.41666666666666669</v>
      </c>
      <c r="BU396" s="2" t="s">
        <v>724</v>
      </c>
      <c r="BV396" s="2" t="s">
        <v>85</v>
      </c>
      <c r="BW396" s="2"/>
      <c r="BX396" s="2"/>
      <c r="BY396" s="2">
        <v>1200</v>
      </c>
      <c r="BZ396" s="2" t="s">
        <v>27</v>
      </c>
      <c r="CA396" s="2" t="s">
        <v>129</v>
      </c>
      <c r="CB396" s="2"/>
      <c r="CC396" s="2" t="s">
        <v>161</v>
      </c>
      <c r="CD396" s="2">
        <v>7405</v>
      </c>
      <c r="CE396" s="2" t="s">
        <v>103</v>
      </c>
      <c r="CF396" s="5">
        <v>42650</v>
      </c>
      <c r="CG396" s="2"/>
      <c r="CH396" s="2"/>
      <c r="CI396" s="2">
        <v>1</v>
      </c>
      <c r="CJ396" s="2">
        <v>1</v>
      </c>
      <c r="CK396" s="2">
        <v>21</v>
      </c>
      <c r="CL396" s="2" t="s">
        <v>88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"FES1162504411"</f>
        <v>FES1162504411</v>
      </c>
      <c r="F397" s="3">
        <v>42647</v>
      </c>
      <c r="G397" s="2">
        <v>201704</v>
      </c>
      <c r="H397" s="2" t="s">
        <v>74</v>
      </c>
      <c r="I397" s="2" t="s">
        <v>75</v>
      </c>
      <c r="J397" s="2" t="s">
        <v>76</v>
      </c>
      <c r="K397" s="2" t="s">
        <v>77</v>
      </c>
      <c r="L397" s="2" t="s">
        <v>98</v>
      </c>
      <c r="M397" s="2" t="s">
        <v>99</v>
      </c>
      <c r="N397" s="2" t="s">
        <v>109</v>
      </c>
      <c r="O397" s="2" t="s">
        <v>96</v>
      </c>
      <c r="P397" s="2" t="str">
        <f>"2170527676                    "</f>
        <v xml:space="preserve">2170527676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6.82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1.2</v>
      </c>
      <c r="BJ397" s="2">
        <v>4.5</v>
      </c>
      <c r="BK397" s="2">
        <v>4.5</v>
      </c>
      <c r="BL397" s="2">
        <v>91.06</v>
      </c>
      <c r="BM397" s="2">
        <v>12.75</v>
      </c>
      <c r="BN397" s="2">
        <v>103.81</v>
      </c>
      <c r="BO397" s="2">
        <v>103.81</v>
      </c>
      <c r="BP397" s="2"/>
      <c r="BQ397" s="2" t="s">
        <v>110</v>
      </c>
      <c r="BR397" s="2" t="s">
        <v>83</v>
      </c>
      <c r="BS397" s="3">
        <v>42648</v>
      </c>
      <c r="BT397" s="4">
        <v>0.39583333333333331</v>
      </c>
      <c r="BU397" s="2" t="s">
        <v>111</v>
      </c>
      <c r="BV397" s="2" t="s">
        <v>85</v>
      </c>
      <c r="BW397" s="2"/>
      <c r="BX397" s="2"/>
      <c r="BY397" s="2">
        <v>22682.42</v>
      </c>
      <c r="BZ397" s="2" t="s">
        <v>27</v>
      </c>
      <c r="CA397" s="2" t="s">
        <v>107</v>
      </c>
      <c r="CB397" s="2"/>
      <c r="CC397" s="2" t="s">
        <v>99</v>
      </c>
      <c r="CD397" s="2">
        <v>6001</v>
      </c>
      <c r="CE397" s="2" t="s">
        <v>103</v>
      </c>
      <c r="CF397" s="5">
        <v>42648</v>
      </c>
      <c r="CG397" s="2"/>
      <c r="CH397" s="2"/>
      <c r="CI397" s="2">
        <v>1</v>
      </c>
      <c r="CJ397" s="2">
        <v>1</v>
      </c>
      <c r="CK397" s="2">
        <v>21</v>
      </c>
      <c r="CL397" s="2" t="s">
        <v>88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"FES1162504386"</f>
        <v>FES1162504386</v>
      </c>
      <c r="F398" s="3">
        <v>42647</v>
      </c>
      <c r="G398" s="2">
        <v>201704</v>
      </c>
      <c r="H398" s="2" t="s">
        <v>74</v>
      </c>
      <c r="I398" s="2" t="s">
        <v>75</v>
      </c>
      <c r="J398" s="2" t="s">
        <v>76</v>
      </c>
      <c r="K398" s="2" t="s">
        <v>77</v>
      </c>
      <c r="L398" s="2" t="s">
        <v>143</v>
      </c>
      <c r="M398" s="2" t="s">
        <v>144</v>
      </c>
      <c r="N398" s="2" t="s">
        <v>783</v>
      </c>
      <c r="O398" s="2" t="s">
        <v>96</v>
      </c>
      <c r="P398" s="2" t="str">
        <f>"2170528102                    "</f>
        <v xml:space="preserve">2170528102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3.03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1</v>
      </c>
      <c r="BJ398" s="2">
        <v>0.2</v>
      </c>
      <c r="BK398" s="2">
        <v>1</v>
      </c>
      <c r="BL398" s="2">
        <v>40.47</v>
      </c>
      <c r="BM398" s="2">
        <v>5.67</v>
      </c>
      <c r="BN398" s="2">
        <v>46.14</v>
      </c>
      <c r="BO398" s="2">
        <v>46.14</v>
      </c>
      <c r="BP398" s="2"/>
      <c r="BQ398" s="2" t="s">
        <v>117</v>
      </c>
      <c r="BR398" s="2" t="s">
        <v>83</v>
      </c>
      <c r="BS398" s="3">
        <v>42648</v>
      </c>
      <c r="BT398" s="4">
        <v>0.41666666666666669</v>
      </c>
      <c r="BU398" s="2" t="s">
        <v>784</v>
      </c>
      <c r="BV398" s="2" t="s">
        <v>85</v>
      </c>
      <c r="BW398" s="2"/>
      <c r="BX398" s="2"/>
      <c r="BY398" s="2">
        <v>1200</v>
      </c>
      <c r="BZ398" s="2" t="s">
        <v>27</v>
      </c>
      <c r="CA398" s="2"/>
      <c r="CB398" s="2"/>
      <c r="CC398" s="2" t="s">
        <v>144</v>
      </c>
      <c r="CD398" s="2">
        <v>5201</v>
      </c>
      <c r="CE398" s="2" t="s">
        <v>782</v>
      </c>
      <c r="CF398" s="5">
        <v>42649</v>
      </c>
      <c r="CG398" s="2"/>
      <c r="CH398" s="2"/>
      <c r="CI398" s="2">
        <v>1</v>
      </c>
      <c r="CJ398" s="2">
        <v>1</v>
      </c>
      <c r="CK398" s="2">
        <v>21</v>
      </c>
      <c r="CL398" s="2" t="s">
        <v>88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"080001452013"</f>
        <v>080001452013</v>
      </c>
      <c r="F399" s="3">
        <v>42648</v>
      </c>
      <c r="G399" s="2">
        <v>201704</v>
      </c>
      <c r="H399" s="2" t="s">
        <v>160</v>
      </c>
      <c r="I399" s="2" t="s">
        <v>161</v>
      </c>
      <c r="J399" s="2" t="s">
        <v>176</v>
      </c>
      <c r="K399" s="2" t="s">
        <v>77</v>
      </c>
      <c r="L399" s="2" t="s">
        <v>93</v>
      </c>
      <c r="M399" s="2" t="s">
        <v>94</v>
      </c>
      <c r="N399" s="2" t="s">
        <v>265</v>
      </c>
      <c r="O399" s="2" t="s">
        <v>96</v>
      </c>
      <c r="P399" s="2" t="str">
        <f>"1162504041 PIONEER FOODS      "</f>
        <v xml:space="preserve">1162504041 PIONEER FOODS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4.9800000000000004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3</v>
      </c>
      <c r="BJ399" s="2">
        <v>0.7</v>
      </c>
      <c r="BK399" s="2">
        <v>3</v>
      </c>
      <c r="BL399" s="2">
        <v>61.14</v>
      </c>
      <c r="BM399" s="2">
        <v>8.56</v>
      </c>
      <c r="BN399" s="2">
        <v>69.7</v>
      </c>
      <c r="BO399" s="2">
        <v>69.7</v>
      </c>
      <c r="BP399" s="2" t="s">
        <v>776</v>
      </c>
      <c r="BQ399" s="2" t="s">
        <v>785</v>
      </c>
      <c r="BR399" s="2" t="s">
        <v>247</v>
      </c>
      <c r="BS399" s="3">
        <v>42649</v>
      </c>
      <c r="BT399" s="4">
        <v>0.4375</v>
      </c>
      <c r="BU399" s="2" t="s">
        <v>238</v>
      </c>
      <c r="BV399" s="2" t="s">
        <v>85</v>
      </c>
      <c r="BW399" s="2"/>
      <c r="BX399" s="2"/>
      <c r="BY399" s="2">
        <v>3256</v>
      </c>
      <c r="BZ399" s="2" t="s">
        <v>27</v>
      </c>
      <c r="CA399" s="2"/>
      <c r="CB399" s="2"/>
      <c r="CC399" s="2" t="s">
        <v>94</v>
      </c>
      <c r="CD399" s="2">
        <v>4300</v>
      </c>
      <c r="CE399" s="2" t="s">
        <v>86</v>
      </c>
      <c r="CF399" s="5">
        <v>42650</v>
      </c>
      <c r="CG399" s="2"/>
      <c r="CH399" s="2"/>
      <c r="CI399" s="2">
        <v>1</v>
      </c>
      <c r="CJ399" s="2">
        <v>1</v>
      </c>
      <c r="CK399" s="2">
        <v>21</v>
      </c>
      <c r="CL399" s="2" t="s">
        <v>88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"FES1162504800"</f>
        <v>FES1162504800</v>
      </c>
      <c r="F400" s="3">
        <v>42648</v>
      </c>
      <c r="G400" s="2">
        <v>201704</v>
      </c>
      <c r="H400" s="2" t="s">
        <v>74</v>
      </c>
      <c r="I400" s="2" t="s">
        <v>75</v>
      </c>
      <c r="J400" s="2" t="s">
        <v>76</v>
      </c>
      <c r="K400" s="2" t="s">
        <v>77</v>
      </c>
      <c r="L400" s="2" t="s">
        <v>98</v>
      </c>
      <c r="M400" s="2" t="s">
        <v>99</v>
      </c>
      <c r="N400" s="2" t="s">
        <v>786</v>
      </c>
      <c r="O400" s="2" t="s">
        <v>96</v>
      </c>
      <c r="P400" s="2" t="str">
        <f>"2170528462                    "</f>
        <v xml:space="preserve">2170528462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3.32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</v>
      </c>
      <c r="BJ400" s="2">
        <v>0.2</v>
      </c>
      <c r="BK400" s="2">
        <v>1</v>
      </c>
      <c r="BL400" s="2">
        <v>40.76</v>
      </c>
      <c r="BM400" s="2">
        <v>5.71</v>
      </c>
      <c r="BN400" s="2">
        <v>46.47</v>
      </c>
      <c r="BO400" s="2">
        <v>46.47</v>
      </c>
      <c r="BP400" s="2"/>
      <c r="BQ400" s="2" t="s">
        <v>586</v>
      </c>
      <c r="BR400" s="2" t="s">
        <v>83</v>
      </c>
      <c r="BS400" s="3">
        <v>42649</v>
      </c>
      <c r="BT400" s="4">
        <v>0.41666666666666669</v>
      </c>
      <c r="BU400" s="2" t="s">
        <v>787</v>
      </c>
      <c r="BV400" s="2"/>
      <c r="BW400" s="2"/>
      <c r="BX400" s="2"/>
      <c r="BY400" s="2">
        <v>1200</v>
      </c>
      <c r="BZ400" s="2" t="s">
        <v>27</v>
      </c>
      <c r="CA400" s="2" t="s">
        <v>468</v>
      </c>
      <c r="CB400" s="2"/>
      <c r="CC400" s="2" t="s">
        <v>99</v>
      </c>
      <c r="CD400" s="2">
        <v>6070</v>
      </c>
      <c r="CE400" s="2" t="s">
        <v>103</v>
      </c>
      <c r="CF400" s="5">
        <v>42650</v>
      </c>
      <c r="CG400" s="2"/>
      <c r="CH400" s="2"/>
      <c r="CI400" s="2">
        <v>0</v>
      </c>
      <c r="CJ400" s="2">
        <v>0</v>
      </c>
      <c r="CK400" s="2">
        <v>21</v>
      </c>
      <c r="CL400" s="2" t="s">
        <v>88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"FES1162504384"</f>
        <v>FES1162504384</v>
      </c>
      <c r="F401" s="3">
        <v>42647</v>
      </c>
      <c r="G401" s="2">
        <v>201704</v>
      </c>
      <c r="H401" s="2" t="s">
        <v>74</v>
      </c>
      <c r="I401" s="2" t="s">
        <v>75</v>
      </c>
      <c r="J401" s="2" t="s">
        <v>76</v>
      </c>
      <c r="K401" s="2" t="s">
        <v>77</v>
      </c>
      <c r="L401" s="2" t="s">
        <v>93</v>
      </c>
      <c r="M401" s="2" t="s">
        <v>94</v>
      </c>
      <c r="N401" s="2" t="s">
        <v>130</v>
      </c>
      <c r="O401" s="2" t="s">
        <v>96</v>
      </c>
      <c r="P401" s="2" t="str">
        <f>"2170528098                    "</f>
        <v xml:space="preserve">2170528098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3.03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1</v>
      </c>
      <c r="BJ401" s="2">
        <v>0.2</v>
      </c>
      <c r="BK401" s="2">
        <v>1</v>
      </c>
      <c r="BL401" s="2">
        <v>40.47</v>
      </c>
      <c r="BM401" s="2">
        <v>5.67</v>
      </c>
      <c r="BN401" s="2">
        <v>46.14</v>
      </c>
      <c r="BO401" s="2">
        <v>46.14</v>
      </c>
      <c r="BP401" s="2"/>
      <c r="BQ401" s="2" t="s">
        <v>131</v>
      </c>
      <c r="BR401" s="2" t="s">
        <v>83</v>
      </c>
      <c r="BS401" s="3">
        <v>42648</v>
      </c>
      <c r="BT401" s="4">
        <v>0.33680555555555558</v>
      </c>
      <c r="BU401" s="2" t="s">
        <v>132</v>
      </c>
      <c r="BV401" s="2" t="s">
        <v>85</v>
      </c>
      <c r="BW401" s="2"/>
      <c r="BX401" s="2"/>
      <c r="BY401" s="2">
        <v>1200</v>
      </c>
      <c r="BZ401" s="2" t="s">
        <v>27</v>
      </c>
      <c r="CA401" s="2"/>
      <c r="CB401" s="2"/>
      <c r="CC401" s="2" t="s">
        <v>94</v>
      </c>
      <c r="CD401" s="2">
        <v>4302</v>
      </c>
      <c r="CE401" s="2" t="s">
        <v>103</v>
      </c>
      <c r="CF401" s="5">
        <v>42649</v>
      </c>
      <c r="CG401" s="2"/>
      <c r="CH401" s="2"/>
      <c r="CI401" s="2">
        <v>1</v>
      </c>
      <c r="CJ401" s="2">
        <v>1</v>
      </c>
      <c r="CK401" s="2">
        <v>21</v>
      </c>
      <c r="CL401" s="2" t="s">
        <v>88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"FES1162504409"</f>
        <v>FES1162504409</v>
      </c>
      <c r="F402" s="3">
        <v>42647</v>
      </c>
      <c r="G402" s="2">
        <v>201704</v>
      </c>
      <c r="H402" s="2" t="s">
        <v>74</v>
      </c>
      <c r="I402" s="2" t="s">
        <v>75</v>
      </c>
      <c r="J402" s="2" t="s">
        <v>76</v>
      </c>
      <c r="K402" s="2" t="s">
        <v>77</v>
      </c>
      <c r="L402" s="2" t="s">
        <v>788</v>
      </c>
      <c r="M402" s="2" t="s">
        <v>789</v>
      </c>
      <c r="N402" s="2" t="s">
        <v>790</v>
      </c>
      <c r="O402" s="2" t="s">
        <v>96</v>
      </c>
      <c r="P402" s="2" t="str">
        <f>"2170527661                    "</f>
        <v xml:space="preserve">2170527661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5.88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1</v>
      </c>
      <c r="BJ402" s="2">
        <v>0.2</v>
      </c>
      <c r="BK402" s="2">
        <v>1</v>
      </c>
      <c r="BL402" s="2">
        <v>78.42</v>
      </c>
      <c r="BM402" s="2">
        <v>10.98</v>
      </c>
      <c r="BN402" s="2">
        <v>89.4</v>
      </c>
      <c r="BO402" s="2">
        <v>89.4</v>
      </c>
      <c r="BP402" s="2"/>
      <c r="BQ402" s="2" t="s">
        <v>82</v>
      </c>
      <c r="BR402" s="2" t="s">
        <v>83</v>
      </c>
      <c r="BS402" s="3">
        <v>42648</v>
      </c>
      <c r="BT402" s="4">
        <v>0.56041666666666667</v>
      </c>
      <c r="BU402" s="2" t="s">
        <v>791</v>
      </c>
      <c r="BV402" s="2" t="s">
        <v>85</v>
      </c>
      <c r="BW402" s="2"/>
      <c r="BX402" s="2"/>
      <c r="BY402" s="2">
        <v>1200</v>
      </c>
      <c r="BZ402" s="2" t="s">
        <v>27</v>
      </c>
      <c r="CA402" s="2" t="s">
        <v>792</v>
      </c>
      <c r="CB402" s="2"/>
      <c r="CC402" s="2" t="s">
        <v>789</v>
      </c>
      <c r="CD402" s="2">
        <v>6300</v>
      </c>
      <c r="CE402" s="2" t="s">
        <v>782</v>
      </c>
      <c r="CF402" s="5">
        <v>42648</v>
      </c>
      <c r="CG402" s="2"/>
      <c r="CH402" s="2"/>
      <c r="CI402" s="2">
        <v>3</v>
      </c>
      <c r="CJ402" s="2">
        <v>1</v>
      </c>
      <c r="CK402" s="2">
        <v>23</v>
      </c>
      <c r="CL402" s="2" t="s">
        <v>88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"FES1162504631"</f>
        <v>FES1162504631</v>
      </c>
      <c r="F403" s="3">
        <v>42648</v>
      </c>
      <c r="G403" s="2">
        <v>201704</v>
      </c>
      <c r="H403" s="2" t="s">
        <v>74</v>
      </c>
      <c r="I403" s="2" t="s">
        <v>75</v>
      </c>
      <c r="J403" s="2" t="s">
        <v>76</v>
      </c>
      <c r="K403" s="2" t="s">
        <v>77</v>
      </c>
      <c r="L403" s="2" t="s">
        <v>124</v>
      </c>
      <c r="M403" s="2" t="s">
        <v>125</v>
      </c>
      <c r="N403" s="2" t="s">
        <v>793</v>
      </c>
      <c r="O403" s="2" t="s">
        <v>96</v>
      </c>
      <c r="P403" s="2" t="str">
        <f>"2170528291                    "</f>
        <v xml:space="preserve">2170528291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3.32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1</v>
      </c>
      <c r="BJ403" s="2">
        <v>0.2</v>
      </c>
      <c r="BK403" s="2">
        <v>1</v>
      </c>
      <c r="BL403" s="2">
        <v>40.76</v>
      </c>
      <c r="BM403" s="2">
        <v>5.71</v>
      </c>
      <c r="BN403" s="2">
        <v>46.47</v>
      </c>
      <c r="BO403" s="2">
        <v>46.47</v>
      </c>
      <c r="BP403" s="2"/>
      <c r="BQ403" s="2" t="s">
        <v>168</v>
      </c>
      <c r="BR403" s="2" t="s">
        <v>83</v>
      </c>
      <c r="BS403" s="3">
        <v>42649</v>
      </c>
      <c r="BT403" s="4">
        <v>0.41666666666666669</v>
      </c>
      <c r="BU403" s="2" t="s">
        <v>794</v>
      </c>
      <c r="BV403" s="2" t="s">
        <v>85</v>
      </c>
      <c r="BW403" s="2"/>
      <c r="BX403" s="2"/>
      <c r="BY403" s="2">
        <v>1200</v>
      </c>
      <c r="BZ403" s="2" t="s">
        <v>27</v>
      </c>
      <c r="CA403" s="2"/>
      <c r="CB403" s="2"/>
      <c r="CC403" s="2" t="s">
        <v>125</v>
      </c>
      <c r="CD403" s="2">
        <v>7139</v>
      </c>
      <c r="CE403" s="2" t="s">
        <v>103</v>
      </c>
      <c r="CF403" s="5">
        <v>42650</v>
      </c>
      <c r="CG403" s="2"/>
      <c r="CH403" s="2"/>
      <c r="CI403" s="2">
        <v>1</v>
      </c>
      <c r="CJ403" s="2">
        <v>1</v>
      </c>
      <c r="CK403" s="2">
        <v>21</v>
      </c>
      <c r="CL403" s="2" t="s">
        <v>88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"FES1162504383"</f>
        <v>FES1162504383</v>
      </c>
      <c r="F404" s="3">
        <v>42647</v>
      </c>
      <c r="G404" s="2">
        <v>201704</v>
      </c>
      <c r="H404" s="2" t="s">
        <v>74</v>
      </c>
      <c r="I404" s="2" t="s">
        <v>75</v>
      </c>
      <c r="J404" s="2" t="s">
        <v>76</v>
      </c>
      <c r="K404" s="2" t="s">
        <v>77</v>
      </c>
      <c r="L404" s="2" t="s">
        <v>160</v>
      </c>
      <c r="M404" s="2" t="s">
        <v>161</v>
      </c>
      <c r="N404" s="2" t="s">
        <v>774</v>
      </c>
      <c r="O404" s="2" t="s">
        <v>96</v>
      </c>
      <c r="P404" s="2" t="str">
        <f>"2170528097                    "</f>
        <v xml:space="preserve">2170528097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3.03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1</v>
      </c>
      <c r="BJ404" s="2">
        <v>0.2</v>
      </c>
      <c r="BK404" s="2">
        <v>1</v>
      </c>
      <c r="BL404" s="2">
        <v>40.47</v>
      </c>
      <c r="BM404" s="2">
        <v>5.67</v>
      </c>
      <c r="BN404" s="2">
        <v>46.14</v>
      </c>
      <c r="BO404" s="2">
        <v>46.14</v>
      </c>
      <c r="BP404" s="2"/>
      <c r="BQ404" s="2" t="s">
        <v>91</v>
      </c>
      <c r="BR404" s="2" t="s">
        <v>83</v>
      </c>
      <c r="BS404" s="3">
        <v>42648</v>
      </c>
      <c r="BT404" s="4">
        <v>0.38194444444444442</v>
      </c>
      <c r="BU404" s="2" t="s">
        <v>795</v>
      </c>
      <c r="BV404" s="2"/>
      <c r="BW404" s="2"/>
      <c r="BX404" s="2"/>
      <c r="BY404" s="2">
        <v>1200</v>
      </c>
      <c r="BZ404" s="2" t="s">
        <v>27</v>
      </c>
      <c r="CA404" s="2"/>
      <c r="CB404" s="2"/>
      <c r="CC404" s="2" t="s">
        <v>161</v>
      </c>
      <c r="CD404" s="2">
        <v>8001</v>
      </c>
      <c r="CE404" s="2" t="s">
        <v>103</v>
      </c>
      <c r="CF404" s="5">
        <v>42649</v>
      </c>
      <c r="CG404" s="2"/>
      <c r="CH404" s="2"/>
      <c r="CI404" s="2">
        <v>0</v>
      </c>
      <c r="CJ404" s="2">
        <v>0</v>
      </c>
      <c r="CK404" s="2">
        <v>21</v>
      </c>
      <c r="CL404" s="2" t="s">
        <v>88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"FES1162504168"</f>
        <v>FES1162504168</v>
      </c>
      <c r="F405" s="3">
        <v>42647</v>
      </c>
      <c r="G405" s="2">
        <v>201704</v>
      </c>
      <c r="H405" s="2" t="s">
        <v>74</v>
      </c>
      <c r="I405" s="2" t="s">
        <v>75</v>
      </c>
      <c r="J405" s="2" t="s">
        <v>76</v>
      </c>
      <c r="K405" s="2" t="s">
        <v>77</v>
      </c>
      <c r="L405" s="2" t="s">
        <v>148</v>
      </c>
      <c r="M405" s="2" t="s">
        <v>149</v>
      </c>
      <c r="N405" s="2" t="s">
        <v>796</v>
      </c>
      <c r="O405" s="2" t="s">
        <v>96</v>
      </c>
      <c r="P405" s="2" t="str">
        <f>"2170527976                    "</f>
        <v xml:space="preserve">2170527976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3.03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1</v>
      </c>
      <c r="BJ405" s="2">
        <v>0.2</v>
      </c>
      <c r="BK405" s="2">
        <v>1</v>
      </c>
      <c r="BL405" s="2">
        <v>40.47</v>
      </c>
      <c r="BM405" s="2">
        <v>5.67</v>
      </c>
      <c r="BN405" s="2">
        <v>46.14</v>
      </c>
      <c r="BO405" s="2">
        <v>46.14</v>
      </c>
      <c r="BP405" s="2"/>
      <c r="BQ405" s="2">
        <v>1162504168</v>
      </c>
      <c r="BR405" s="2" t="s">
        <v>83</v>
      </c>
      <c r="BS405" s="3">
        <v>42648</v>
      </c>
      <c r="BT405" s="4">
        <v>0.36458333333333331</v>
      </c>
      <c r="BU405" s="2" t="s">
        <v>797</v>
      </c>
      <c r="BV405" s="2" t="s">
        <v>85</v>
      </c>
      <c r="BW405" s="2"/>
      <c r="BX405" s="2"/>
      <c r="BY405" s="2">
        <v>1200</v>
      </c>
      <c r="BZ405" s="2" t="s">
        <v>27</v>
      </c>
      <c r="CA405" s="2" t="s">
        <v>129</v>
      </c>
      <c r="CB405" s="2"/>
      <c r="CC405" s="2" t="s">
        <v>149</v>
      </c>
      <c r="CD405" s="2">
        <v>4052</v>
      </c>
      <c r="CE405" s="2" t="s">
        <v>782</v>
      </c>
      <c r="CF405" s="5">
        <v>42649</v>
      </c>
      <c r="CG405" s="2"/>
      <c r="CH405" s="2"/>
      <c r="CI405" s="2">
        <v>1</v>
      </c>
      <c r="CJ405" s="2">
        <v>1</v>
      </c>
      <c r="CK405" s="2">
        <v>21</v>
      </c>
      <c r="CL405" s="2" t="s">
        <v>88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"080001452075"</f>
        <v>080001452075</v>
      </c>
      <c r="F406" s="3">
        <v>42649</v>
      </c>
      <c r="G406" s="2">
        <v>201704</v>
      </c>
      <c r="H406" s="2" t="s">
        <v>93</v>
      </c>
      <c r="I406" s="2" t="s">
        <v>94</v>
      </c>
      <c r="J406" s="2" t="s">
        <v>265</v>
      </c>
      <c r="K406" s="2" t="s">
        <v>77</v>
      </c>
      <c r="L406" s="2" t="s">
        <v>74</v>
      </c>
      <c r="M406" s="2" t="s">
        <v>75</v>
      </c>
      <c r="N406" s="2" t="s">
        <v>176</v>
      </c>
      <c r="O406" s="2" t="s">
        <v>96</v>
      </c>
      <c r="P406" s="2" t="str">
        <f>"1162504073-HYFLO SA           "</f>
        <v xml:space="preserve">1162504073-HYFLO SA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3.32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</v>
      </c>
      <c r="BJ406" s="2">
        <v>0.2</v>
      </c>
      <c r="BK406" s="2">
        <v>1</v>
      </c>
      <c r="BL406" s="2">
        <v>40.76</v>
      </c>
      <c r="BM406" s="2">
        <v>5.71</v>
      </c>
      <c r="BN406" s="2">
        <v>46.47</v>
      </c>
      <c r="BO406" s="2">
        <v>46.47</v>
      </c>
      <c r="BP406" s="2" t="s">
        <v>776</v>
      </c>
      <c r="BQ406" s="2" t="s">
        <v>247</v>
      </c>
      <c r="BR406" s="2" t="s">
        <v>798</v>
      </c>
      <c r="BS406" s="3">
        <v>42650</v>
      </c>
      <c r="BT406" s="4">
        <v>0.3576388888888889</v>
      </c>
      <c r="BU406" s="2" t="s">
        <v>799</v>
      </c>
      <c r="BV406" s="2" t="s">
        <v>85</v>
      </c>
      <c r="BW406" s="2"/>
      <c r="BX406" s="2"/>
      <c r="BY406" s="2">
        <v>1200</v>
      </c>
      <c r="BZ406" s="2" t="s">
        <v>27</v>
      </c>
      <c r="CA406" s="2"/>
      <c r="CB406" s="2"/>
      <c r="CC406" s="2" t="s">
        <v>75</v>
      </c>
      <c r="CD406" s="2">
        <v>1600</v>
      </c>
      <c r="CE406" s="2" t="s">
        <v>86</v>
      </c>
      <c r="CF406" s="5">
        <v>42653</v>
      </c>
      <c r="CG406" s="2"/>
      <c r="CH406" s="2"/>
      <c r="CI406" s="2">
        <v>1</v>
      </c>
      <c r="CJ406" s="2">
        <v>1</v>
      </c>
      <c r="CK406" s="2">
        <v>21</v>
      </c>
      <c r="CL406" s="2" t="s">
        <v>88</v>
      </c>
      <c r="CM406" s="2"/>
    </row>
    <row r="407" spans="1:91">
      <c r="A407" s="2" t="s">
        <v>71</v>
      </c>
      <c r="B407" s="2" t="s">
        <v>72</v>
      </c>
      <c r="C407" s="2" t="s">
        <v>73</v>
      </c>
      <c r="D407" s="2"/>
      <c r="E407" s="2" t="str">
        <f>"FES1162504787"</f>
        <v>FES1162504787</v>
      </c>
      <c r="F407" s="3">
        <v>42648</v>
      </c>
      <c r="G407" s="2">
        <v>201704</v>
      </c>
      <c r="H407" s="2" t="s">
        <v>74</v>
      </c>
      <c r="I407" s="2" t="s">
        <v>75</v>
      </c>
      <c r="J407" s="2" t="s">
        <v>76</v>
      </c>
      <c r="K407" s="2" t="s">
        <v>77</v>
      </c>
      <c r="L407" s="2" t="s">
        <v>148</v>
      </c>
      <c r="M407" s="2" t="s">
        <v>149</v>
      </c>
      <c r="N407" s="2" t="s">
        <v>680</v>
      </c>
      <c r="O407" s="2" t="s">
        <v>96</v>
      </c>
      <c r="P407" s="2" t="str">
        <f>"2170528438                    "</f>
        <v xml:space="preserve">2170528438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3.32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1</v>
      </c>
      <c r="BJ407" s="2">
        <v>0.2</v>
      </c>
      <c r="BK407" s="2">
        <v>1</v>
      </c>
      <c r="BL407" s="2">
        <v>40.76</v>
      </c>
      <c r="BM407" s="2">
        <v>5.71</v>
      </c>
      <c r="BN407" s="2">
        <v>46.47</v>
      </c>
      <c r="BO407" s="2">
        <v>46.47</v>
      </c>
      <c r="BP407" s="2"/>
      <c r="BQ407" s="2" t="s">
        <v>681</v>
      </c>
      <c r="BR407" s="2" t="s">
        <v>83</v>
      </c>
      <c r="BS407" s="3">
        <v>42649</v>
      </c>
      <c r="BT407" s="4">
        <v>0.4375</v>
      </c>
      <c r="BU407" s="2" t="s">
        <v>800</v>
      </c>
      <c r="BV407" s="2"/>
      <c r="BW407" s="2"/>
      <c r="BX407" s="2"/>
      <c r="BY407" s="2">
        <v>1200</v>
      </c>
      <c r="BZ407" s="2" t="s">
        <v>27</v>
      </c>
      <c r="CA407" s="2" t="s">
        <v>129</v>
      </c>
      <c r="CB407" s="2"/>
      <c r="CC407" s="2" t="s">
        <v>149</v>
      </c>
      <c r="CD407" s="2">
        <v>4001</v>
      </c>
      <c r="CE407" s="2" t="s">
        <v>103</v>
      </c>
      <c r="CF407" s="5">
        <v>42650</v>
      </c>
      <c r="CG407" s="2"/>
      <c r="CH407" s="2"/>
      <c r="CI407" s="2">
        <v>0</v>
      </c>
      <c r="CJ407" s="2">
        <v>0</v>
      </c>
      <c r="CK407" s="2">
        <v>21</v>
      </c>
      <c r="CL407" s="2" t="s">
        <v>88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"FES1162504398"</f>
        <v>FES1162504398</v>
      </c>
      <c r="F408" s="3">
        <v>42647</v>
      </c>
      <c r="G408" s="2">
        <v>201704</v>
      </c>
      <c r="H408" s="2" t="s">
        <v>74</v>
      </c>
      <c r="I408" s="2" t="s">
        <v>75</v>
      </c>
      <c r="J408" s="2" t="s">
        <v>76</v>
      </c>
      <c r="K408" s="2" t="s">
        <v>77</v>
      </c>
      <c r="L408" s="2" t="s">
        <v>207</v>
      </c>
      <c r="M408" s="2" t="s">
        <v>208</v>
      </c>
      <c r="N408" s="2" t="s">
        <v>209</v>
      </c>
      <c r="O408" s="2" t="s">
        <v>96</v>
      </c>
      <c r="P408" s="2" t="str">
        <f>"2170528112                    "</f>
        <v xml:space="preserve">2170528112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3.03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</v>
      </c>
      <c r="BJ408" s="2">
        <v>0.2</v>
      </c>
      <c r="BK408" s="2">
        <v>1</v>
      </c>
      <c r="BL408" s="2">
        <v>40.47</v>
      </c>
      <c r="BM408" s="2">
        <v>5.67</v>
      </c>
      <c r="BN408" s="2">
        <v>46.14</v>
      </c>
      <c r="BO408" s="2">
        <v>46.14</v>
      </c>
      <c r="BP408" s="2"/>
      <c r="BQ408" s="2" t="s">
        <v>82</v>
      </c>
      <c r="BR408" s="2" t="s">
        <v>83</v>
      </c>
      <c r="BS408" s="3">
        <v>42648</v>
      </c>
      <c r="BT408" s="4">
        <v>0.4375</v>
      </c>
      <c r="BU408" s="2" t="s">
        <v>238</v>
      </c>
      <c r="BV408" s="2" t="s">
        <v>85</v>
      </c>
      <c r="BW408" s="2"/>
      <c r="BX408" s="2"/>
      <c r="BY408" s="2">
        <v>1200</v>
      </c>
      <c r="BZ408" s="2" t="s">
        <v>27</v>
      </c>
      <c r="CA408" s="2"/>
      <c r="CB408" s="2"/>
      <c r="CC408" s="2" t="s">
        <v>208</v>
      </c>
      <c r="CD408" s="2">
        <v>4133</v>
      </c>
      <c r="CE408" s="2" t="s">
        <v>103</v>
      </c>
      <c r="CF408" s="5">
        <v>42649</v>
      </c>
      <c r="CG408" s="2"/>
      <c r="CH408" s="2"/>
      <c r="CI408" s="2">
        <v>1</v>
      </c>
      <c r="CJ408" s="2">
        <v>1</v>
      </c>
      <c r="CK408" s="2">
        <v>21</v>
      </c>
      <c r="CL408" s="2" t="s">
        <v>88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"FES1162504180"</f>
        <v>FES1162504180</v>
      </c>
      <c r="F409" s="3">
        <v>42647</v>
      </c>
      <c r="G409" s="2">
        <v>201704</v>
      </c>
      <c r="H409" s="2" t="s">
        <v>74</v>
      </c>
      <c r="I409" s="2" t="s">
        <v>75</v>
      </c>
      <c r="J409" s="2" t="s">
        <v>76</v>
      </c>
      <c r="K409" s="2" t="s">
        <v>77</v>
      </c>
      <c r="L409" s="2" t="s">
        <v>137</v>
      </c>
      <c r="M409" s="2" t="s">
        <v>138</v>
      </c>
      <c r="N409" s="2" t="s">
        <v>291</v>
      </c>
      <c r="O409" s="2" t="s">
        <v>96</v>
      </c>
      <c r="P409" s="2" t="str">
        <f>"2170523532                    "</f>
        <v xml:space="preserve">2170523532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3.03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</v>
      </c>
      <c r="BJ409" s="2">
        <v>0.2</v>
      </c>
      <c r="BK409" s="2">
        <v>1</v>
      </c>
      <c r="BL409" s="2">
        <v>40.47</v>
      </c>
      <c r="BM409" s="2">
        <v>5.67</v>
      </c>
      <c r="BN409" s="2">
        <v>46.14</v>
      </c>
      <c r="BO409" s="2">
        <v>46.14</v>
      </c>
      <c r="BP409" s="2"/>
      <c r="BQ409" s="2" t="s">
        <v>117</v>
      </c>
      <c r="BR409" s="2" t="s">
        <v>83</v>
      </c>
      <c r="BS409" s="3">
        <v>42648</v>
      </c>
      <c r="BT409" s="4">
        <v>0.37847222222222227</v>
      </c>
      <c r="BU409" s="2" t="s">
        <v>781</v>
      </c>
      <c r="BV409" s="2"/>
      <c r="BW409" s="2"/>
      <c r="BX409" s="2"/>
      <c r="BY409" s="2">
        <v>1200</v>
      </c>
      <c r="BZ409" s="2" t="s">
        <v>27</v>
      </c>
      <c r="CA409" s="2" t="s">
        <v>613</v>
      </c>
      <c r="CB409" s="2"/>
      <c r="CC409" s="2" t="s">
        <v>138</v>
      </c>
      <c r="CD409" s="2">
        <v>3201</v>
      </c>
      <c r="CE409" s="2" t="s">
        <v>782</v>
      </c>
      <c r="CF409" s="5">
        <v>42648</v>
      </c>
      <c r="CG409" s="2"/>
      <c r="CH409" s="2"/>
      <c r="CI409" s="2">
        <v>0</v>
      </c>
      <c r="CJ409" s="2">
        <v>0</v>
      </c>
      <c r="CK409" s="2">
        <v>21</v>
      </c>
      <c r="CL409" s="2" t="s">
        <v>88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"FES1162504648"</f>
        <v>FES1162504648</v>
      </c>
      <c r="F410" s="3">
        <v>42648</v>
      </c>
      <c r="G410" s="2">
        <v>201704</v>
      </c>
      <c r="H410" s="2" t="s">
        <v>74</v>
      </c>
      <c r="I410" s="2" t="s">
        <v>75</v>
      </c>
      <c r="J410" s="2" t="s">
        <v>76</v>
      </c>
      <c r="K410" s="2" t="s">
        <v>77</v>
      </c>
      <c r="L410" s="2" t="s">
        <v>98</v>
      </c>
      <c r="M410" s="2" t="s">
        <v>99</v>
      </c>
      <c r="N410" s="2" t="s">
        <v>109</v>
      </c>
      <c r="O410" s="2" t="s">
        <v>96</v>
      </c>
      <c r="P410" s="2" t="str">
        <f>"2170526198                    "</f>
        <v xml:space="preserve">2170526198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32.340000000000003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2</v>
      </c>
      <c r="BI410" s="2">
        <v>19.3</v>
      </c>
      <c r="BJ410" s="2">
        <v>9.3000000000000007</v>
      </c>
      <c r="BK410" s="2">
        <v>19.5</v>
      </c>
      <c r="BL410" s="2">
        <v>397.38</v>
      </c>
      <c r="BM410" s="2">
        <v>55.63</v>
      </c>
      <c r="BN410" s="2">
        <v>453.01</v>
      </c>
      <c r="BO410" s="2">
        <v>453.01</v>
      </c>
      <c r="BP410" s="2"/>
      <c r="BQ410" s="2" t="s">
        <v>110</v>
      </c>
      <c r="BR410" s="2" t="s">
        <v>83</v>
      </c>
      <c r="BS410" s="3">
        <v>42649</v>
      </c>
      <c r="BT410" s="4">
        <v>0.36458333333333331</v>
      </c>
      <c r="BU410" s="2" t="s">
        <v>629</v>
      </c>
      <c r="BV410" s="2" t="s">
        <v>85</v>
      </c>
      <c r="BW410" s="2"/>
      <c r="BX410" s="2"/>
      <c r="BY410" s="2">
        <v>46296.480000000003</v>
      </c>
      <c r="BZ410" s="2" t="s">
        <v>27</v>
      </c>
      <c r="CA410" s="2"/>
      <c r="CB410" s="2"/>
      <c r="CC410" s="2" t="s">
        <v>99</v>
      </c>
      <c r="CD410" s="2">
        <v>6001</v>
      </c>
      <c r="CE410" s="2" t="s">
        <v>801</v>
      </c>
      <c r="CF410" s="5">
        <v>42650</v>
      </c>
      <c r="CG410" s="2"/>
      <c r="CH410" s="2"/>
      <c r="CI410" s="2">
        <v>1</v>
      </c>
      <c r="CJ410" s="2">
        <v>1</v>
      </c>
      <c r="CK410" s="2">
        <v>21</v>
      </c>
      <c r="CL410" s="2" t="s">
        <v>88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"FES1162504788"</f>
        <v>FES1162504788</v>
      </c>
      <c r="F411" s="3">
        <v>42648</v>
      </c>
      <c r="G411" s="2">
        <v>201704</v>
      </c>
      <c r="H411" s="2" t="s">
        <v>74</v>
      </c>
      <c r="I411" s="2" t="s">
        <v>75</v>
      </c>
      <c r="J411" s="2" t="s">
        <v>76</v>
      </c>
      <c r="K411" s="2" t="s">
        <v>77</v>
      </c>
      <c r="L411" s="2" t="s">
        <v>148</v>
      </c>
      <c r="M411" s="2" t="s">
        <v>149</v>
      </c>
      <c r="N411" s="2" t="s">
        <v>680</v>
      </c>
      <c r="O411" s="2" t="s">
        <v>96</v>
      </c>
      <c r="P411" s="2" t="str">
        <f>"2170528441                    "</f>
        <v xml:space="preserve">2170528441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3.32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1.1000000000000001</v>
      </c>
      <c r="BJ411" s="2">
        <v>1.3</v>
      </c>
      <c r="BK411" s="2">
        <v>1.5</v>
      </c>
      <c r="BL411" s="2">
        <v>40.76</v>
      </c>
      <c r="BM411" s="2">
        <v>5.71</v>
      </c>
      <c r="BN411" s="2">
        <v>46.47</v>
      </c>
      <c r="BO411" s="2">
        <v>46.47</v>
      </c>
      <c r="BP411" s="2"/>
      <c r="BQ411" s="2" t="s">
        <v>681</v>
      </c>
      <c r="BR411" s="2" t="s">
        <v>83</v>
      </c>
      <c r="BS411" s="3">
        <v>42649</v>
      </c>
      <c r="BT411" s="4">
        <v>0.4375</v>
      </c>
      <c r="BU411" s="2" t="s">
        <v>802</v>
      </c>
      <c r="BV411" s="2"/>
      <c r="BW411" s="2"/>
      <c r="BX411" s="2"/>
      <c r="BY411" s="2">
        <v>6666.9</v>
      </c>
      <c r="BZ411" s="2" t="s">
        <v>27</v>
      </c>
      <c r="CA411" s="2" t="s">
        <v>129</v>
      </c>
      <c r="CB411" s="2"/>
      <c r="CC411" s="2" t="s">
        <v>149</v>
      </c>
      <c r="CD411" s="2">
        <v>4001</v>
      </c>
      <c r="CE411" s="2" t="s">
        <v>103</v>
      </c>
      <c r="CF411" s="5">
        <v>42650</v>
      </c>
      <c r="CG411" s="2"/>
      <c r="CH411" s="2"/>
      <c r="CI411" s="2">
        <v>0</v>
      </c>
      <c r="CJ411" s="2">
        <v>0</v>
      </c>
      <c r="CK411" s="2">
        <v>21</v>
      </c>
      <c r="CL411" s="2" t="s">
        <v>88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"FES1162504179"</f>
        <v>FES1162504179</v>
      </c>
      <c r="F412" s="3">
        <v>42647</v>
      </c>
      <c r="G412" s="2">
        <v>201704</v>
      </c>
      <c r="H412" s="2" t="s">
        <v>74</v>
      </c>
      <c r="I412" s="2" t="s">
        <v>75</v>
      </c>
      <c r="J412" s="2" t="s">
        <v>76</v>
      </c>
      <c r="K412" s="2" t="s">
        <v>77</v>
      </c>
      <c r="L412" s="2" t="s">
        <v>156</v>
      </c>
      <c r="M412" s="2" t="s">
        <v>157</v>
      </c>
      <c r="N412" s="2" t="s">
        <v>507</v>
      </c>
      <c r="O412" s="2" t="s">
        <v>96</v>
      </c>
      <c r="P412" s="2" t="str">
        <f>"2170523474                    "</f>
        <v xml:space="preserve">2170523474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3.03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1</v>
      </c>
      <c r="BJ412" s="2">
        <v>0.2</v>
      </c>
      <c r="BK412" s="2">
        <v>1</v>
      </c>
      <c r="BL412" s="2">
        <v>40.47</v>
      </c>
      <c r="BM412" s="2">
        <v>5.67</v>
      </c>
      <c r="BN412" s="2">
        <v>46.14</v>
      </c>
      <c r="BO412" s="2">
        <v>46.14</v>
      </c>
      <c r="BP412" s="2"/>
      <c r="BQ412" s="2" t="s">
        <v>508</v>
      </c>
      <c r="BR412" s="2" t="s">
        <v>83</v>
      </c>
      <c r="BS412" s="3">
        <v>42648</v>
      </c>
      <c r="BT412" s="4">
        <v>0.35069444444444442</v>
      </c>
      <c r="BU412" s="2" t="s">
        <v>803</v>
      </c>
      <c r="BV412" s="2" t="s">
        <v>85</v>
      </c>
      <c r="BW412" s="2"/>
      <c r="BX412" s="2"/>
      <c r="BY412" s="2">
        <v>1200</v>
      </c>
      <c r="BZ412" s="2" t="s">
        <v>27</v>
      </c>
      <c r="CA412" s="2"/>
      <c r="CB412" s="2"/>
      <c r="CC412" s="2" t="s">
        <v>157</v>
      </c>
      <c r="CD412" s="2">
        <v>7130</v>
      </c>
      <c r="CE412" s="2" t="s">
        <v>103</v>
      </c>
      <c r="CF412" s="5">
        <v>42649</v>
      </c>
      <c r="CG412" s="2"/>
      <c r="CH412" s="2"/>
      <c r="CI412" s="2">
        <v>1</v>
      </c>
      <c r="CJ412" s="2">
        <v>1</v>
      </c>
      <c r="CK412" s="2">
        <v>21</v>
      </c>
      <c r="CL412" s="2" t="s">
        <v>88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"FES1162504260"</f>
        <v>FES1162504260</v>
      </c>
      <c r="F413" s="3">
        <v>42647</v>
      </c>
      <c r="G413" s="2">
        <v>201704</v>
      </c>
      <c r="H413" s="2" t="s">
        <v>74</v>
      </c>
      <c r="I413" s="2" t="s">
        <v>75</v>
      </c>
      <c r="J413" s="2" t="s">
        <v>76</v>
      </c>
      <c r="K413" s="2" t="s">
        <v>77</v>
      </c>
      <c r="L413" s="2" t="s">
        <v>269</v>
      </c>
      <c r="M413" s="2" t="s">
        <v>270</v>
      </c>
      <c r="N413" s="2" t="s">
        <v>804</v>
      </c>
      <c r="O413" s="2" t="s">
        <v>96</v>
      </c>
      <c r="P413" s="2" t="str">
        <f>"2170527392                    "</f>
        <v xml:space="preserve">2170527392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3.03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40.47</v>
      </c>
      <c r="BM413" s="2">
        <v>5.67</v>
      </c>
      <c r="BN413" s="2">
        <v>46.14</v>
      </c>
      <c r="BO413" s="2">
        <v>46.14</v>
      </c>
      <c r="BP413" s="2"/>
      <c r="BQ413" s="2" t="s">
        <v>805</v>
      </c>
      <c r="BR413" s="2" t="s">
        <v>83</v>
      </c>
      <c r="BS413" s="3">
        <v>42648</v>
      </c>
      <c r="BT413" s="4">
        <v>0.31805555555555554</v>
      </c>
      <c r="BU413" s="2" t="s">
        <v>806</v>
      </c>
      <c r="BV413" s="2" t="s">
        <v>85</v>
      </c>
      <c r="BW413" s="2"/>
      <c r="BX413" s="2"/>
      <c r="BY413" s="2">
        <v>1200</v>
      </c>
      <c r="BZ413" s="2" t="s">
        <v>27</v>
      </c>
      <c r="CA413" s="2"/>
      <c r="CB413" s="2"/>
      <c r="CC413" s="2" t="s">
        <v>270</v>
      </c>
      <c r="CD413" s="2">
        <v>3610</v>
      </c>
      <c r="CE413" s="2" t="s">
        <v>782</v>
      </c>
      <c r="CF413" s="5">
        <v>42648</v>
      </c>
      <c r="CG413" s="2"/>
      <c r="CH413" s="2"/>
      <c r="CI413" s="2">
        <v>1</v>
      </c>
      <c r="CJ413" s="2">
        <v>1</v>
      </c>
      <c r="CK413" s="2">
        <v>21</v>
      </c>
      <c r="CL413" s="2" t="s">
        <v>88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"FES1162504557"</f>
        <v>FES1162504557</v>
      </c>
      <c r="F414" s="3">
        <v>42648</v>
      </c>
      <c r="G414" s="2">
        <v>201704</v>
      </c>
      <c r="H414" s="2" t="s">
        <v>74</v>
      </c>
      <c r="I414" s="2" t="s">
        <v>75</v>
      </c>
      <c r="J414" s="2" t="s">
        <v>76</v>
      </c>
      <c r="K414" s="2" t="s">
        <v>77</v>
      </c>
      <c r="L414" s="2" t="s">
        <v>148</v>
      </c>
      <c r="M414" s="2" t="s">
        <v>149</v>
      </c>
      <c r="N414" s="2" t="s">
        <v>807</v>
      </c>
      <c r="O414" s="2" t="s">
        <v>96</v>
      </c>
      <c r="P414" s="2" t="str">
        <f>"2170528277                    "</f>
        <v xml:space="preserve">2170528277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4.9800000000000004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3</v>
      </c>
      <c r="BJ414" s="2">
        <v>1.8</v>
      </c>
      <c r="BK414" s="2">
        <v>3</v>
      </c>
      <c r="BL414" s="2">
        <v>61.14</v>
      </c>
      <c r="BM414" s="2">
        <v>8.56</v>
      </c>
      <c r="BN414" s="2">
        <v>69.7</v>
      </c>
      <c r="BO414" s="2">
        <v>69.7</v>
      </c>
      <c r="BP414" s="2"/>
      <c r="BQ414" s="2" t="s">
        <v>168</v>
      </c>
      <c r="BR414" s="2" t="s">
        <v>83</v>
      </c>
      <c r="BS414" s="3">
        <v>42649</v>
      </c>
      <c r="BT414" s="4">
        <v>0.31944444444444448</v>
      </c>
      <c r="BU414" s="2" t="s">
        <v>808</v>
      </c>
      <c r="BV414" s="2" t="s">
        <v>85</v>
      </c>
      <c r="BW414" s="2"/>
      <c r="BX414" s="2"/>
      <c r="BY414" s="2">
        <v>9205.85</v>
      </c>
      <c r="BZ414" s="2" t="s">
        <v>27</v>
      </c>
      <c r="CA414" s="2" t="s">
        <v>129</v>
      </c>
      <c r="CB414" s="2"/>
      <c r="CC414" s="2" t="s">
        <v>149</v>
      </c>
      <c r="CD414" s="2">
        <v>4001</v>
      </c>
      <c r="CE414" s="2" t="s">
        <v>103</v>
      </c>
      <c r="CF414" s="5">
        <v>42650</v>
      </c>
      <c r="CG414" s="2"/>
      <c r="CH414" s="2"/>
      <c r="CI414" s="2">
        <v>1</v>
      </c>
      <c r="CJ414" s="2">
        <v>1</v>
      </c>
      <c r="CK414" s="2">
        <v>21</v>
      </c>
      <c r="CL414" s="2" t="s">
        <v>88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"FES1162504773"</f>
        <v>FES1162504773</v>
      </c>
      <c r="F415" s="3">
        <v>42648</v>
      </c>
      <c r="G415" s="2">
        <v>201704</v>
      </c>
      <c r="H415" s="2" t="s">
        <v>74</v>
      </c>
      <c r="I415" s="2" t="s">
        <v>75</v>
      </c>
      <c r="J415" s="2" t="s">
        <v>76</v>
      </c>
      <c r="K415" s="2" t="s">
        <v>77</v>
      </c>
      <c r="L415" s="2" t="s">
        <v>148</v>
      </c>
      <c r="M415" s="2" t="s">
        <v>149</v>
      </c>
      <c r="N415" s="2" t="s">
        <v>809</v>
      </c>
      <c r="O415" s="2" t="s">
        <v>96</v>
      </c>
      <c r="P415" s="2" t="str">
        <f>"2170528406                    "</f>
        <v xml:space="preserve">2170528406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3.32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0.2</v>
      </c>
      <c r="BK415" s="2">
        <v>1</v>
      </c>
      <c r="BL415" s="2">
        <v>40.76</v>
      </c>
      <c r="BM415" s="2">
        <v>5.71</v>
      </c>
      <c r="BN415" s="2">
        <v>46.47</v>
      </c>
      <c r="BO415" s="2">
        <v>46.47</v>
      </c>
      <c r="BP415" s="2"/>
      <c r="BQ415" s="2" t="s">
        <v>91</v>
      </c>
      <c r="BR415" s="2" t="s">
        <v>83</v>
      </c>
      <c r="BS415" s="3">
        <v>42649</v>
      </c>
      <c r="BT415" s="4">
        <v>0.31597222222222221</v>
      </c>
      <c r="BU415" s="2" t="s">
        <v>810</v>
      </c>
      <c r="BV415" s="2" t="s">
        <v>85</v>
      </c>
      <c r="BW415" s="2"/>
      <c r="BX415" s="2"/>
      <c r="BY415" s="2">
        <v>1200</v>
      </c>
      <c r="BZ415" s="2" t="s">
        <v>27</v>
      </c>
      <c r="CA415" s="2" t="s">
        <v>129</v>
      </c>
      <c r="CB415" s="2"/>
      <c r="CC415" s="2" t="s">
        <v>149</v>
      </c>
      <c r="CD415" s="2">
        <v>4094</v>
      </c>
      <c r="CE415" s="2" t="s">
        <v>103</v>
      </c>
      <c r="CF415" s="5">
        <v>42650</v>
      </c>
      <c r="CG415" s="2"/>
      <c r="CH415" s="2"/>
      <c r="CI415" s="2">
        <v>1</v>
      </c>
      <c r="CJ415" s="2">
        <v>1</v>
      </c>
      <c r="CK415" s="2">
        <v>21</v>
      </c>
      <c r="CL415" s="2" t="s">
        <v>88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"FES1162504410"</f>
        <v>FES1162504410</v>
      </c>
      <c r="F416" s="3">
        <v>42647</v>
      </c>
      <c r="G416" s="2">
        <v>201704</v>
      </c>
      <c r="H416" s="2" t="s">
        <v>74</v>
      </c>
      <c r="I416" s="2" t="s">
        <v>75</v>
      </c>
      <c r="J416" s="2" t="s">
        <v>76</v>
      </c>
      <c r="K416" s="2" t="s">
        <v>77</v>
      </c>
      <c r="L416" s="2" t="s">
        <v>788</v>
      </c>
      <c r="M416" s="2" t="s">
        <v>789</v>
      </c>
      <c r="N416" s="2" t="s">
        <v>790</v>
      </c>
      <c r="O416" s="2" t="s">
        <v>96</v>
      </c>
      <c r="P416" s="2" t="str">
        <f>"2170527874                    "</f>
        <v xml:space="preserve">2170527874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5.88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1</v>
      </c>
      <c r="BJ416" s="2">
        <v>0.2</v>
      </c>
      <c r="BK416" s="2">
        <v>1</v>
      </c>
      <c r="BL416" s="2">
        <v>78.42</v>
      </c>
      <c r="BM416" s="2">
        <v>10.98</v>
      </c>
      <c r="BN416" s="2">
        <v>89.4</v>
      </c>
      <c r="BO416" s="2">
        <v>89.4</v>
      </c>
      <c r="BP416" s="2"/>
      <c r="BQ416" s="2" t="s">
        <v>82</v>
      </c>
      <c r="BR416" s="2" t="s">
        <v>83</v>
      </c>
      <c r="BS416" s="3">
        <v>42648</v>
      </c>
      <c r="BT416" s="4">
        <v>0.56041666666666667</v>
      </c>
      <c r="BU416" s="2" t="s">
        <v>791</v>
      </c>
      <c r="BV416" s="2" t="s">
        <v>85</v>
      </c>
      <c r="BW416" s="2"/>
      <c r="BX416" s="2"/>
      <c r="BY416" s="2">
        <v>1200</v>
      </c>
      <c r="BZ416" s="2" t="s">
        <v>27</v>
      </c>
      <c r="CA416" s="2" t="s">
        <v>792</v>
      </c>
      <c r="CB416" s="2"/>
      <c r="CC416" s="2" t="s">
        <v>789</v>
      </c>
      <c r="CD416" s="2">
        <v>6300</v>
      </c>
      <c r="CE416" s="2" t="s">
        <v>782</v>
      </c>
      <c r="CF416" s="5">
        <v>42648</v>
      </c>
      <c r="CG416" s="2"/>
      <c r="CH416" s="2"/>
      <c r="CI416" s="2">
        <v>3</v>
      </c>
      <c r="CJ416" s="2">
        <v>1</v>
      </c>
      <c r="CK416" s="2">
        <v>23</v>
      </c>
      <c r="CL416" s="2" t="s">
        <v>88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"FES1162504574"</f>
        <v>FES1162504574</v>
      </c>
      <c r="F417" s="3">
        <v>42648</v>
      </c>
      <c r="G417" s="2">
        <v>201704</v>
      </c>
      <c r="H417" s="2" t="s">
        <v>74</v>
      </c>
      <c r="I417" s="2" t="s">
        <v>75</v>
      </c>
      <c r="J417" s="2" t="s">
        <v>76</v>
      </c>
      <c r="K417" s="2" t="s">
        <v>77</v>
      </c>
      <c r="L417" s="2" t="s">
        <v>137</v>
      </c>
      <c r="M417" s="2" t="s">
        <v>138</v>
      </c>
      <c r="N417" s="2" t="s">
        <v>291</v>
      </c>
      <c r="O417" s="2" t="s">
        <v>96</v>
      </c>
      <c r="P417" s="2" t="str">
        <f>"2170525630                    "</f>
        <v xml:space="preserve">2170525630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3.32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1</v>
      </c>
      <c r="BJ417" s="2">
        <v>0.2</v>
      </c>
      <c r="BK417" s="2">
        <v>1</v>
      </c>
      <c r="BL417" s="2">
        <v>40.76</v>
      </c>
      <c r="BM417" s="2">
        <v>5.71</v>
      </c>
      <c r="BN417" s="2">
        <v>46.47</v>
      </c>
      <c r="BO417" s="2">
        <v>46.47</v>
      </c>
      <c r="BP417" s="2"/>
      <c r="BQ417" s="2" t="s">
        <v>117</v>
      </c>
      <c r="BR417" s="2" t="s">
        <v>83</v>
      </c>
      <c r="BS417" s="3">
        <v>42649</v>
      </c>
      <c r="BT417" s="4">
        <v>0.39583333333333331</v>
      </c>
      <c r="BU417" s="2" t="s">
        <v>292</v>
      </c>
      <c r="BV417" s="2"/>
      <c r="BW417" s="2"/>
      <c r="BX417" s="2"/>
      <c r="BY417" s="2">
        <v>1200</v>
      </c>
      <c r="BZ417" s="2" t="s">
        <v>27</v>
      </c>
      <c r="CA417" s="2" t="s">
        <v>129</v>
      </c>
      <c r="CB417" s="2"/>
      <c r="CC417" s="2" t="s">
        <v>138</v>
      </c>
      <c r="CD417" s="2">
        <v>3201</v>
      </c>
      <c r="CE417" s="2" t="s">
        <v>103</v>
      </c>
      <c r="CF417" s="5">
        <v>42650</v>
      </c>
      <c r="CG417" s="2"/>
      <c r="CH417" s="2"/>
      <c r="CI417" s="2">
        <v>0</v>
      </c>
      <c r="CJ417" s="2">
        <v>0</v>
      </c>
      <c r="CK417" s="2">
        <v>21</v>
      </c>
      <c r="CL417" s="2" t="s">
        <v>88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"FES1162504782"</f>
        <v>FES1162504782</v>
      </c>
      <c r="F418" s="3">
        <v>42648</v>
      </c>
      <c r="G418" s="2">
        <v>201704</v>
      </c>
      <c r="H418" s="2" t="s">
        <v>74</v>
      </c>
      <c r="I418" s="2" t="s">
        <v>75</v>
      </c>
      <c r="J418" s="2" t="s">
        <v>76</v>
      </c>
      <c r="K418" s="2" t="s">
        <v>77</v>
      </c>
      <c r="L418" s="2" t="s">
        <v>148</v>
      </c>
      <c r="M418" s="2" t="s">
        <v>149</v>
      </c>
      <c r="N418" s="2" t="s">
        <v>473</v>
      </c>
      <c r="O418" s="2" t="s">
        <v>96</v>
      </c>
      <c r="P418" s="2" t="str">
        <f>"2170528432                    "</f>
        <v xml:space="preserve">2170528432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3.32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1</v>
      </c>
      <c r="BJ418" s="2">
        <v>0.2</v>
      </c>
      <c r="BK418" s="2">
        <v>1</v>
      </c>
      <c r="BL418" s="2">
        <v>40.76</v>
      </c>
      <c r="BM418" s="2">
        <v>5.71</v>
      </c>
      <c r="BN418" s="2">
        <v>46.47</v>
      </c>
      <c r="BO418" s="2">
        <v>46.47</v>
      </c>
      <c r="BP418" s="2"/>
      <c r="BQ418" s="2" t="s">
        <v>117</v>
      </c>
      <c r="BR418" s="2" t="s">
        <v>83</v>
      </c>
      <c r="BS418" s="3">
        <v>42649</v>
      </c>
      <c r="BT418" s="4">
        <v>0.30902777777777779</v>
      </c>
      <c r="BU418" s="2" t="s">
        <v>728</v>
      </c>
      <c r="BV418" s="2" t="s">
        <v>85</v>
      </c>
      <c r="BW418" s="2"/>
      <c r="BX418" s="2"/>
      <c r="BY418" s="2">
        <v>1200</v>
      </c>
      <c r="BZ418" s="2" t="s">
        <v>27</v>
      </c>
      <c r="CA418" s="2" t="s">
        <v>129</v>
      </c>
      <c r="CB418" s="2"/>
      <c r="CC418" s="2" t="s">
        <v>149</v>
      </c>
      <c r="CD418" s="2">
        <v>4052</v>
      </c>
      <c r="CE418" s="2" t="s">
        <v>103</v>
      </c>
      <c r="CF418" s="5">
        <v>42650</v>
      </c>
      <c r="CG418" s="2"/>
      <c r="CH418" s="2"/>
      <c r="CI418" s="2">
        <v>1</v>
      </c>
      <c r="CJ418" s="2">
        <v>1</v>
      </c>
      <c r="CK418" s="2">
        <v>21</v>
      </c>
      <c r="CL418" s="2" t="s">
        <v>88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"FES1162504284"</f>
        <v>FES1162504284</v>
      </c>
      <c r="F419" s="3">
        <v>42647</v>
      </c>
      <c r="G419" s="2">
        <v>201704</v>
      </c>
      <c r="H419" s="2" t="s">
        <v>74</v>
      </c>
      <c r="I419" s="2" t="s">
        <v>75</v>
      </c>
      <c r="J419" s="2" t="s">
        <v>76</v>
      </c>
      <c r="K419" s="2" t="s">
        <v>77</v>
      </c>
      <c r="L419" s="2" t="s">
        <v>148</v>
      </c>
      <c r="M419" s="2" t="s">
        <v>149</v>
      </c>
      <c r="N419" s="2" t="s">
        <v>811</v>
      </c>
      <c r="O419" s="2" t="s">
        <v>96</v>
      </c>
      <c r="P419" s="2" t="str">
        <f>"2170525869                    "</f>
        <v xml:space="preserve">2170525869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5.31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1.2</v>
      </c>
      <c r="BJ419" s="2">
        <v>3.4</v>
      </c>
      <c r="BK419" s="2">
        <v>3.5</v>
      </c>
      <c r="BL419" s="2">
        <v>70.83</v>
      </c>
      <c r="BM419" s="2">
        <v>9.92</v>
      </c>
      <c r="BN419" s="2">
        <v>80.75</v>
      </c>
      <c r="BO419" s="2">
        <v>80.75</v>
      </c>
      <c r="BP419" s="2"/>
      <c r="BQ419" s="2" t="s">
        <v>812</v>
      </c>
      <c r="BR419" s="2" t="s">
        <v>83</v>
      </c>
      <c r="BS419" s="3">
        <v>42648</v>
      </c>
      <c r="BT419" s="4">
        <v>0.4375</v>
      </c>
      <c r="BU419" s="2" t="s">
        <v>813</v>
      </c>
      <c r="BV419" s="2"/>
      <c r="BW419" s="2"/>
      <c r="BX419" s="2"/>
      <c r="BY419" s="2">
        <v>16848</v>
      </c>
      <c r="BZ419" s="2" t="s">
        <v>27</v>
      </c>
      <c r="CA419" s="2"/>
      <c r="CB419" s="2"/>
      <c r="CC419" s="2" t="s">
        <v>149</v>
      </c>
      <c r="CD419" s="2">
        <v>4001</v>
      </c>
      <c r="CE419" s="2" t="s">
        <v>257</v>
      </c>
      <c r="CF419" s="5">
        <v>42649</v>
      </c>
      <c r="CG419" s="2"/>
      <c r="CH419" s="2"/>
      <c r="CI419" s="2">
        <v>0</v>
      </c>
      <c r="CJ419" s="2">
        <v>0</v>
      </c>
      <c r="CK419" s="2">
        <v>21</v>
      </c>
      <c r="CL419" s="2" t="s">
        <v>88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"FES1162504257"</f>
        <v>FES1162504257</v>
      </c>
      <c r="F420" s="3">
        <v>42647</v>
      </c>
      <c r="G420" s="2">
        <v>201704</v>
      </c>
      <c r="H420" s="2" t="s">
        <v>74</v>
      </c>
      <c r="I420" s="2" t="s">
        <v>75</v>
      </c>
      <c r="J420" s="2" t="s">
        <v>76</v>
      </c>
      <c r="K420" s="2" t="s">
        <v>77</v>
      </c>
      <c r="L420" s="2" t="s">
        <v>269</v>
      </c>
      <c r="M420" s="2" t="s">
        <v>270</v>
      </c>
      <c r="N420" s="2" t="s">
        <v>299</v>
      </c>
      <c r="O420" s="2" t="s">
        <v>96</v>
      </c>
      <c r="P420" s="2" t="str">
        <f>"2170527306                    "</f>
        <v xml:space="preserve">2170527306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3.03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</v>
      </c>
      <c r="BJ420" s="2">
        <v>0.2</v>
      </c>
      <c r="BK420" s="2">
        <v>1</v>
      </c>
      <c r="BL420" s="2">
        <v>40.47</v>
      </c>
      <c r="BM420" s="2">
        <v>5.67</v>
      </c>
      <c r="BN420" s="2">
        <v>46.14</v>
      </c>
      <c r="BO420" s="2">
        <v>46.14</v>
      </c>
      <c r="BP420" s="2"/>
      <c r="BQ420" s="2" t="s">
        <v>300</v>
      </c>
      <c r="BR420" s="2" t="s">
        <v>83</v>
      </c>
      <c r="BS420" s="3">
        <v>42648</v>
      </c>
      <c r="BT420" s="4">
        <v>0.35416666666666669</v>
      </c>
      <c r="BU420" s="2" t="s">
        <v>814</v>
      </c>
      <c r="BV420" s="2" t="s">
        <v>85</v>
      </c>
      <c r="BW420" s="2"/>
      <c r="BX420" s="2"/>
      <c r="BY420" s="2">
        <v>1200</v>
      </c>
      <c r="BZ420" s="2" t="s">
        <v>27</v>
      </c>
      <c r="CA420" s="2"/>
      <c r="CB420" s="2"/>
      <c r="CC420" s="2" t="s">
        <v>270</v>
      </c>
      <c r="CD420" s="2">
        <v>3610</v>
      </c>
      <c r="CE420" s="2" t="s">
        <v>782</v>
      </c>
      <c r="CF420" s="5">
        <v>42649</v>
      </c>
      <c r="CG420" s="2"/>
      <c r="CH420" s="2"/>
      <c r="CI420" s="2">
        <v>1</v>
      </c>
      <c r="CJ420" s="2">
        <v>1</v>
      </c>
      <c r="CK420" s="2">
        <v>21</v>
      </c>
      <c r="CL420" s="2" t="s">
        <v>88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"FES1162504610"</f>
        <v>FES1162504610</v>
      </c>
      <c r="F421" s="3">
        <v>42648</v>
      </c>
      <c r="G421" s="2">
        <v>201704</v>
      </c>
      <c r="H421" s="2" t="s">
        <v>74</v>
      </c>
      <c r="I421" s="2" t="s">
        <v>75</v>
      </c>
      <c r="J421" s="2" t="s">
        <v>76</v>
      </c>
      <c r="K421" s="2" t="s">
        <v>77</v>
      </c>
      <c r="L421" s="2" t="s">
        <v>148</v>
      </c>
      <c r="M421" s="2" t="s">
        <v>149</v>
      </c>
      <c r="N421" s="2" t="s">
        <v>815</v>
      </c>
      <c r="O421" s="2" t="s">
        <v>96</v>
      </c>
      <c r="P421" s="2" t="str">
        <f>"2170527869                    "</f>
        <v xml:space="preserve">2170527869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3.32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0.2</v>
      </c>
      <c r="BK421" s="2">
        <v>1</v>
      </c>
      <c r="BL421" s="2">
        <v>40.76</v>
      </c>
      <c r="BM421" s="2">
        <v>5.71</v>
      </c>
      <c r="BN421" s="2">
        <v>46.47</v>
      </c>
      <c r="BO421" s="2">
        <v>46.47</v>
      </c>
      <c r="BP421" s="2"/>
      <c r="BQ421" s="2" t="s">
        <v>91</v>
      </c>
      <c r="BR421" s="2" t="s">
        <v>83</v>
      </c>
      <c r="BS421" s="3">
        <v>42649</v>
      </c>
      <c r="BT421" s="4">
        <v>0.4375</v>
      </c>
      <c r="BU421" s="2" t="s">
        <v>816</v>
      </c>
      <c r="BV421" s="2" t="s">
        <v>85</v>
      </c>
      <c r="BW421" s="2"/>
      <c r="BX421" s="2"/>
      <c r="BY421" s="2">
        <v>1200</v>
      </c>
      <c r="BZ421" s="2" t="s">
        <v>27</v>
      </c>
      <c r="CA421" s="2"/>
      <c r="CB421" s="2"/>
      <c r="CC421" s="2" t="s">
        <v>149</v>
      </c>
      <c r="CD421" s="2">
        <v>4068</v>
      </c>
      <c r="CE421" s="2" t="s">
        <v>103</v>
      </c>
      <c r="CF421" s="5">
        <v>42650</v>
      </c>
      <c r="CG421" s="2"/>
      <c r="CH421" s="2"/>
      <c r="CI421" s="2">
        <v>1</v>
      </c>
      <c r="CJ421" s="2">
        <v>1</v>
      </c>
      <c r="CK421" s="2">
        <v>21</v>
      </c>
      <c r="CL421" s="2" t="s">
        <v>88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"FES1162504791"</f>
        <v>FES1162504791</v>
      </c>
      <c r="F422" s="3">
        <v>42648</v>
      </c>
      <c r="G422" s="2">
        <v>201704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93</v>
      </c>
      <c r="M422" s="2" t="s">
        <v>94</v>
      </c>
      <c r="N422" s="2" t="s">
        <v>130</v>
      </c>
      <c r="O422" s="2" t="s">
        <v>96</v>
      </c>
      <c r="P422" s="2" t="str">
        <f>"2170528447                    "</f>
        <v xml:space="preserve">2170528447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3.32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40.76</v>
      </c>
      <c r="BM422" s="2">
        <v>5.71</v>
      </c>
      <c r="BN422" s="2">
        <v>46.47</v>
      </c>
      <c r="BO422" s="2">
        <v>46.47</v>
      </c>
      <c r="BP422" s="2"/>
      <c r="BQ422" s="2" t="s">
        <v>131</v>
      </c>
      <c r="BR422" s="2" t="s">
        <v>83</v>
      </c>
      <c r="BS422" s="3">
        <v>42649</v>
      </c>
      <c r="BT422" s="4">
        <v>0.4375</v>
      </c>
      <c r="BU422" s="2" t="s">
        <v>817</v>
      </c>
      <c r="BV422" s="2" t="s">
        <v>85</v>
      </c>
      <c r="BW422" s="2"/>
      <c r="BX422" s="2"/>
      <c r="BY422" s="2">
        <v>1200</v>
      </c>
      <c r="BZ422" s="2" t="s">
        <v>27</v>
      </c>
      <c r="CA422" s="2"/>
      <c r="CB422" s="2"/>
      <c r="CC422" s="2" t="s">
        <v>94</v>
      </c>
      <c r="CD422" s="2">
        <v>4302</v>
      </c>
      <c r="CE422" s="2" t="s">
        <v>103</v>
      </c>
      <c r="CF422" s="5">
        <v>42650</v>
      </c>
      <c r="CG422" s="2"/>
      <c r="CH422" s="2"/>
      <c r="CI422" s="2">
        <v>1</v>
      </c>
      <c r="CJ422" s="2">
        <v>1</v>
      </c>
      <c r="CK422" s="2">
        <v>21</v>
      </c>
      <c r="CL422" s="2" t="s">
        <v>88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"FES1162504405"</f>
        <v>FES1162504405</v>
      </c>
      <c r="F423" s="3">
        <v>42647</v>
      </c>
      <c r="G423" s="2">
        <v>201704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207</v>
      </c>
      <c r="M423" s="2" t="s">
        <v>208</v>
      </c>
      <c r="N423" s="2" t="s">
        <v>209</v>
      </c>
      <c r="O423" s="2" t="s">
        <v>96</v>
      </c>
      <c r="P423" s="2" t="str">
        <f>"2170528121                    "</f>
        <v xml:space="preserve">2170528121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3.03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1</v>
      </c>
      <c r="BJ423" s="2">
        <v>1</v>
      </c>
      <c r="BK423" s="2">
        <v>1</v>
      </c>
      <c r="BL423" s="2">
        <v>40.47</v>
      </c>
      <c r="BM423" s="2">
        <v>5.67</v>
      </c>
      <c r="BN423" s="2">
        <v>46.14</v>
      </c>
      <c r="BO423" s="2">
        <v>46.14</v>
      </c>
      <c r="BP423" s="2"/>
      <c r="BQ423" s="2"/>
      <c r="BR423" s="2" t="s">
        <v>83</v>
      </c>
      <c r="BS423" s="3">
        <v>42648</v>
      </c>
      <c r="BT423" s="4">
        <v>0.4375</v>
      </c>
      <c r="BU423" s="2" t="s">
        <v>210</v>
      </c>
      <c r="BV423" s="2" t="s">
        <v>85</v>
      </c>
      <c r="BW423" s="2"/>
      <c r="BX423" s="2"/>
      <c r="BY423" s="2">
        <v>5095.2</v>
      </c>
      <c r="BZ423" s="2" t="s">
        <v>27</v>
      </c>
      <c r="CA423" s="2"/>
      <c r="CB423" s="2"/>
      <c r="CC423" s="2" t="s">
        <v>208</v>
      </c>
      <c r="CD423" s="2">
        <v>4115</v>
      </c>
      <c r="CE423" s="2" t="s">
        <v>257</v>
      </c>
      <c r="CF423" s="5">
        <v>42649</v>
      </c>
      <c r="CG423" s="2"/>
      <c r="CH423" s="2"/>
      <c r="CI423" s="2">
        <v>1</v>
      </c>
      <c r="CJ423" s="2">
        <v>1</v>
      </c>
      <c r="CK423" s="2">
        <v>21</v>
      </c>
      <c r="CL423" s="2" t="s">
        <v>88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"FES1162504314"</f>
        <v>FES1162504314</v>
      </c>
      <c r="F424" s="3">
        <v>42647</v>
      </c>
      <c r="G424" s="2">
        <v>201704</v>
      </c>
      <c r="H424" s="2" t="s">
        <v>74</v>
      </c>
      <c r="I424" s="2" t="s">
        <v>75</v>
      </c>
      <c r="J424" s="2" t="s">
        <v>76</v>
      </c>
      <c r="K424" s="2" t="s">
        <v>77</v>
      </c>
      <c r="L424" s="2" t="s">
        <v>137</v>
      </c>
      <c r="M424" s="2" t="s">
        <v>138</v>
      </c>
      <c r="N424" s="2" t="s">
        <v>291</v>
      </c>
      <c r="O424" s="2" t="s">
        <v>96</v>
      </c>
      <c r="P424" s="2" t="str">
        <f>"2170528001                    "</f>
        <v xml:space="preserve">2170528001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3.03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1</v>
      </c>
      <c r="BJ424" s="2">
        <v>1.2</v>
      </c>
      <c r="BK424" s="2">
        <v>1.5</v>
      </c>
      <c r="BL424" s="2">
        <v>40.47</v>
      </c>
      <c r="BM424" s="2">
        <v>5.67</v>
      </c>
      <c r="BN424" s="2">
        <v>46.14</v>
      </c>
      <c r="BO424" s="2">
        <v>46.14</v>
      </c>
      <c r="BP424" s="2"/>
      <c r="BQ424" s="2" t="s">
        <v>117</v>
      </c>
      <c r="BR424" s="2" t="s">
        <v>83</v>
      </c>
      <c r="BS424" s="3">
        <v>42648</v>
      </c>
      <c r="BT424" s="4">
        <v>0.37847222222222227</v>
      </c>
      <c r="BU424" s="2" t="s">
        <v>781</v>
      </c>
      <c r="BV424" s="2"/>
      <c r="BW424" s="2"/>
      <c r="BX424" s="2"/>
      <c r="BY424" s="2">
        <v>5824.7</v>
      </c>
      <c r="BZ424" s="2" t="s">
        <v>27</v>
      </c>
      <c r="CA424" s="2" t="s">
        <v>613</v>
      </c>
      <c r="CB424" s="2"/>
      <c r="CC424" s="2" t="s">
        <v>138</v>
      </c>
      <c r="CD424" s="2">
        <v>3201</v>
      </c>
      <c r="CE424" s="2" t="s">
        <v>782</v>
      </c>
      <c r="CF424" s="5">
        <v>42648</v>
      </c>
      <c r="CG424" s="2"/>
      <c r="CH424" s="2"/>
      <c r="CI424" s="2">
        <v>0</v>
      </c>
      <c r="CJ424" s="2">
        <v>0</v>
      </c>
      <c r="CK424" s="2">
        <v>21</v>
      </c>
      <c r="CL424" s="2" t="s">
        <v>88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"FES1162504575"</f>
        <v>FES1162504575</v>
      </c>
      <c r="F425" s="3">
        <v>42648</v>
      </c>
      <c r="G425" s="2">
        <v>201704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137</v>
      </c>
      <c r="M425" s="2" t="s">
        <v>138</v>
      </c>
      <c r="N425" s="2" t="s">
        <v>291</v>
      </c>
      <c r="O425" s="2" t="s">
        <v>96</v>
      </c>
      <c r="P425" s="2" t="str">
        <f>"2170525632                    "</f>
        <v xml:space="preserve">2170525632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3.32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</v>
      </c>
      <c r="BJ425" s="2">
        <v>0.2</v>
      </c>
      <c r="BK425" s="2">
        <v>1</v>
      </c>
      <c r="BL425" s="2">
        <v>40.76</v>
      </c>
      <c r="BM425" s="2">
        <v>5.71</v>
      </c>
      <c r="BN425" s="2">
        <v>46.47</v>
      </c>
      <c r="BO425" s="2">
        <v>46.47</v>
      </c>
      <c r="BP425" s="2"/>
      <c r="BQ425" s="2" t="s">
        <v>117</v>
      </c>
      <c r="BR425" s="2" t="s">
        <v>83</v>
      </c>
      <c r="BS425" s="3">
        <v>42649</v>
      </c>
      <c r="BT425" s="4">
        <v>0.39583333333333331</v>
      </c>
      <c r="BU425" s="2" t="s">
        <v>781</v>
      </c>
      <c r="BV425" s="2"/>
      <c r="BW425" s="2"/>
      <c r="BX425" s="2"/>
      <c r="BY425" s="2">
        <v>1200</v>
      </c>
      <c r="BZ425" s="2" t="s">
        <v>27</v>
      </c>
      <c r="CA425" s="2"/>
      <c r="CB425" s="2"/>
      <c r="CC425" s="2" t="s">
        <v>138</v>
      </c>
      <c r="CD425" s="2">
        <v>3201</v>
      </c>
      <c r="CE425" s="2" t="s">
        <v>103</v>
      </c>
      <c r="CF425" s="5">
        <v>42650</v>
      </c>
      <c r="CG425" s="2"/>
      <c r="CH425" s="2"/>
      <c r="CI425" s="2">
        <v>0</v>
      </c>
      <c r="CJ425" s="2">
        <v>0</v>
      </c>
      <c r="CK425" s="2">
        <v>21</v>
      </c>
      <c r="CL425" s="2" t="s">
        <v>88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"FES1162504794"</f>
        <v>FES1162504794</v>
      </c>
      <c r="F426" s="3">
        <v>42648</v>
      </c>
      <c r="G426" s="2">
        <v>201704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98</v>
      </c>
      <c r="M426" s="2" t="s">
        <v>99</v>
      </c>
      <c r="N426" s="2" t="s">
        <v>224</v>
      </c>
      <c r="O426" s="2" t="s">
        <v>96</v>
      </c>
      <c r="P426" s="2" t="str">
        <f>"2170528450                    "</f>
        <v xml:space="preserve">2170528450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3.32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</v>
      </c>
      <c r="BJ426" s="2">
        <v>0.2</v>
      </c>
      <c r="BK426" s="2">
        <v>1</v>
      </c>
      <c r="BL426" s="2">
        <v>40.76</v>
      </c>
      <c r="BM426" s="2">
        <v>5.71</v>
      </c>
      <c r="BN426" s="2">
        <v>46.47</v>
      </c>
      <c r="BO426" s="2">
        <v>46.47</v>
      </c>
      <c r="BP426" s="2"/>
      <c r="BQ426" s="2" t="s">
        <v>225</v>
      </c>
      <c r="BR426" s="2" t="s">
        <v>83</v>
      </c>
      <c r="BS426" s="3">
        <v>42649</v>
      </c>
      <c r="BT426" s="4">
        <v>0.31944444444444448</v>
      </c>
      <c r="BU426" s="2" t="s">
        <v>719</v>
      </c>
      <c r="BV426" s="2" t="s">
        <v>85</v>
      </c>
      <c r="BW426" s="2"/>
      <c r="BX426" s="2"/>
      <c r="BY426" s="2">
        <v>1200</v>
      </c>
      <c r="BZ426" s="2" t="s">
        <v>27</v>
      </c>
      <c r="CA426" s="2"/>
      <c r="CB426" s="2"/>
      <c r="CC426" s="2" t="s">
        <v>99</v>
      </c>
      <c r="CD426" s="2">
        <v>6001</v>
      </c>
      <c r="CE426" s="2" t="s">
        <v>103</v>
      </c>
      <c r="CF426" s="5">
        <v>42650</v>
      </c>
      <c r="CG426" s="2"/>
      <c r="CH426" s="2"/>
      <c r="CI426" s="2">
        <v>1</v>
      </c>
      <c r="CJ426" s="2">
        <v>1</v>
      </c>
      <c r="CK426" s="2">
        <v>21</v>
      </c>
      <c r="CL426" s="2" t="s">
        <v>88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"FES1162504466"</f>
        <v>FES1162504466</v>
      </c>
      <c r="F427" s="3">
        <v>42647</v>
      </c>
      <c r="G427" s="2">
        <v>201704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148</v>
      </c>
      <c r="M427" s="2" t="s">
        <v>149</v>
      </c>
      <c r="N427" s="2" t="s">
        <v>150</v>
      </c>
      <c r="O427" s="2" t="s">
        <v>96</v>
      </c>
      <c r="P427" s="2" t="str">
        <f>"2170528191                    "</f>
        <v xml:space="preserve">2170528191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3.03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1</v>
      </c>
      <c r="BJ427" s="2">
        <v>1.6</v>
      </c>
      <c r="BK427" s="2">
        <v>2</v>
      </c>
      <c r="BL427" s="2">
        <v>40.47</v>
      </c>
      <c r="BM427" s="2">
        <v>5.67</v>
      </c>
      <c r="BN427" s="2">
        <v>46.14</v>
      </c>
      <c r="BO427" s="2">
        <v>46.14</v>
      </c>
      <c r="BP427" s="2"/>
      <c r="BQ427" s="2" t="s">
        <v>151</v>
      </c>
      <c r="BR427" s="2" t="s">
        <v>83</v>
      </c>
      <c r="BS427" s="3">
        <v>42648</v>
      </c>
      <c r="BT427" s="4">
        <v>0.36805555555555558</v>
      </c>
      <c r="BU427" s="2" t="s">
        <v>152</v>
      </c>
      <c r="BV427" s="2" t="s">
        <v>85</v>
      </c>
      <c r="BW427" s="2"/>
      <c r="BX427" s="2"/>
      <c r="BY427" s="2">
        <v>8183.63</v>
      </c>
      <c r="BZ427" s="2" t="s">
        <v>27</v>
      </c>
      <c r="CA427" s="2" t="s">
        <v>129</v>
      </c>
      <c r="CB427" s="2"/>
      <c r="CC427" s="2" t="s">
        <v>149</v>
      </c>
      <c r="CD427" s="2">
        <v>4052</v>
      </c>
      <c r="CE427" s="2" t="s">
        <v>257</v>
      </c>
      <c r="CF427" s="5">
        <v>42649</v>
      </c>
      <c r="CG427" s="2"/>
      <c r="CH427" s="2"/>
      <c r="CI427" s="2">
        <v>1</v>
      </c>
      <c r="CJ427" s="2">
        <v>1</v>
      </c>
      <c r="CK427" s="2">
        <v>21</v>
      </c>
      <c r="CL427" s="2" t="s">
        <v>88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"FES1162504233"</f>
        <v>FES1162504233</v>
      </c>
      <c r="F428" s="3">
        <v>42647</v>
      </c>
      <c r="G428" s="2">
        <v>201704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153</v>
      </c>
      <c r="M428" s="2" t="s">
        <v>153</v>
      </c>
      <c r="N428" s="2" t="s">
        <v>200</v>
      </c>
      <c r="O428" s="2" t="s">
        <v>96</v>
      </c>
      <c r="P428" s="2" t="str">
        <f>"2170526432                    "</f>
        <v xml:space="preserve">2170526432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3.03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0.8</v>
      </c>
      <c r="BK428" s="2">
        <v>1</v>
      </c>
      <c r="BL428" s="2">
        <v>40.47</v>
      </c>
      <c r="BM428" s="2">
        <v>5.67</v>
      </c>
      <c r="BN428" s="2">
        <v>46.14</v>
      </c>
      <c r="BO428" s="2">
        <v>46.14</v>
      </c>
      <c r="BP428" s="2"/>
      <c r="BQ428" s="2" t="s">
        <v>201</v>
      </c>
      <c r="BR428" s="2" t="s">
        <v>83</v>
      </c>
      <c r="BS428" s="3">
        <v>42648</v>
      </c>
      <c r="BT428" s="4">
        <v>0.4826388888888889</v>
      </c>
      <c r="BU428" s="2" t="s">
        <v>818</v>
      </c>
      <c r="BV428" s="2" t="s">
        <v>85</v>
      </c>
      <c r="BW428" s="2"/>
      <c r="BX428" s="2"/>
      <c r="BY428" s="2">
        <v>3778.56</v>
      </c>
      <c r="BZ428" s="2" t="s">
        <v>27</v>
      </c>
      <c r="CA428" s="2" t="s">
        <v>129</v>
      </c>
      <c r="CB428" s="2"/>
      <c r="CC428" s="2" t="s">
        <v>153</v>
      </c>
      <c r="CD428" s="2">
        <v>7646</v>
      </c>
      <c r="CE428" s="2" t="s">
        <v>782</v>
      </c>
      <c r="CF428" s="5">
        <v>42649</v>
      </c>
      <c r="CG428" s="2"/>
      <c r="CH428" s="2"/>
      <c r="CI428" s="2">
        <v>1</v>
      </c>
      <c r="CJ428" s="2">
        <v>1</v>
      </c>
      <c r="CK428" s="2">
        <v>21</v>
      </c>
      <c r="CL428" s="2" t="s">
        <v>88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"FES1162504594"</f>
        <v>FES1162504594</v>
      </c>
      <c r="F429" s="3">
        <v>42648</v>
      </c>
      <c r="G429" s="2">
        <v>201704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510</v>
      </c>
      <c r="M429" s="2" t="s">
        <v>511</v>
      </c>
      <c r="N429" s="2" t="s">
        <v>512</v>
      </c>
      <c r="O429" s="2" t="s">
        <v>96</v>
      </c>
      <c r="P429" s="2" t="str">
        <f>"2170526256                    "</f>
        <v xml:space="preserve">2170526256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3.32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</v>
      </c>
      <c r="BJ429" s="2">
        <v>0.2</v>
      </c>
      <c r="BK429" s="2">
        <v>1</v>
      </c>
      <c r="BL429" s="2">
        <v>40.76</v>
      </c>
      <c r="BM429" s="2">
        <v>5.71</v>
      </c>
      <c r="BN429" s="2">
        <v>46.47</v>
      </c>
      <c r="BO429" s="2">
        <v>46.47</v>
      </c>
      <c r="BP429" s="2"/>
      <c r="BQ429" s="2" t="s">
        <v>117</v>
      </c>
      <c r="BR429" s="2" t="s">
        <v>83</v>
      </c>
      <c r="BS429" s="3">
        <v>42649</v>
      </c>
      <c r="BT429" s="4">
        <v>0.40625</v>
      </c>
      <c r="BU429" s="2" t="s">
        <v>819</v>
      </c>
      <c r="BV429" s="2" t="s">
        <v>85</v>
      </c>
      <c r="BW429" s="2"/>
      <c r="BX429" s="2"/>
      <c r="BY429" s="2">
        <v>1200</v>
      </c>
      <c r="BZ429" s="2" t="s">
        <v>27</v>
      </c>
      <c r="CA429" s="2" t="s">
        <v>129</v>
      </c>
      <c r="CB429" s="2"/>
      <c r="CC429" s="2" t="s">
        <v>511</v>
      </c>
      <c r="CD429" s="2">
        <v>3291</v>
      </c>
      <c r="CE429" s="2" t="s">
        <v>103</v>
      </c>
      <c r="CF429" s="5">
        <v>42650</v>
      </c>
      <c r="CG429" s="2"/>
      <c r="CH429" s="2"/>
      <c r="CI429" s="2">
        <v>1</v>
      </c>
      <c r="CJ429" s="2">
        <v>1</v>
      </c>
      <c r="CK429" s="2">
        <v>21</v>
      </c>
      <c r="CL429" s="2" t="s">
        <v>88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"FES1162504639"</f>
        <v>FES1162504639</v>
      </c>
      <c r="F430" s="3">
        <v>42648</v>
      </c>
      <c r="G430" s="2">
        <v>201704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143</v>
      </c>
      <c r="M430" s="2" t="s">
        <v>144</v>
      </c>
      <c r="N430" s="2" t="s">
        <v>820</v>
      </c>
      <c r="O430" s="2" t="s">
        <v>96</v>
      </c>
      <c r="P430" s="2" t="str">
        <f>"2170528299                    "</f>
        <v xml:space="preserve">2170528299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3.32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</v>
      </c>
      <c r="BJ430" s="2">
        <v>0.2</v>
      </c>
      <c r="BK430" s="2">
        <v>1</v>
      </c>
      <c r="BL430" s="2">
        <v>40.76</v>
      </c>
      <c r="BM430" s="2">
        <v>5.71</v>
      </c>
      <c r="BN430" s="2">
        <v>46.47</v>
      </c>
      <c r="BO430" s="2">
        <v>46.47</v>
      </c>
      <c r="BP430" s="2"/>
      <c r="BQ430" s="2" t="s">
        <v>821</v>
      </c>
      <c r="BR430" s="2" t="s">
        <v>83</v>
      </c>
      <c r="BS430" s="3">
        <v>42649</v>
      </c>
      <c r="BT430" s="4">
        <v>0.41666666666666669</v>
      </c>
      <c r="BU430" s="2" t="s">
        <v>822</v>
      </c>
      <c r="BV430" s="2" t="s">
        <v>85</v>
      </c>
      <c r="BW430" s="2"/>
      <c r="BX430" s="2"/>
      <c r="BY430" s="2">
        <v>1200</v>
      </c>
      <c r="BZ430" s="2" t="s">
        <v>27</v>
      </c>
      <c r="CA430" s="2" t="s">
        <v>129</v>
      </c>
      <c r="CB430" s="2"/>
      <c r="CC430" s="2" t="s">
        <v>144</v>
      </c>
      <c r="CD430" s="2">
        <v>5210</v>
      </c>
      <c r="CE430" s="2" t="s">
        <v>103</v>
      </c>
      <c r="CF430" s="5">
        <v>42653</v>
      </c>
      <c r="CG430" s="2"/>
      <c r="CH430" s="2"/>
      <c r="CI430" s="2">
        <v>1</v>
      </c>
      <c r="CJ430" s="2">
        <v>1</v>
      </c>
      <c r="CK430" s="2">
        <v>21</v>
      </c>
      <c r="CL430" s="2" t="s">
        <v>88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"FES1162504512"</f>
        <v>FES1162504512</v>
      </c>
      <c r="F431" s="3">
        <v>42647</v>
      </c>
      <c r="G431" s="2">
        <v>201704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119</v>
      </c>
      <c r="M431" s="2" t="s">
        <v>120</v>
      </c>
      <c r="N431" s="2" t="s">
        <v>337</v>
      </c>
      <c r="O431" s="2" t="s">
        <v>96</v>
      </c>
      <c r="P431" s="2" t="str">
        <f>"2170528222                    "</f>
        <v xml:space="preserve">2170528222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12.13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6.1</v>
      </c>
      <c r="BJ431" s="2">
        <v>7.9</v>
      </c>
      <c r="BK431" s="2">
        <v>8</v>
      </c>
      <c r="BL431" s="2">
        <v>161.88999999999999</v>
      </c>
      <c r="BM431" s="2">
        <v>22.66</v>
      </c>
      <c r="BN431" s="2">
        <v>184.55</v>
      </c>
      <c r="BO431" s="2">
        <v>184.55</v>
      </c>
      <c r="BP431" s="2"/>
      <c r="BQ431" s="2" t="s">
        <v>338</v>
      </c>
      <c r="BR431" s="2" t="s">
        <v>83</v>
      </c>
      <c r="BS431" s="3">
        <v>42648</v>
      </c>
      <c r="BT431" s="4">
        <v>0.43541666666666662</v>
      </c>
      <c r="BU431" s="2" t="s">
        <v>339</v>
      </c>
      <c r="BV431" s="2" t="s">
        <v>85</v>
      </c>
      <c r="BW431" s="2"/>
      <c r="BX431" s="2"/>
      <c r="BY431" s="2">
        <v>39683.279999999999</v>
      </c>
      <c r="BZ431" s="2" t="s">
        <v>27</v>
      </c>
      <c r="CA431" s="2"/>
      <c r="CB431" s="2"/>
      <c r="CC431" s="2" t="s">
        <v>120</v>
      </c>
      <c r="CD431" s="2">
        <v>6230</v>
      </c>
      <c r="CE431" s="2" t="s">
        <v>257</v>
      </c>
      <c r="CF431" s="5">
        <v>42649</v>
      </c>
      <c r="CG431" s="2"/>
      <c r="CH431" s="2"/>
      <c r="CI431" s="2">
        <v>1</v>
      </c>
      <c r="CJ431" s="2">
        <v>1</v>
      </c>
      <c r="CK431" s="2">
        <v>21</v>
      </c>
      <c r="CL431" s="2" t="s">
        <v>88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"FES1162504269"</f>
        <v>FES1162504269</v>
      </c>
      <c r="F432" s="3">
        <v>42647</v>
      </c>
      <c r="G432" s="2">
        <v>201704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823</v>
      </c>
      <c r="M432" s="2" t="s">
        <v>824</v>
      </c>
      <c r="N432" s="2" t="s">
        <v>825</v>
      </c>
      <c r="O432" s="2" t="s">
        <v>96</v>
      </c>
      <c r="P432" s="2" t="str">
        <f>"217052585                     "</f>
        <v xml:space="preserve">217052585 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4.26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1</v>
      </c>
      <c r="BJ432" s="2">
        <v>0.2</v>
      </c>
      <c r="BK432" s="2">
        <v>1</v>
      </c>
      <c r="BL432" s="2">
        <v>56.91</v>
      </c>
      <c r="BM432" s="2">
        <v>7.97</v>
      </c>
      <c r="BN432" s="2">
        <v>64.88</v>
      </c>
      <c r="BO432" s="2">
        <v>64.88</v>
      </c>
      <c r="BP432" s="2"/>
      <c r="BQ432" s="2" t="s">
        <v>91</v>
      </c>
      <c r="BR432" s="2" t="s">
        <v>83</v>
      </c>
      <c r="BS432" s="3">
        <v>42648</v>
      </c>
      <c r="BT432" s="4">
        <v>0.41666666666666669</v>
      </c>
      <c r="BU432" s="2" t="s">
        <v>431</v>
      </c>
      <c r="BV432" s="2"/>
      <c r="BW432" s="2"/>
      <c r="BX432" s="2"/>
      <c r="BY432" s="2">
        <v>1200</v>
      </c>
      <c r="BZ432" s="2" t="s">
        <v>27</v>
      </c>
      <c r="CA432" s="2"/>
      <c r="CB432" s="2"/>
      <c r="CC432" s="2" t="s">
        <v>824</v>
      </c>
      <c r="CD432" s="2">
        <v>2410</v>
      </c>
      <c r="CE432" s="2" t="s">
        <v>782</v>
      </c>
      <c r="CF432" s="5">
        <v>42650</v>
      </c>
      <c r="CG432" s="2"/>
      <c r="CH432" s="2"/>
      <c r="CI432" s="2">
        <v>0</v>
      </c>
      <c r="CJ432" s="2">
        <v>0</v>
      </c>
      <c r="CK432" s="2">
        <v>24</v>
      </c>
      <c r="CL432" s="2" t="s">
        <v>88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"FES1162504626"</f>
        <v>FES1162504626</v>
      </c>
      <c r="F433" s="3">
        <v>42648</v>
      </c>
      <c r="G433" s="2">
        <v>201704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148</v>
      </c>
      <c r="M433" s="2" t="s">
        <v>149</v>
      </c>
      <c r="N433" s="2" t="s">
        <v>473</v>
      </c>
      <c r="O433" s="2" t="s">
        <v>96</v>
      </c>
      <c r="P433" s="2" t="str">
        <f>"2170528259                    "</f>
        <v xml:space="preserve">2170528259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3.32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1</v>
      </c>
      <c r="BJ433" s="2">
        <v>0.2</v>
      </c>
      <c r="BK433" s="2">
        <v>1</v>
      </c>
      <c r="BL433" s="2">
        <v>40.76</v>
      </c>
      <c r="BM433" s="2">
        <v>5.71</v>
      </c>
      <c r="BN433" s="2">
        <v>46.47</v>
      </c>
      <c r="BO433" s="2">
        <v>46.47</v>
      </c>
      <c r="BP433" s="2"/>
      <c r="BQ433" s="2" t="s">
        <v>117</v>
      </c>
      <c r="BR433" s="2" t="s">
        <v>83</v>
      </c>
      <c r="BS433" s="3">
        <v>42649</v>
      </c>
      <c r="BT433" s="4">
        <v>0.30902777777777779</v>
      </c>
      <c r="BU433" s="2" t="s">
        <v>728</v>
      </c>
      <c r="BV433" s="2" t="s">
        <v>85</v>
      </c>
      <c r="BW433" s="2"/>
      <c r="BX433" s="2"/>
      <c r="BY433" s="2">
        <v>1200</v>
      </c>
      <c r="BZ433" s="2" t="s">
        <v>27</v>
      </c>
      <c r="CA433" s="2" t="s">
        <v>129</v>
      </c>
      <c r="CB433" s="2"/>
      <c r="CC433" s="2" t="s">
        <v>149</v>
      </c>
      <c r="CD433" s="2">
        <v>4052</v>
      </c>
      <c r="CE433" s="2" t="s">
        <v>103</v>
      </c>
      <c r="CF433" s="5">
        <v>42650</v>
      </c>
      <c r="CG433" s="2"/>
      <c r="CH433" s="2"/>
      <c r="CI433" s="2">
        <v>1</v>
      </c>
      <c r="CJ433" s="2">
        <v>1</v>
      </c>
      <c r="CK433" s="2">
        <v>21</v>
      </c>
      <c r="CL433" s="2" t="s">
        <v>88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"FES1162504616"</f>
        <v>FES1162504616</v>
      </c>
      <c r="F434" s="3">
        <v>42648</v>
      </c>
      <c r="G434" s="2">
        <v>201704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269</v>
      </c>
      <c r="M434" s="2" t="s">
        <v>270</v>
      </c>
      <c r="N434" s="2" t="s">
        <v>299</v>
      </c>
      <c r="O434" s="2" t="s">
        <v>96</v>
      </c>
      <c r="P434" s="2" t="str">
        <f>"2170528280                    "</f>
        <v xml:space="preserve">2170528280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3.32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1</v>
      </c>
      <c r="BJ434" s="2">
        <v>0.2</v>
      </c>
      <c r="BK434" s="2">
        <v>1</v>
      </c>
      <c r="BL434" s="2">
        <v>40.76</v>
      </c>
      <c r="BM434" s="2">
        <v>5.71</v>
      </c>
      <c r="BN434" s="2">
        <v>46.47</v>
      </c>
      <c r="BO434" s="2">
        <v>46.47</v>
      </c>
      <c r="BP434" s="2"/>
      <c r="BQ434" s="2" t="s">
        <v>300</v>
      </c>
      <c r="BR434" s="2" t="s">
        <v>83</v>
      </c>
      <c r="BS434" s="3">
        <v>42649</v>
      </c>
      <c r="BT434" s="4">
        <v>0.4375</v>
      </c>
      <c r="BU434" s="2" t="s">
        <v>724</v>
      </c>
      <c r="BV434" s="2" t="s">
        <v>85</v>
      </c>
      <c r="BW434" s="2"/>
      <c r="BX434" s="2"/>
      <c r="BY434" s="2">
        <v>1200</v>
      </c>
      <c r="BZ434" s="2" t="s">
        <v>27</v>
      </c>
      <c r="CA434" s="2" t="s">
        <v>129</v>
      </c>
      <c r="CB434" s="2"/>
      <c r="CC434" s="2" t="s">
        <v>270</v>
      </c>
      <c r="CD434" s="2">
        <v>3610</v>
      </c>
      <c r="CE434" s="2" t="s">
        <v>103</v>
      </c>
      <c r="CF434" s="5">
        <v>42650</v>
      </c>
      <c r="CG434" s="2"/>
      <c r="CH434" s="2"/>
      <c r="CI434" s="2">
        <v>1</v>
      </c>
      <c r="CJ434" s="2">
        <v>1</v>
      </c>
      <c r="CK434" s="2">
        <v>21</v>
      </c>
      <c r="CL434" s="2" t="s">
        <v>88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"FES1162504154"</f>
        <v>FES1162504154</v>
      </c>
      <c r="F435" s="3">
        <v>42647</v>
      </c>
      <c r="G435" s="2">
        <v>201704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160</v>
      </c>
      <c r="M435" s="2" t="s">
        <v>161</v>
      </c>
      <c r="N435" s="2" t="s">
        <v>236</v>
      </c>
      <c r="O435" s="2" t="s">
        <v>96</v>
      </c>
      <c r="P435" s="2" t="str">
        <f>"2170527956                    "</f>
        <v xml:space="preserve">2170527956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3.03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</v>
      </c>
      <c r="BJ435" s="2">
        <v>0.2</v>
      </c>
      <c r="BK435" s="2">
        <v>1</v>
      </c>
      <c r="BL435" s="2">
        <v>40.47</v>
      </c>
      <c r="BM435" s="2">
        <v>5.67</v>
      </c>
      <c r="BN435" s="2">
        <v>46.14</v>
      </c>
      <c r="BO435" s="2">
        <v>46.14</v>
      </c>
      <c r="BP435" s="2"/>
      <c r="BQ435" s="2" t="s">
        <v>237</v>
      </c>
      <c r="BR435" s="2" t="s">
        <v>83</v>
      </c>
      <c r="BS435" s="3">
        <v>42648</v>
      </c>
      <c r="BT435" s="4">
        <v>0.41666666666666669</v>
      </c>
      <c r="BU435" s="2" t="s">
        <v>238</v>
      </c>
      <c r="BV435" s="2" t="s">
        <v>85</v>
      </c>
      <c r="BW435" s="2"/>
      <c r="BX435" s="2"/>
      <c r="BY435" s="2">
        <v>1200</v>
      </c>
      <c r="BZ435" s="2" t="s">
        <v>27</v>
      </c>
      <c r="CA435" s="2"/>
      <c r="CB435" s="2"/>
      <c r="CC435" s="2" t="s">
        <v>161</v>
      </c>
      <c r="CD435" s="2">
        <v>7405</v>
      </c>
      <c r="CE435" s="2" t="s">
        <v>103</v>
      </c>
      <c r="CF435" s="5">
        <v>42649</v>
      </c>
      <c r="CG435" s="2"/>
      <c r="CH435" s="2"/>
      <c r="CI435" s="2">
        <v>1</v>
      </c>
      <c r="CJ435" s="2">
        <v>1</v>
      </c>
      <c r="CK435" s="2">
        <v>21</v>
      </c>
      <c r="CL435" s="2" t="s">
        <v>88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"FES1162504282"</f>
        <v>FES1162504282</v>
      </c>
      <c r="F436" s="3">
        <v>42647</v>
      </c>
      <c r="G436" s="2">
        <v>201704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98</v>
      </c>
      <c r="M436" s="2" t="s">
        <v>99</v>
      </c>
      <c r="N436" s="2" t="s">
        <v>109</v>
      </c>
      <c r="O436" s="2" t="s">
        <v>96</v>
      </c>
      <c r="P436" s="2" t="str">
        <f>"2170525458                    "</f>
        <v xml:space="preserve">2170525458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13.65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9</v>
      </c>
      <c r="BJ436" s="2">
        <v>3.8</v>
      </c>
      <c r="BK436" s="2">
        <v>9</v>
      </c>
      <c r="BL436" s="2">
        <v>182.13</v>
      </c>
      <c r="BM436" s="2">
        <v>25.5</v>
      </c>
      <c r="BN436" s="2">
        <v>207.63</v>
      </c>
      <c r="BO436" s="2">
        <v>207.63</v>
      </c>
      <c r="BP436" s="2"/>
      <c r="BQ436" s="2" t="s">
        <v>110</v>
      </c>
      <c r="BR436" s="2" t="s">
        <v>83</v>
      </c>
      <c r="BS436" s="3">
        <v>42648</v>
      </c>
      <c r="BT436" s="4">
        <v>0.39583333333333331</v>
      </c>
      <c r="BU436" s="2" t="s">
        <v>111</v>
      </c>
      <c r="BV436" s="2" t="s">
        <v>85</v>
      </c>
      <c r="BW436" s="2"/>
      <c r="BX436" s="2"/>
      <c r="BY436" s="2">
        <v>18992.8</v>
      </c>
      <c r="BZ436" s="2" t="s">
        <v>27</v>
      </c>
      <c r="CA436" s="2" t="s">
        <v>107</v>
      </c>
      <c r="CB436" s="2"/>
      <c r="CC436" s="2" t="s">
        <v>99</v>
      </c>
      <c r="CD436" s="2">
        <v>6001</v>
      </c>
      <c r="CE436" s="2" t="s">
        <v>826</v>
      </c>
      <c r="CF436" s="5">
        <v>42648</v>
      </c>
      <c r="CG436" s="2"/>
      <c r="CH436" s="2"/>
      <c r="CI436" s="2">
        <v>1</v>
      </c>
      <c r="CJ436" s="2">
        <v>1</v>
      </c>
      <c r="CK436" s="2">
        <v>21</v>
      </c>
      <c r="CL436" s="2" t="s">
        <v>88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"FES1162504614"</f>
        <v>FES1162504614</v>
      </c>
      <c r="F437" s="3">
        <v>42648</v>
      </c>
      <c r="G437" s="2">
        <v>201704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148</v>
      </c>
      <c r="M437" s="2" t="s">
        <v>149</v>
      </c>
      <c r="N437" s="2" t="s">
        <v>632</v>
      </c>
      <c r="O437" s="2" t="s">
        <v>96</v>
      </c>
      <c r="P437" s="2" t="str">
        <f>"2170528113                    "</f>
        <v xml:space="preserve">2170528113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3.32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40.76</v>
      </c>
      <c r="BM437" s="2">
        <v>5.71</v>
      </c>
      <c r="BN437" s="2">
        <v>46.47</v>
      </c>
      <c r="BO437" s="2">
        <v>46.47</v>
      </c>
      <c r="BP437" s="2"/>
      <c r="BQ437" s="2" t="s">
        <v>633</v>
      </c>
      <c r="BR437" s="2" t="s">
        <v>83</v>
      </c>
      <c r="BS437" s="3">
        <v>42649</v>
      </c>
      <c r="BT437" s="4">
        <v>0.4375</v>
      </c>
      <c r="BU437" s="2" t="s">
        <v>827</v>
      </c>
      <c r="BV437" s="2" t="s">
        <v>85</v>
      </c>
      <c r="BW437" s="2"/>
      <c r="BX437" s="2"/>
      <c r="BY437" s="2">
        <v>1200</v>
      </c>
      <c r="BZ437" s="2" t="s">
        <v>27</v>
      </c>
      <c r="CA437" s="2"/>
      <c r="CB437" s="2"/>
      <c r="CC437" s="2" t="s">
        <v>149</v>
      </c>
      <c r="CD437" s="2">
        <v>4068</v>
      </c>
      <c r="CE437" s="2" t="s">
        <v>103</v>
      </c>
      <c r="CF437" s="5">
        <v>42650</v>
      </c>
      <c r="CG437" s="2"/>
      <c r="CH437" s="2"/>
      <c r="CI437" s="2">
        <v>1</v>
      </c>
      <c r="CJ437" s="2">
        <v>1</v>
      </c>
      <c r="CK437" s="2">
        <v>21</v>
      </c>
      <c r="CL437" s="2" t="s">
        <v>88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"FES1162504619"</f>
        <v>FES1162504619</v>
      </c>
      <c r="F438" s="3">
        <v>42648</v>
      </c>
      <c r="G438" s="2">
        <v>201704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93</v>
      </c>
      <c r="M438" s="2" t="s">
        <v>94</v>
      </c>
      <c r="N438" s="2" t="s">
        <v>828</v>
      </c>
      <c r="O438" s="2" t="s">
        <v>96</v>
      </c>
      <c r="P438" s="2" t="str">
        <f>"2170528285                    "</f>
        <v xml:space="preserve">2170528285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3.32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40.76</v>
      </c>
      <c r="BM438" s="2">
        <v>5.71</v>
      </c>
      <c r="BN438" s="2">
        <v>46.47</v>
      </c>
      <c r="BO438" s="2">
        <v>46.47</v>
      </c>
      <c r="BP438" s="2"/>
      <c r="BQ438" s="2" t="s">
        <v>829</v>
      </c>
      <c r="BR438" s="2" t="s">
        <v>83</v>
      </c>
      <c r="BS438" s="3">
        <v>42649</v>
      </c>
      <c r="BT438" s="4">
        <v>0.3611111111111111</v>
      </c>
      <c r="BU438" s="2" t="s">
        <v>830</v>
      </c>
      <c r="BV438" s="2" t="s">
        <v>85</v>
      </c>
      <c r="BW438" s="2"/>
      <c r="BX438" s="2"/>
      <c r="BY438" s="2">
        <v>1200</v>
      </c>
      <c r="BZ438" s="2" t="s">
        <v>27</v>
      </c>
      <c r="CA438" s="2"/>
      <c r="CB438" s="2"/>
      <c r="CC438" s="2" t="s">
        <v>94</v>
      </c>
      <c r="CD438" s="2">
        <v>4300</v>
      </c>
      <c r="CE438" s="2" t="s">
        <v>103</v>
      </c>
      <c r="CF438" s="5">
        <v>42650</v>
      </c>
      <c r="CG438" s="2"/>
      <c r="CH438" s="2"/>
      <c r="CI438" s="2">
        <v>1</v>
      </c>
      <c r="CJ438" s="2">
        <v>1</v>
      </c>
      <c r="CK438" s="2">
        <v>21</v>
      </c>
      <c r="CL438" s="2" t="s">
        <v>88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"FES1162504225"</f>
        <v>FES1162504225</v>
      </c>
      <c r="F439" s="3">
        <v>42647</v>
      </c>
      <c r="G439" s="2">
        <v>201704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160</v>
      </c>
      <c r="M439" s="2" t="s">
        <v>161</v>
      </c>
      <c r="N439" s="2" t="s">
        <v>622</v>
      </c>
      <c r="O439" s="2" t="s">
        <v>96</v>
      </c>
      <c r="P439" s="2" t="str">
        <f>"2170526054                    "</f>
        <v xml:space="preserve">2170526054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3.03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1</v>
      </c>
      <c r="BJ439" s="2">
        <v>0.2</v>
      </c>
      <c r="BK439" s="2">
        <v>1</v>
      </c>
      <c r="BL439" s="2">
        <v>40.47</v>
      </c>
      <c r="BM439" s="2">
        <v>5.67</v>
      </c>
      <c r="BN439" s="2">
        <v>46.14</v>
      </c>
      <c r="BO439" s="2">
        <v>46.14</v>
      </c>
      <c r="BP439" s="2"/>
      <c r="BQ439" s="2" t="s">
        <v>623</v>
      </c>
      <c r="BR439" s="2" t="s">
        <v>83</v>
      </c>
      <c r="BS439" s="3">
        <v>42648</v>
      </c>
      <c r="BT439" s="4">
        <v>0.44722222222222219</v>
      </c>
      <c r="BU439" s="2" t="s">
        <v>831</v>
      </c>
      <c r="BV439" s="2" t="s">
        <v>85</v>
      </c>
      <c r="BW439" s="2"/>
      <c r="BX439" s="2"/>
      <c r="BY439" s="2">
        <v>1200</v>
      </c>
      <c r="BZ439" s="2" t="s">
        <v>27</v>
      </c>
      <c r="CA439" s="2" t="s">
        <v>129</v>
      </c>
      <c r="CB439" s="2"/>
      <c r="CC439" s="2" t="s">
        <v>161</v>
      </c>
      <c r="CD439" s="2">
        <v>7490</v>
      </c>
      <c r="CE439" s="2" t="s">
        <v>103</v>
      </c>
      <c r="CF439" s="5">
        <v>42649</v>
      </c>
      <c r="CG439" s="2"/>
      <c r="CH439" s="2"/>
      <c r="CI439" s="2">
        <v>1</v>
      </c>
      <c r="CJ439" s="2">
        <v>1</v>
      </c>
      <c r="CK439" s="2">
        <v>21</v>
      </c>
      <c r="CL439" s="2" t="s">
        <v>88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"FES1162504447"</f>
        <v>FES1162504447</v>
      </c>
      <c r="F440" s="3">
        <v>42647</v>
      </c>
      <c r="G440" s="2">
        <v>201704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98</v>
      </c>
      <c r="M440" s="2" t="s">
        <v>99</v>
      </c>
      <c r="N440" s="2" t="s">
        <v>832</v>
      </c>
      <c r="O440" s="2" t="s">
        <v>96</v>
      </c>
      <c r="P440" s="2" t="str">
        <f>"2170526466                    "</f>
        <v xml:space="preserve">2170526466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12.13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8</v>
      </c>
      <c r="BJ440" s="2">
        <v>3.7</v>
      </c>
      <c r="BK440" s="2">
        <v>8</v>
      </c>
      <c r="BL440" s="2">
        <v>161.88999999999999</v>
      </c>
      <c r="BM440" s="2">
        <v>22.66</v>
      </c>
      <c r="BN440" s="2">
        <v>184.55</v>
      </c>
      <c r="BO440" s="2">
        <v>184.55</v>
      </c>
      <c r="BP440" s="2"/>
      <c r="BQ440" s="2" t="s">
        <v>833</v>
      </c>
      <c r="BR440" s="2" t="s">
        <v>83</v>
      </c>
      <c r="BS440" s="3">
        <v>42648</v>
      </c>
      <c r="BT440" s="4">
        <v>0.38541666666666669</v>
      </c>
      <c r="BU440" s="2" t="s">
        <v>834</v>
      </c>
      <c r="BV440" s="2" t="s">
        <v>85</v>
      </c>
      <c r="BW440" s="2"/>
      <c r="BX440" s="2"/>
      <c r="BY440" s="2">
        <v>18437.759999999998</v>
      </c>
      <c r="BZ440" s="2" t="s">
        <v>27</v>
      </c>
      <c r="CA440" s="2"/>
      <c r="CB440" s="2"/>
      <c r="CC440" s="2" t="s">
        <v>99</v>
      </c>
      <c r="CD440" s="2">
        <v>6001</v>
      </c>
      <c r="CE440" s="2" t="s">
        <v>826</v>
      </c>
      <c r="CF440" s="5">
        <v>42649</v>
      </c>
      <c r="CG440" s="2"/>
      <c r="CH440" s="2"/>
      <c r="CI440" s="2">
        <v>1</v>
      </c>
      <c r="CJ440" s="2">
        <v>1</v>
      </c>
      <c r="CK440" s="2">
        <v>21</v>
      </c>
      <c r="CL440" s="2" t="s">
        <v>88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"FES1162504627"</f>
        <v>FES1162504627</v>
      </c>
      <c r="F441" s="3">
        <v>42648</v>
      </c>
      <c r="G441" s="2">
        <v>201704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269</v>
      </c>
      <c r="M441" s="2" t="s">
        <v>270</v>
      </c>
      <c r="N441" s="2" t="s">
        <v>284</v>
      </c>
      <c r="O441" s="2" t="s">
        <v>96</v>
      </c>
      <c r="P441" s="2" t="str">
        <f>"2170528289                    "</f>
        <v xml:space="preserve">2170528289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3.32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1</v>
      </c>
      <c r="BJ441" s="2">
        <v>0.2</v>
      </c>
      <c r="BK441" s="2">
        <v>1</v>
      </c>
      <c r="BL441" s="2">
        <v>40.76</v>
      </c>
      <c r="BM441" s="2">
        <v>5.71</v>
      </c>
      <c r="BN441" s="2">
        <v>46.47</v>
      </c>
      <c r="BO441" s="2">
        <v>46.47</v>
      </c>
      <c r="BP441" s="2"/>
      <c r="BQ441" s="2" t="s">
        <v>117</v>
      </c>
      <c r="BR441" s="2" t="s">
        <v>83</v>
      </c>
      <c r="BS441" s="3">
        <v>42649</v>
      </c>
      <c r="BT441" s="4">
        <v>0.40138888888888885</v>
      </c>
      <c r="BU441" s="2" t="s">
        <v>576</v>
      </c>
      <c r="BV441" s="2" t="s">
        <v>85</v>
      </c>
      <c r="BW441" s="2"/>
      <c r="BX441" s="2"/>
      <c r="BY441" s="2">
        <v>1200</v>
      </c>
      <c r="BZ441" s="2" t="s">
        <v>27</v>
      </c>
      <c r="CA441" s="2"/>
      <c r="CB441" s="2"/>
      <c r="CC441" s="2" t="s">
        <v>270</v>
      </c>
      <c r="CD441" s="2">
        <v>3610</v>
      </c>
      <c r="CE441" s="2" t="s">
        <v>103</v>
      </c>
      <c r="CF441" s="5">
        <v>42649</v>
      </c>
      <c r="CG441" s="2"/>
      <c r="CH441" s="2"/>
      <c r="CI441" s="2">
        <v>1</v>
      </c>
      <c r="CJ441" s="2">
        <v>1</v>
      </c>
      <c r="CK441" s="2">
        <v>21</v>
      </c>
      <c r="CL441" s="2" t="s">
        <v>88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"FES1162504601"</f>
        <v>FES1162504601</v>
      </c>
      <c r="F442" s="3">
        <v>42648</v>
      </c>
      <c r="G442" s="2">
        <v>201704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153</v>
      </c>
      <c r="M442" s="2" t="s">
        <v>153</v>
      </c>
      <c r="N442" s="2" t="s">
        <v>343</v>
      </c>
      <c r="O442" s="2" t="s">
        <v>96</v>
      </c>
      <c r="P442" s="2" t="str">
        <f>"2170526870                    "</f>
        <v xml:space="preserve">2170526870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3.32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40.76</v>
      </c>
      <c r="BM442" s="2">
        <v>5.71</v>
      </c>
      <c r="BN442" s="2">
        <v>46.47</v>
      </c>
      <c r="BO442" s="2">
        <v>46.47</v>
      </c>
      <c r="BP442" s="2"/>
      <c r="BQ442" s="2" t="s">
        <v>344</v>
      </c>
      <c r="BR442" s="2" t="s">
        <v>83</v>
      </c>
      <c r="BS442" s="3">
        <v>42649</v>
      </c>
      <c r="BT442" s="4">
        <v>0.49305555555555558</v>
      </c>
      <c r="BU442" s="2" t="s">
        <v>720</v>
      </c>
      <c r="BV442" s="2" t="s">
        <v>85</v>
      </c>
      <c r="BW442" s="2"/>
      <c r="BX442" s="2"/>
      <c r="BY442" s="2">
        <v>1200</v>
      </c>
      <c r="BZ442" s="2" t="s">
        <v>27</v>
      </c>
      <c r="CA442" s="2"/>
      <c r="CB442" s="2"/>
      <c r="CC442" s="2" t="s">
        <v>153</v>
      </c>
      <c r="CD442" s="2">
        <v>7646</v>
      </c>
      <c r="CE442" s="2" t="s">
        <v>103</v>
      </c>
      <c r="CF442" s="5">
        <v>42650</v>
      </c>
      <c r="CG442" s="2"/>
      <c r="CH442" s="2"/>
      <c r="CI442" s="2">
        <v>1</v>
      </c>
      <c r="CJ442" s="2">
        <v>1</v>
      </c>
      <c r="CK442" s="2">
        <v>21</v>
      </c>
      <c r="CL442" s="2" t="s">
        <v>88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"FES1162504356"</f>
        <v>FES1162504356</v>
      </c>
      <c r="F443" s="3">
        <v>42647</v>
      </c>
      <c r="G443" s="2">
        <v>201704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160</v>
      </c>
      <c r="M443" s="2" t="s">
        <v>161</v>
      </c>
      <c r="N443" s="2" t="s">
        <v>179</v>
      </c>
      <c r="O443" s="2" t="s">
        <v>96</v>
      </c>
      <c r="P443" s="2" t="str">
        <f>"2170528066                    "</f>
        <v xml:space="preserve">2170528066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3.03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1.2</v>
      </c>
      <c r="BJ443" s="2">
        <v>0.2</v>
      </c>
      <c r="BK443" s="2">
        <v>1.5</v>
      </c>
      <c r="BL443" s="2">
        <v>40.47</v>
      </c>
      <c r="BM443" s="2">
        <v>5.67</v>
      </c>
      <c r="BN443" s="2">
        <v>46.14</v>
      </c>
      <c r="BO443" s="2">
        <v>46.14</v>
      </c>
      <c r="BP443" s="2"/>
      <c r="BQ443" s="2" t="s">
        <v>180</v>
      </c>
      <c r="BR443" s="2" t="s">
        <v>83</v>
      </c>
      <c r="BS443" s="3">
        <v>42648</v>
      </c>
      <c r="BT443" s="4">
        <v>0.41666666666666669</v>
      </c>
      <c r="BU443" s="2" t="s">
        <v>835</v>
      </c>
      <c r="BV443" s="2" t="s">
        <v>85</v>
      </c>
      <c r="BW443" s="2"/>
      <c r="BX443" s="2"/>
      <c r="BY443" s="2">
        <v>1200</v>
      </c>
      <c r="BZ443" s="2" t="s">
        <v>27</v>
      </c>
      <c r="CA443" s="2" t="s">
        <v>129</v>
      </c>
      <c r="CB443" s="2"/>
      <c r="CC443" s="2" t="s">
        <v>161</v>
      </c>
      <c r="CD443" s="2">
        <v>7405</v>
      </c>
      <c r="CE443" s="2" t="s">
        <v>103</v>
      </c>
      <c r="CF443" s="5">
        <v>42649</v>
      </c>
      <c r="CG443" s="2"/>
      <c r="CH443" s="2"/>
      <c r="CI443" s="2">
        <v>1</v>
      </c>
      <c r="CJ443" s="2">
        <v>1</v>
      </c>
      <c r="CK443" s="2">
        <v>21</v>
      </c>
      <c r="CL443" s="2" t="s">
        <v>88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"FES1162504228"</f>
        <v>FES1162504228</v>
      </c>
      <c r="F444" s="3">
        <v>42647</v>
      </c>
      <c r="G444" s="2">
        <v>201704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153</v>
      </c>
      <c r="M444" s="2" t="s">
        <v>153</v>
      </c>
      <c r="N444" s="2" t="s">
        <v>200</v>
      </c>
      <c r="O444" s="2" t="s">
        <v>96</v>
      </c>
      <c r="P444" s="2" t="str">
        <f>"2170526156                    "</f>
        <v xml:space="preserve">2170526156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3.79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2</v>
      </c>
      <c r="BJ444" s="2">
        <v>2.2000000000000002</v>
      </c>
      <c r="BK444" s="2">
        <v>2.5</v>
      </c>
      <c r="BL444" s="2">
        <v>50.59</v>
      </c>
      <c r="BM444" s="2">
        <v>7.08</v>
      </c>
      <c r="BN444" s="2">
        <v>57.67</v>
      </c>
      <c r="BO444" s="2">
        <v>57.67</v>
      </c>
      <c r="BP444" s="2"/>
      <c r="BQ444" s="2" t="s">
        <v>201</v>
      </c>
      <c r="BR444" s="2" t="s">
        <v>83</v>
      </c>
      <c r="BS444" s="3">
        <v>42648</v>
      </c>
      <c r="BT444" s="4">
        <v>0.48541666666666666</v>
      </c>
      <c r="BU444" s="2" t="s">
        <v>818</v>
      </c>
      <c r="BV444" s="2" t="s">
        <v>85</v>
      </c>
      <c r="BW444" s="2"/>
      <c r="BX444" s="2"/>
      <c r="BY444" s="2">
        <v>10837.13</v>
      </c>
      <c r="BZ444" s="2" t="s">
        <v>27</v>
      </c>
      <c r="CA444" s="2" t="s">
        <v>129</v>
      </c>
      <c r="CB444" s="2"/>
      <c r="CC444" s="2" t="s">
        <v>153</v>
      </c>
      <c r="CD444" s="2">
        <v>7646</v>
      </c>
      <c r="CE444" s="2" t="s">
        <v>836</v>
      </c>
      <c r="CF444" s="5">
        <v>42649</v>
      </c>
      <c r="CG444" s="2"/>
      <c r="CH444" s="2"/>
      <c r="CI444" s="2">
        <v>1</v>
      </c>
      <c r="CJ444" s="2">
        <v>1</v>
      </c>
      <c r="CK444" s="2">
        <v>21</v>
      </c>
      <c r="CL444" s="2" t="s">
        <v>88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"FES1162504593"</f>
        <v>FES1162504593</v>
      </c>
      <c r="F445" s="3">
        <v>42648</v>
      </c>
      <c r="G445" s="2">
        <v>201704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510</v>
      </c>
      <c r="M445" s="2" t="s">
        <v>511</v>
      </c>
      <c r="N445" s="2" t="s">
        <v>512</v>
      </c>
      <c r="O445" s="2" t="s">
        <v>96</v>
      </c>
      <c r="P445" s="2" t="str">
        <f>"2170526254                    "</f>
        <v xml:space="preserve">2170526254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3.32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1</v>
      </c>
      <c r="BJ445" s="2">
        <v>0.2</v>
      </c>
      <c r="BK445" s="2">
        <v>1</v>
      </c>
      <c r="BL445" s="2">
        <v>40.76</v>
      </c>
      <c r="BM445" s="2">
        <v>5.71</v>
      </c>
      <c r="BN445" s="2">
        <v>46.47</v>
      </c>
      <c r="BO445" s="2">
        <v>46.47</v>
      </c>
      <c r="BP445" s="2"/>
      <c r="BQ445" s="2" t="s">
        <v>117</v>
      </c>
      <c r="BR445" s="2" t="s">
        <v>83</v>
      </c>
      <c r="BS445" s="3">
        <v>42649</v>
      </c>
      <c r="BT445" s="4">
        <v>0.40625</v>
      </c>
      <c r="BU445" s="2" t="s">
        <v>819</v>
      </c>
      <c r="BV445" s="2" t="s">
        <v>85</v>
      </c>
      <c r="BW445" s="2"/>
      <c r="BX445" s="2"/>
      <c r="BY445" s="2">
        <v>1200</v>
      </c>
      <c r="BZ445" s="2" t="s">
        <v>27</v>
      </c>
      <c r="CA445" s="2" t="s">
        <v>129</v>
      </c>
      <c r="CB445" s="2"/>
      <c r="CC445" s="2" t="s">
        <v>511</v>
      </c>
      <c r="CD445" s="2">
        <v>3291</v>
      </c>
      <c r="CE445" s="2" t="s">
        <v>103</v>
      </c>
      <c r="CF445" s="5">
        <v>42650</v>
      </c>
      <c r="CG445" s="2"/>
      <c r="CH445" s="2"/>
      <c r="CI445" s="2">
        <v>1</v>
      </c>
      <c r="CJ445" s="2">
        <v>1</v>
      </c>
      <c r="CK445" s="2">
        <v>21</v>
      </c>
      <c r="CL445" s="2" t="s">
        <v>88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"FES1162504662"</f>
        <v>FES1162504662</v>
      </c>
      <c r="F446" s="3">
        <v>42648</v>
      </c>
      <c r="G446" s="2">
        <v>201704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160</v>
      </c>
      <c r="M446" s="2" t="s">
        <v>161</v>
      </c>
      <c r="N446" s="2" t="s">
        <v>622</v>
      </c>
      <c r="O446" s="2" t="s">
        <v>96</v>
      </c>
      <c r="P446" s="2" t="str">
        <f>"2170528314                    "</f>
        <v xml:space="preserve">2170528314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3.32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</v>
      </c>
      <c r="BJ446" s="2">
        <v>0.2</v>
      </c>
      <c r="BK446" s="2">
        <v>1</v>
      </c>
      <c r="BL446" s="2">
        <v>40.76</v>
      </c>
      <c r="BM446" s="2">
        <v>5.71</v>
      </c>
      <c r="BN446" s="2">
        <v>46.47</v>
      </c>
      <c r="BO446" s="2">
        <v>46.47</v>
      </c>
      <c r="BP446" s="2"/>
      <c r="BQ446" s="2" t="s">
        <v>623</v>
      </c>
      <c r="BR446" s="2" t="s">
        <v>83</v>
      </c>
      <c r="BS446" s="3">
        <v>42649</v>
      </c>
      <c r="BT446" s="4">
        <v>0.44444444444444442</v>
      </c>
      <c r="BU446" s="2" t="s">
        <v>624</v>
      </c>
      <c r="BV446" s="2" t="s">
        <v>85</v>
      </c>
      <c r="BW446" s="2"/>
      <c r="BX446" s="2"/>
      <c r="BY446" s="2">
        <v>1200</v>
      </c>
      <c r="BZ446" s="2" t="s">
        <v>27</v>
      </c>
      <c r="CA446" s="2"/>
      <c r="CB446" s="2"/>
      <c r="CC446" s="2" t="s">
        <v>161</v>
      </c>
      <c r="CD446" s="2">
        <v>7490</v>
      </c>
      <c r="CE446" s="2" t="s">
        <v>103</v>
      </c>
      <c r="CF446" s="5">
        <v>42650</v>
      </c>
      <c r="CG446" s="2"/>
      <c r="CH446" s="2"/>
      <c r="CI446" s="2">
        <v>1</v>
      </c>
      <c r="CJ446" s="2">
        <v>1</v>
      </c>
      <c r="CK446" s="2">
        <v>21</v>
      </c>
      <c r="CL446" s="2" t="s">
        <v>88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"FES1162504291"</f>
        <v>FES1162504291</v>
      </c>
      <c r="F447" s="3">
        <v>42647</v>
      </c>
      <c r="G447" s="2">
        <v>201704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124</v>
      </c>
      <c r="M447" s="2" t="s">
        <v>125</v>
      </c>
      <c r="N447" s="2" t="s">
        <v>641</v>
      </c>
      <c r="O447" s="2" t="s">
        <v>96</v>
      </c>
      <c r="P447" s="2" t="str">
        <f>"2170527358                    "</f>
        <v xml:space="preserve">2170527358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3.03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</v>
      </c>
      <c r="BJ447" s="2">
        <v>0.2</v>
      </c>
      <c r="BK447" s="2">
        <v>1</v>
      </c>
      <c r="BL447" s="2">
        <v>40.47</v>
      </c>
      <c r="BM447" s="2">
        <v>5.67</v>
      </c>
      <c r="BN447" s="2">
        <v>46.14</v>
      </c>
      <c r="BO447" s="2">
        <v>46.14</v>
      </c>
      <c r="BP447" s="2"/>
      <c r="BQ447" s="2" t="s">
        <v>168</v>
      </c>
      <c r="BR447" s="2" t="s">
        <v>83</v>
      </c>
      <c r="BS447" s="3">
        <v>42648</v>
      </c>
      <c r="BT447" s="4">
        <v>0.3888888888888889</v>
      </c>
      <c r="BU447" s="2" t="s">
        <v>837</v>
      </c>
      <c r="BV447" s="2" t="s">
        <v>85</v>
      </c>
      <c r="BW447" s="2"/>
      <c r="BX447" s="2"/>
      <c r="BY447" s="2">
        <v>1200</v>
      </c>
      <c r="BZ447" s="2" t="s">
        <v>27</v>
      </c>
      <c r="CA447" s="2"/>
      <c r="CB447" s="2"/>
      <c r="CC447" s="2" t="s">
        <v>125</v>
      </c>
      <c r="CD447" s="2">
        <v>7140</v>
      </c>
      <c r="CE447" s="2" t="s">
        <v>103</v>
      </c>
      <c r="CF447" s="5">
        <v>42649</v>
      </c>
      <c r="CG447" s="2"/>
      <c r="CH447" s="2"/>
      <c r="CI447" s="2">
        <v>1</v>
      </c>
      <c r="CJ447" s="2">
        <v>1</v>
      </c>
      <c r="CK447" s="2">
        <v>21</v>
      </c>
      <c r="CL447" s="2" t="s">
        <v>88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"FES1162504381"</f>
        <v>FES1162504381</v>
      </c>
      <c r="F448" s="3">
        <v>42647</v>
      </c>
      <c r="G448" s="2">
        <v>201704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160</v>
      </c>
      <c r="M448" s="2" t="s">
        <v>161</v>
      </c>
      <c r="N448" s="2" t="s">
        <v>774</v>
      </c>
      <c r="O448" s="2" t="s">
        <v>96</v>
      </c>
      <c r="P448" s="2" t="str">
        <f>"2170528095                    "</f>
        <v xml:space="preserve">2170528095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3.03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1</v>
      </c>
      <c r="BJ448" s="2">
        <v>0.8</v>
      </c>
      <c r="BK448" s="2">
        <v>1</v>
      </c>
      <c r="BL448" s="2">
        <v>40.47</v>
      </c>
      <c r="BM448" s="2">
        <v>5.67</v>
      </c>
      <c r="BN448" s="2">
        <v>46.14</v>
      </c>
      <c r="BO448" s="2">
        <v>46.14</v>
      </c>
      <c r="BP448" s="2"/>
      <c r="BQ448" s="2" t="s">
        <v>91</v>
      </c>
      <c r="BR448" s="2" t="s">
        <v>83</v>
      </c>
      <c r="BS448" s="3">
        <v>42648</v>
      </c>
      <c r="BT448" s="4">
        <v>0.38194444444444442</v>
      </c>
      <c r="BU448" s="2" t="s">
        <v>795</v>
      </c>
      <c r="BV448" s="2"/>
      <c r="BW448" s="2"/>
      <c r="BX448" s="2"/>
      <c r="BY448" s="2">
        <v>3840.88</v>
      </c>
      <c r="BZ448" s="2" t="s">
        <v>27</v>
      </c>
      <c r="CA448" s="2"/>
      <c r="CB448" s="2"/>
      <c r="CC448" s="2" t="s">
        <v>161</v>
      </c>
      <c r="CD448" s="2">
        <v>8001</v>
      </c>
      <c r="CE448" s="2" t="s">
        <v>782</v>
      </c>
      <c r="CF448" s="5">
        <v>42649</v>
      </c>
      <c r="CG448" s="2"/>
      <c r="CH448" s="2"/>
      <c r="CI448" s="2">
        <v>0</v>
      </c>
      <c r="CJ448" s="2">
        <v>0</v>
      </c>
      <c r="CK448" s="2">
        <v>21</v>
      </c>
      <c r="CL448" s="2" t="s">
        <v>88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"FES1162504690"</f>
        <v>FES1162504690</v>
      </c>
      <c r="F449" s="3">
        <v>42648</v>
      </c>
      <c r="G449" s="2">
        <v>201704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156</v>
      </c>
      <c r="M449" s="2" t="s">
        <v>157</v>
      </c>
      <c r="N449" s="2" t="s">
        <v>507</v>
      </c>
      <c r="O449" s="2" t="s">
        <v>96</v>
      </c>
      <c r="P449" s="2" t="str">
        <f>"2170528346                    "</f>
        <v xml:space="preserve">2170528346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3.32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1</v>
      </c>
      <c r="BJ449" s="2">
        <v>0.2</v>
      </c>
      <c r="BK449" s="2">
        <v>1</v>
      </c>
      <c r="BL449" s="2">
        <v>40.76</v>
      </c>
      <c r="BM449" s="2">
        <v>5.71</v>
      </c>
      <c r="BN449" s="2">
        <v>46.47</v>
      </c>
      <c r="BO449" s="2">
        <v>46.47</v>
      </c>
      <c r="BP449" s="2"/>
      <c r="BQ449" s="2" t="s">
        <v>508</v>
      </c>
      <c r="BR449" s="2" t="s">
        <v>83</v>
      </c>
      <c r="BS449" s="3">
        <v>42649</v>
      </c>
      <c r="BT449" s="4">
        <v>0.40277777777777773</v>
      </c>
      <c r="BU449" s="2" t="s">
        <v>181</v>
      </c>
      <c r="BV449" s="2" t="s">
        <v>85</v>
      </c>
      <c r="BW449" s="2"/>
      <c r="BX449" s="2"/>
      <c r="BY449" s="2">
        <v>1200</v>
      </c>
      <c r="BZ449" s="2" t="s">
        <v>27</v>
      </c>
      <c r="CA449" s="2"/>
      <c r="CB449" s="2"/>
      <c r="CC449" s="2" t="s">
        <v>157</v>
      </c>
      <c r="CD449" s="2">
        <v>7130</v>
      </c>
      <c r="CE449" s="2" t="s">
        <v>103</v>
      </c>
      <c r="CF449" s="5">
        <v>42650</v>
      </c>
      <c r="CG449" s="2"/>
      <c r="CH449" s="2"/>
      <c r="CI449" s="2">
        <v>1</v>
      </c>
      <c r="CJ449" s="2">
        <v>1</v>
      </c>
      <c r="CK449" s="2">
        <v>21</v>
      </c>
      <c r="CL449" s="2" t="s">
        <v>88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"FES1162504687"</f>
        <v>FES1162504687</v>
      </c>
      <c r="F450" s="3">
        <v>42648</v>
      </c>
      <c r="G450" s="2">
        <v>201704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153</v>
      </c>
      <c r="M450" s="2" t="s">
        <v>153</v>
      </c>
      <c r="N450" s="2" t="s">
        <v>838</v>
      </c>
      <c r="O450" s="2" t="s">
        <v>96</v>
      </c>
      <c r="P450" s="2" t="str">
        <f>"2170528341                    "</f>
        <v xml:space="preserve">2170528341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3.32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1</v>
      </c>
      <c r="BJ450" s="2">
        <v>0.2</v>
      </c>
      <c r="BK450" s="2">
        <v>1</v>
      </c>
      <c r="BL450" s="2">
        <v>40.76</v>
      </c>
      <c r="BM450" s="2">
        <v>5.71</v>
      </c>
      <c r="BN450" s="2">
        <v>46.47</v>
      </c>
      <c r="BO450" s="2">
        <v>46.47</v>
      </c>
      <c r="BP450" s="2"/>
      <c r="BQ450" s="2"/>
      <c r="BR450" s="2" t="s">
        <v>83</v>
      </c>
      <c r="BS450" s="3">
        <v>42649</v>
      </c>
      <c r="BT450" s="4">
        <v>0.50694444444444442</v>
      </c>
      <c r="BU450" s="2" t="s">
        <v>839</v>
      </c>
      <c r="BV450" s="2" t="s">
        <v>85</v>
      </c>
      <c r="BW450" s="2"/>
      <c r="BX450" s="2"/>
      <c r="BY450" s="2">
        <v>1200</v>
      </c>
      <c r="BZ450" s="2" t="s">
        <v>27</v>
      </c>
      <c r="CA450" s="2"/>
      <c r="CB450" s="2"/>
      <c r="CC450" s="2" t="s">
        <v>153</v>
      </c>
      <c r="CD450" s="2">
        <v>7620</v>
      </c>
      <c r="CE450" s="2" t="s">
        <v>103</v>
      </c>
      <c r="CF450" s="5">
        <v>42650</v>
      </c>
      <c r="CG450" s="2"/>
      <c r="CH450" s="2"/>
      <c r="CI450" s="2">
        <v>1</v>
      </c>
      <c r="CJ450" s="2">
        <v>1</v>
      </c>
      <c r="CK450" s="2">
        <v>21</v>
      </c>
      <c r="CL450" s="2" t="s">
        <v>88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"FES1162504533"</f>
        <v>FES1162504533</v>
      </c>
      <c r="F451" s="3">
        <v>42647</v>
      </c>
      <c r="G451" s="2">
        <v>201704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840</v>
      </c>
      <c r="M451" s="2" t="s">
        <v>841</v>
      </c>
      <c r="N451" s="2" t="s">
        <v>842</v>
      </c>
      <c r="O451" s="2" t="s">
        <v>96</v>
      </c>
      <c r="P451" s="2" t="str">
        <f>"2170528230                    "</f>
        <v xml:space="preserve">2170528230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3.03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1</v>
      </c>
      <c r="BJ451" s="2">
        <v>0.2</v>
      </c>
      <c r="BK451" s="2">
        <v>1</v>
      </c>
      <c r="BL451" s="2">
        <v>40.47</v>
      </c>
      <c r="BM451" s="2">
        <v>5.67</v>
      </c>
      <c r="BN451" s="2">
        <v>46.14</v>
      </c>
      <c r="BO451" s="2">
        <v>46.14</v>
      </c>
      <c r="BP451" s="2"/>
      <c r="BQ451" s="2" t="s">
        <v>843</v>
      </c>
      <c r="BR451" s="2" t="s">
        <v>83</v>
      </c>
      <c r="BS451" s="3">
        <v>42649</v>
      </c>
      <c r="BT451" s="4">
        <v>0.41666666666666669</v>
      </c>
      <c r="BU451" s="2" t="s">
        <v>844</v>
      </c>
      <c r="BV451" s="2" t="s">
        <v>85</v>
      </c>
      <c r="BW451" s="2"/>
      <c r="BX451" s="2"/>
      <c r="BY451" s="2">
        <v>1200</v>
      </c>
      <c r="BZ451" s="2" t="s">
        <v>27</v>
      </c>
      <c r="CA451" s="2"/>
      <c r="CB451" s="2"/>
      <c r="CC451" s="2" t="s">
        <v>841</v>
      </c>
      <c r="CD451" s="2">
        <v>6740</v>
      </c>
      <c r="CE451" s="2" t="s">
        <v>103</v>
      </c>
      <c r="CF451" s="5">
        <v>42653</v>
      </c>
      <c r="CG451" s="2"/>
      <c r="CH451" s="2"/>
      <c r="CI451" s="2">
        <v>3</v>
      </c>
      <c r="CJ451" s="2">
        <v>2</v>
      </c>
      <c r="CK451" s="2">
        <v>21</v>
      </c>
      <c r="CL451" s="2" t="s">
        <v>88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"FES1162504376"</f>
        <v>FES1162504376</v>
      </c>
      <c r="F452" s="3">
        <v>42647</v>
      </c>
      <c r="G452" s="2">
        <v>201704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78</v>
      </c>
      <c r="M452" s="2" t="s">
        <v>79</v>
      </c>
      <c r="N452" s="2" t="s">
        <v>845</v>
      </c>
      <c r="O452" s="2" t="s">
        <v>96</v>
      </c>
      <c r="P452" s="2" t="str">
        <f>"2170528091                    "</f>
        <v xml:space="preserve">2170528091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3.03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1</v>
      </c>
      <c r="BJ452" s="2">
        <v>0.2</v>
      </c>
      <c r="BK452" s="2">
        <v>1</v>
      </c>
      <c r="BL452" s="2">
        <v>40.47</v>
      </c>
      <c r="BM452" s="2">
        <v>5.67</v>
      </c>
      <c r="BN452" s="2">
        <v>46.14</v>
      </c>
      <c r="BO452" s="2">
        <v>46.14</v>
      </c>
      <c r="BP452" s="2"/>
      <c r="BQ452" s="2" t="s">
        <v>91</v>
      </c>
      <c r="BR452" s="2" t="s">
        <v>83</v>
      </c>
      <c r="BS452" s="3">
        <v>42648</v>
      </c>
      <c r="BT452" s="4">
        <v>0.41666666666666669</v>
      </c>
      <c r="BU452" s="2" t="s">
        <v>846</v>
      </c>
      <c r="BV452" s="2" t="s">
        <v>85</v>
      </c>
      <c r="BW452" s="2"/>
      <c r="BX452" s="2"/>
      <c r="BY452" s="2">
        <v>1200</v>
      </c>
      <c r="BZ452" s="2" t="s">
        <v>27</v>
      </c>
      <c r="CA452" s="2"/>
      <c r="CB452" s="2"/>
      <c r="CC452" s="2" t="s">
        <v>79</v>
      </c>
      <c r="CD452" s="2">
        <v>1939</v>
      </c>
      <c r="CE452" s="2" t="s">
        <v>782</v>
      </c>
      <c r="CF452" s="5">
        <v>42650</v>
      </c>
      <c r="CG452" s="2"/>
      <c r="CH452" s="2"/>
      <c r="CI452" s="2">
        <v>1</v>
      </c>
      <c r="CJ452" s="2">
        <v>1</v>
      </c>
      <c r="CK452" s="2">
        <v>21</v>
      </c>
      <c r="CL452" s="2" t="s">
        <v>88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"FES1162504660"</f>
        <v>FES1162504660</v>
      </c>
      <c r="F453" s="3">
        <v>42648</v>
      </c>
      <c r="G453" s="2">
        <v>201704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160</v>
      </c>
      <c r="M453" s="2" t="s">
        <v>161</v>
      </c>
      <c r="N453" s="2" t="s">
        <v>734</v>
      </c>
      <c r="O453" s="2" t="s">
        <v>96</v>
      </c>
      <c r="P453" s="2" t="str">
        <f>"2170528311                    "</f>
        <v xml:space="preserve">2170528311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3.32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1</v>
      </c>
      <c r="BJ453" s="2">
        <v>0.2</v>
      </c>
      <c r="BK453" s="2">
        <v>1</v>
      </c>
      <c r="BL453" s="2">
        <v>40.76</v>
      </c>
      <c r="BM453" s="2">
        <v>5.71</v>
      </c>
      <c r="BN453" s="2">
        <v>46.47</v>
      </c>
      <c r="BO453" s="2">
        <v>46.47</v>
      </c>
      <c r="BP453" s="2"/>
      <c r="BQ453" s="2" t="s">
        <v>91</v>
      </c>
      <c r="BR453" s="2" t="s">
        <v>83</v>
      </c>
      <c r="BS453" s="3">
        <v>42649</v>
      </c>
      <c r="BT453" s="4">
        <v>0.41666666666666669</v>
      </c>
      <c r="BU453" s="2" t="s">
        <v>735</v>
      </c>
      <c r="BV453" s="2" t="s">
        <v>85</v>
      </c>
      <c r="BW453" s="2"/>
      <c r="BX453" s="2"/>
      <c r="BY453" s="2">
        <v>1200</v>
      </c>
      <c r="BZ453" s="2" t="s">
        <v>27</v>
      </c>
      <c r="CA453" s="2"/>
      <c r="CB453" s="2"/>
      <c r="CC453" s="2" t="s">
        <v>161</v>
      </c>
      <c r="CD453" s="2">
        <v>7405</v>
      </c>
      <c r="CE453" s="2" t="s">
        <v>103</v>
      </c>
      <c r="CF453" s="5">
        <v>42650</v>
      </c>
      <c r="CG453" s="2"/>
      <c r="CH453" s="2"/>
      <c r="CI453" s="2">
        <v>1</v>
      </c>
      <c r="CJ453" s="2">
        <v>1</v>
      </c>
      <c r="CK453" s="2">
        <v>21</v>
      </c>
      <c r="CL453" s="2" t="s">
        <v>88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"FES1162504646"</f>
        <v>FES1162504646</v>
      </c>
      <c r="F454" s="3">
        <v>42648</v>
      </c>
      <c r="G454" s="2">
        <v>201704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124</v>
      </c>
      <c r="M454" s="2" t="s">
        <v>125</v>
      </c>
      <c r="N454" s="2" t="s">
        <v>126</v>
      </c>
      <c r="O454" s="2" t="s">
        <v>96</v>
      </c>
      <c r="P454" s="2" t="str">
        <f>"2170528298                    "</f>
        <v xml:space="preserve">2170528298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3.32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</v>
      </c>
      <c r="BJ454" s="2">
        <v>0.2</v>
      </c>
      <c r="BK454" s="2">
        <v>1</v>
      </c>
      <c r="BL454" s="2">
        <v>40.76</v>
      </c>
      <c r="BM454" s="2">
        <v>5.71</v>
      </c>
      <c r="BN454" s="2">
        <v>46.47</v>
      </c>
      <c r="BO454" s="2">
        <v>46.47</v>
      </c>
      <c r="BP454" s="2"/>
      <c r="BQ454" s="2" t="s">
        <v>127</v>
      </c>
      <c r="BR454" s="2" t="s">
        <v>83</v>
      </c>
      <c r="BS454" s="3">
        <v>42649</v>
      </c>
      <c r="BT454" s="4">
        <v>0.53472222222222221</v>
      </c>
      <c r="BU454" s="2" t="s">
        <v>847</v>
      </c>
      <c r="BV454" s="2" t="s">
        <v>85</v>
      </c>
      <c r="BW454" s="2"/>
      <c r="BX454" s="2"/>
      <c r="BY454" s="2">
        <v>1200</v>
      </c>
      <c r="BZ454" s="2" t="s">
        <v>27</v>
      </c>
      <c r="CA454" s="2"/>
      <c r="CB454" s="2"/>
      <c r="CC454" s="2" t="s">
        <v>125</v>
      </c>
      <c r="CD454" s="2">
        <v>7140</v>
      </c>
      <c r="CE454" s="2" t="s">
        <v>103</v>
      </c>
      <c r="CF454" s="5">
        <v>42650</v>
      </c>
      <c r="CG454" s="2"/>
      <c r="CH454" s="2"/>
      <c r="CI454" s="2">
        <v>1</v>
      </c>
      <c r="CJ454" s="2">
        <v>1</v>
      </c>
      <c r="CK454" s="2">
        <v>21</v>
      </c>
      <c r="CL454" s="2" t="s">
        <v>88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"FES1162504323"</f>
        <v>FES1162504323</v>
      </c>
      <c r="F455" s="3">
        <v>42647</v>
      </c>
      <c r="G455" s="2">
        <v>201704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160</v>
      </c>
      <c r="M455" s="2" t="s">
        <v>161</v>
      </c>
      <c r="N455" s="2" t="s">
        <v>279</v>
      </c>
      <c r="O455" s="2" t="s">
        <v>96</v>
      </c>
      <c r="P455" s="2" t="str">
        <f>"2170528022                    "</f>
        <v xml:space="preserve">2170528022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3.03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40.47</v>
      </c>
      <c r="BM455" s="2">
        <v>5.67</v>
      </c>
      <c r="BN455" s="2">
        <v>46.14</v>
      </c>
      <c r="BO455" s="2">
        <v>46.14</v>
      </c>
      <c r="BP455" s="2"/>
      <c r="BQ455" s="2" t="s">
        <v>280</v>
      </c>
      <c r="BR455" s="2" t="s">
        <v>83</v>
      </c>
      <c r="BS455" s="3">
        <v>42648</v>
      </c>
      <c r="BT455" s="4">
        <v>0.37152777777777773</v>
      </c>
      <c r="BU455" s="2" t="s">
        <v>848</v>
      </c>
      <c r="BV455" s="2" t="s">
        <v>85</v>
      </c>
      <c r="BW455" s="2"/>
      <c r="BX455" s="2"/>
      <c r="BY455" s="2">
        <v>1200</v>
      </c>
      <c r="BZ455" s="2" t="s">
        <v>27</v>
      </c>
      <c r="CA455" s="2" t="s">
        <v>129</v>
      </c>
      <c r="CB455" s="2"/>
      <c r="CC455" s="2" t="s">
        <v>161</v>
      </c>
      <c r="CD455" s="2">
        <v>7441</v>
      </c>
      <c r="CE455" s="2" t="s">
        <v>103</v>
      </c>
      <c r="CF455" s="5">
        <v>42649</v>
      </c>
      <c r="CG455" s="2"/>
      <c r="CH455" s="2"/>
      <c r="CI455" s="2">
        <v>1</v>
      </c>
      <c r="CJ455" s="2">
        <v>1</v>
      </c>
      <c r="CK455" s="2">
        <v>21</v>
      </c>
      <c r="CL455" s="2" t="s">
        <v>88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"FES1162504276"</f>
        <v>FES1162504276</v>
      </c>
      <c r="F456" s="3">
        <v>42647</v>
      </c>
      <c r="G456" s="2">
        <v>201704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137</v>
      </c>
      <c r="M456" s="2" t="s">
        <v>138</v>
      </c>
      <c r="N456" s="2" t="s">
        <v>849</v>
      </c>
      <c r="O456" s="2" t="s">
        <v>96</v>
      </c>
      <c r="P456" s="2" t="str">
        <f>"2170527977                    "</f>
        <v xml:space="preserve">2170527977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3.03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1</v>
      </c>
      <c r="BJ456" s="2">
        <v>0.2</v>
      </c>
      <c r="BK456" s="2">
        <v>1</v>
      </c>
      <c r="BL456" s="2">
        <v>40.47</v>
      </c>
      <c r="BM456" s="2">
        <v>5.67</v>
      </c>
      <c r="BN456" s="2">
        <v>46.14</v>
      </c>
      <c r="BO456" s="2">
        <v>46.14</v>
      </c>
      <c r="BP456" s="2"/>
      <c r="BQ456" s="2" t="s">
        <v>850</v>
      </c>
      <c r="BR456" s="2" t="s">
        <v>83</v>
      </c>
      <c r="BS456" s="3">
        <v>42648</v>
      </c>
      <c r="BT456" s="4">
        <v>0.44027777777777777</v>
      </c>
      <c r="BU456" s="2" t="s">
        <v>851</v>
      </c>
      <c r="BV456" s="2" t="s">
        <v>85</v>
      </c>
      <c r="BW456" s="2"/>
      <c r="BX456" s="2"/>
      <c r="BY456" s="2">
        <v>1200</v>
      </c>
      <c r="BZ456" s="2" t="s">
        <v>27</v>
      </c>
      <c r="CA456" s="2" t="s">
        <v>142</v>
      </c>
      <c r="CB456" s="2"/>
      <c r="CC456" s="2" t="s">
        <v>138</v>
      </c>
      <c r="CD456" s="2">
        <v>3201</v>
      </c>
      <c r="CE456" s="2" t="s">
        <v>782</v>
      </c>
      <c r="CF456" s="5">
        <v>42648</v>
      </c>
      <c r="CG456" s="2"/>
      <c r="CH456" s="2"/>
      <c r="CI456" s="2">
        <v>1</v>
      </c>
      <c r="CJ456" s="2">
        <v>1</v>
      </c>
      <c r="CK456" s="2">
        <v>21</v>
      </c>
      <c r="CL456" s="2" t="s">
        <v>88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"FES1162504559"</f>
        <v>FES1162504559</v>
      </c>
      <c r="F457" s="3">
        <v>42648</v>
      </c>
      <c r="G457" s="2">
        <v>201704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93</v>
      </c>
      <c r="M457" s="2" t="s">
        <v>94</v>
      </c>
      <c r="N457" s="2" t="s">
        <v>536</v>
      </c>
      <c r="O457" s="2" t="s">
        <v>96</v>
      </c>
      <c r="P457" s="2" t="str">
        <f>"2170521648                    "</f>
        <v xml:space="preserve">2170521648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3.32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1</v>
      </c>
      <c r="BJ457" s="2">
        <v>1.3</v>
      </c>
      <c r="BK457" s="2">
        <v>1.5</v>
      </c>
      <c r="BL457" s="2">
        <v>40.76</v>
      </c>
      <c r="BM457" s="2">
        <v>5.71</v>
      </c>
      <c r="BN457" s="2">
        <v>46.47</v>
      </c>
      <c r="BO457" s="2">
        <v>46.47</v>
      </c>
      <c r="BP457" s="2"/>
      <c r="BQ457" s="2" t="s">
        <v>537</v>
      </c>
      <c r="BR457" s="2" t="s">
        <v>83</v>
      </c>
      <c r="BS457" s="3">
        <v>42649</v>
      </c>
      <c r="BT457" s="4">
        <v>0.33333333333333331</v>
      </c>
      <c r="BU457" s="2" t="s">
        <v>852</v>
      </c>
      <c r="BV457" s="2" t="s">
        <v>85</v>
      </c>
      <c r="BW457" s="2"/>
      <c r="BX457" s="2"/>
      <c r="BY457" s="2">
        <v>6492.13</v>
      </c>
      <c r="BZ457" s="2" t="s">
        <v>27</v>
      </c>
      <c r="CA457" s="2"/>
      <c r="CB457" s="2"/>
      <c r="CC457" s="2" t="s">
        <v>94</v>
      </c>
      <c r="CD457" s="2">
        <v>4300</v>
      </c>
      <c r="CE457" s="2" t="s">
        <v>257</v>
      </c>
      <c r="CF457" s="5">
        <v>42654</v>
      </c>
      <c r="CG457" s="2"/>
      <c r="CH457" s="2"/>
      <c r="CI457" s="2">
        <v>1</v>
      </c>
      <c r="CJ457" s="2">
        <v>1</v>
      </c>
      <c r="CK457" s="2">
        <v>21</v>
      </c>
      <c r="CL457" s="2" t="s">
        <v>88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"FES1162504566"</f>
        <v>FES1162504566</v>
      </c>
      <c r="F458" s="3">
        <v>42648</v>
      </c>
      <c r="G458" s="2">
        <v>201704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98</v>
      </c>
      <c r="M458" s="2" t="s">
        <v>99</v>
      </c>
      <c r="N458" s="2" t="s">
        <v>109</v>
      </c>
      <c r="O458" s="2" t="s">
        <v>96</v>
      </c>
      <c r="P458" s="2" t="str">
        <f>"2170524471                    "</f>
        <v xml:space="preserve">2170524471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29.85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7.3</v>
      </c>
      <c r="BJ458" s="2">
        <v>17.600000000000001</v>
      </c>
      <c r="BK458" s="2">
        <v>18</v>
      </c>
      <c r="BL458" s="2">
        <v>366.81</v>
      </c>
      <c r="BM458" s="2">
        <v>51.35</v>
      </c>
      <c r="BN458" s="2">
        <v>418.16</v>
      </c>
      <c r="BO458" s="2">
        <v>418.16</v>
      </c>
      <c r="BP458" s="2"/>
      <c r="BQ458" s="2" t="s">
        <v>110</v>
      </c>
      <c r="BR458" s="2" t="s">
        <v>83</v>
      </c>
      <c r="BS458" s="3">
        <v>42649</v>
      </c>
      <c r="BT458" s="4">
        <v>0.36458333333333331</v>
      </c>
      <c r="BU458" s="2" t="s">
        <v>629</v>
      </c>
      <c r="BV458" s="2" t="s">
        <v>85</v>
      </c>
      <c r="BW458" s="2"/>
      <c r="BX458" s="2"/>
      <c r="BY458" s="2">
        <v>88234.9</v>
      </c>
      <c r="BZ458" s="2" t="s">
        <v>27</v>
      </c>
      <c r="CA458" s="2"/>
      <c r="CB458" s="2"/>
      <c r="CC458" s="2" t="s">
        <v>99</v>
      </c>
      <c r="CD458" s="2">
        <v>6001</v>
      </c>
      <c r="CE458" s="2" t="s">
        <v>257</v>
      </c>
      <c r="CF458" s="5">
        <v>42650</v>
      </c>
      <c r="CG458" s="2"/>
      <c r="CH458" s="2"/>
      <c r="CI458" s="2">
        <v>1</v>
      </c>
      <c r="CJ458" s="2">
        <v>1</v>
      </c>
      <c r="CK458" s="2">
        <v>21</v>
      </c>
      <c r="CL458" s="2" t="s">
        <v>88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"FES1162504198"</f>
        <v>FES1162504198</v>
      </c>
      <c r="F459" s="3">
        <v>42647</v>
      </c>
      <c r="G459" s="2">
        <v>201704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160</v>
      </c>
      <c r="M459" s="2" t="s">
        <v>161</v>
      </c>
      <c r="N459" s="2" t="s">
        <v>619</v>
      </c>
      <c r="O459" s="2" t="s">
        <v>96</v>
      </c>
      <c r="P459" s="2" t="str">
        <f>"2170524729                    "</f>
        <v xml:space="preserve">2170524729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3.03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1</v>
      </c>
      <c r="BJ459" s="2">
        <v>0.2</v>
      </c>
      <c r="BK459" s="2">
        <v>1</v>
      </c>
      <c r="BL459" s="2">
        <v>40.47</v>
      </c>
      <c r="BM459" s="2">
        <v>5.67</v>
      </c>
      <c r="BN459" s="2">
        <v>46.14</v>
      </c>
      <c r="BO459" s="2">
        <v>46.14</v>
      </c>
      <c r="BP459" s="2"/>
      <c r="BQ459" s="2" t="s">
        <v>91</v>
      </c>
      <c r="BR459" s="2" t="s">
        <v>83</v>
      </c>
      <c r="BS459" s="3">
        <v>42648</v>
      </c>
      <c r="BT459" s="4">
        <v>0.36805555555555558</v>
      </c>
      <c r="BU459" s="2" t="s">
        <v>853</v>
      </c>
      <c r="BV459" s="2" t="s">
        <v>85</v>
      </c>
      <c r="BW459" s="2"/>
      <c r="BX459" s="2"/>
      <c r="BY459" s="2">
        <v>1200</v>
      </c>
      <c r="BZ459" s="2" t="s">
        <v>27</v>
      </c>
      <c r="CA459" s="2"/>
      <c r="CB459" s="2"/>
      <c r="CC459" s="2" t="s">
        <v>161</v>
      </c>
      <c r="CD459" s="2">
        <v>7499</v>
      </c>
      <c r="CE459" s="2" t="s">
        <v>103</v>
      </c>
      <c r="CF459" s="5">
        <v>42649</v>
      </c>
      <c r="CG459" s="2"/>
      <c r="CH459" s="2"/>
      <c r="CI459" s="2">
        <v>1</v>
      </c>
      <c r="CJ459" s="2">
        <v>1</v>
      </c>
      <c r="CK459" s="2">
        <v>21</v>
      </c>
      <c r="CL459" s="2" t="s">
        <v>88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"FES1162504160"</f>
        <v>FES1162504160</v>
      </c>
      <c r="F460" s="3">
        <v>42647</v>
      </c>
      <c r="G460" s="2">
        <v>201704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148</v>
      </c>
      <c r="M460" s="2" t="s">
        <v>149</v>
      </c>
      <c r="N460" s="2" t="s">
        <v>150</v>
      </c>
      <c r="O460" s="2" t="s">
        <v>96</v>
      </c>
      <c r="P460" s="2" t="str">
        <f>"2170527950                    "</f>
        <v xml:space="preserve">2170527950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3.03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0.2</v>
      </c>
      <c r="BK460" s="2">
        <v>1</v>
      </c>
      <c r="BL460" s="2">
        <v>40.47</v>
      </c>
      <c r="BM460" s="2">
        <v>5.67</v>
      </c>
      <c r="BN460" s="2">
        <v>46.14</v>
      </c>
      <c r="BO460" s="2">
        <v>46.14</v>
      </c>
      <c r="BP460" s="2"/>
      <c r="BQ460" s="2" t="s">
        <v>151</v>
      </c>
      <c r="BR460" s="2" t="s">
        <v>83</v>
      </c>
      <c r="BS460" s="3">
        <v>42648</v>
      </c>
      <c r="BT460" s="4">
        <v>0.36805555555555558</v>
      </c>
      <c r="BU460" s="2" t="s">
        <v>152</v>
      </c>
      <c r="BV460" s="2" t="s">
        <v>85</v>
      </c>
      <c r="BW460" s="2"/>
      <c r="BX460" s="2"/>
      <c r="BY460" s="2">
        <v>1200</v>
      </c>
      <c r="BZ460" s="2" t="s">
        <v>27</v>
      </c>
      <c r="CA460" s="2" t="s">
        <v>129</v>
      </c>
      <c r="CB460" s="2"/>
      <c r="CC460" s="2" t="s">
        <v>149</v>
      </c>
      <c r="CD460" s="2">
        <v>4052</v>
      </c>
      <c r="CE460" s="2" t="s">
        <v>782</v>
      </c>
      <c r="CF460" s="5">
        <v>42649</v>
      </c>
      <c r="CG460" s="2"/>
      <c r="CH460" s="2"/>
      <c r="CI460" s="2">
        <v>1</v>
      </c>
      <c r="CJ460" s="2">
        <v>1</v>
      </c>
      <c r="CK460" s="2">
        <v>21</v>
      </c>
      <c r="CL460" s="2" t="s">
        <v>88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"FES1162504738"</f>
        <v>FES1162504738</v>
      </c>
      <c r="F461" s="3">
        <v>42648</v>
      </c>
      <c r="G461" s="2">
        <v>201704</v>
      </c>
      <c r="H461" s="2" t="s">
        <v>74</v>
      </c>
      <c r="I461" s="2" t="s">
        <v>75</v>
      </c>
      <c r="J461" s="2" t="s">
        <v>76</v>
      </c>
      <c r="K461" s="2" t="s">
        <v>77</v>
      </c>
      <c r="L461" s="2" t="s">
        <v>269</v>
      </c>
      <c r="M461" s="2" t="s">
        <v>270</v>
      </c>
      <c r="N461" s="2" t="s">
        <v>854</v>
      </c>
      <c r="O461" s="2" t="s">
        <v>96</v>
      </c>
      <c r="P461" s="2" t="str">
        <f>"2170528276                    "</f>
        <v xml:space="preserve">2170528276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7.46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4.0999999999999996</v>
      </c>
      <c r="BJ461" s="2">
        <v>2.2999999999999998</v>
      </c>
      <c r="BK461" s="2">
        <v>4.5</v>
      </c>
      <c r="BL461" s="2">
        <v>91.7</v>
      </c>
      <c r="BM461" s="2">
        <v>12.84</v>
      </c>
      <c r="BN461" s="2">
        <v>104.54</v>
      </c>
      <c r="BO461" s="2">
        <v>104.54</v>
      </c>
      <c r="BP461" s="2"/>
      <c r="BQ461" s="2" t="s">
        <v>91</v>
      </c>
      <c r="BR461" s="2" t="s">
        <v>83</v>
      </c>
      <c r="BS461" s="3">
        <v>42649</v>
      </c>
      <c r="BT461" s="4">
        <v>0.38750000000000001</v>
      </c>
      <c r="BU461" s="2" t="s">
        <v>855</v>
      </c>
      <c r="BV461" s="2" t="s">
        <v>85</v>
      </c>
      <c r="BW461" s="2"/>
      <c r="BX461" s="2"/>
      <c r="BY461" s="2">
        <v>11254.66</v>
      </c>
      <c r="BZ461" s="2" t="s">
        <v>27</v>
      </c>
      <c r="CA461" s="2"/>
      <c r="CB461" s="2"/>
      <c r="CC461" s="2" t="s">
        <v>270</v>
      </c>
      <c r="CD461" s="2">
        <v>3610</v>
      </c>
      <c r="CE461" s="2" t="s">
        <v>257</v>
      </c>
      <c r="CF461" s="5">
        <v>42650</v>
      </c>
      <c r="CG461" s="2"/>
      <c r="CH461" s="2"/>
      <c r="CI461" s="2">
        <v>1</v>
      </c>
      <c r="CJ461" s="2">
        <v>1</v>
      </c>
      <c r="CK461" s="2">
        <v>21</v>
      </c>
      <c r="CL461" s="2" t="s">
        <v>88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"FES1162504672"</f>
        <v>FES1162504672</v>
      </c>
      <c r="F462" s="3">
        <v>42648</v>
      </c>
      <c r="G462" s="2">
        <v>201704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148</v>
      </c>
      <c r="M462" s="2" t="s">
        <v>149</v>
      </c>
      <c r="N462" s="2" t="s">
        <v>856</v>
      </c>
      <c r="O462" s="2" t="s">
        <v>96</v>
      </c>
      <c r="P462" s="2" t="str">
        <f>"2170528324                    "</f>
        <v xml:space="preserve">2170528324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3.32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40.76</v>
      </c>
      <c r="BM462" s="2">
        <v>5.71</v>
      </c>
      <c r="BN462" s="2">
        <v>46.47</v>
      </c>
      <c r="BO462" s="2">
        <v>46.47</v>
      </c>
      <c r="BP462" s="2"/>
      <c r="BQ462" s="2" t="s">
        <v>857</v>
      </c>
      <c r="BR462" s="2" t="s">
        <v>83</v>
      </c>
      <c r="BS462" s="3">
        <v>42649</v>
      </c>
      <c r="BT462" s="4">
        <v>0.34722222222222227</v>
      </c>
      <c r="BU462" s="2" t="s">
        <v>858</v>
      </c>
      <c r="BV462" s="2" t="s">
        <v>85</v>
      </c>
      <c r="BW462" s="2"/>
      <c r="BX462" s="2"/>
      <c r="BY462" s="2">
        <v>1200</v>
      </c>
      <c r="BZ462" s="2" t="s">
        <v>27</v>
      </c>
      <c r="CA462" s="2" t="s">
        <v>129</v>
      </c>
      <c r="CB462" s="2"/>
      <c r="CC462" s="2" t="s">
        <v>149</v>
      </c>
      <c r="CD462" s="2">
        <v>4052</v>
      </c>
      <c r="CE462" s="2" t="s">
        <v>103</v>
      </c>
      <c r="CF462" s="5">
        <v>42650</v>
      </c>
      <c r="CG462" s="2"/>
      <c r="CH462" s="2"/>
      <c r="CI462" s="2">
        <v>1</v>
      </c>
      <c r="CJ462" s="2">
        <v>1</v>
      </c>
      <c r="CK462" s="2">
        <v>21</v>
      </c>
      <c r="CL462" s="2" t="s">
        <v>88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"FES1162504256"</f>
        <v>FES1162504256</v>
      </c>
      <c r="F463" s="3">
        <v>42647</v>
      </c>
      <c r="G463" s="2">
        <v>201704</v>
      </c>
      <c r="H463" s="2" t="s">
        <v>74</v>
      </c>
      <c r="I463" s="2" t="s">
        <v>75</v>
      </c>
      <c r="J463" s="2" t="s">
        <v>76</v>
      </c>
      <c r="K463" s="2" t="s">
        <v>77</v>
      </c>
      <c r="L463" s="2" t="s">
        <v>160</v>
      </c>
      <c r="M463" s="2" t="s">
        <v>161</v>
      </c>
      <c r="N463" s="2" t="s">
        <v>859</v>
      </c>
      <c r="O463" s="2" t="s">
        <v>96</v>
      </c>
      <c r="P463" s="2" t="str">
        <f>"2170527275                    "</f>
        <v xml:space="preserve">2170527275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3.03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1</v>
      </c>
      <c r="BJ463" s="2">
        <v>0.2</v>
      </c>
      <c r="BK463" s="2">
        <v>1</v>
      </c>
      <c r="BL463" s="2">
        <v>40.47</v>
      </c>
      <c r="BM463" s="2">
        <v>5.67</v>
      </c>
      <c r="BN463" s="2">
        <v>46.14</v>
      </c>
      <c r="BO463" s="2">
        <v>46.14</v>
      </c>
      <c r="BP463" s="2"/>
      <c r="BQ463" s="2" t="s">
        <v>82</v>
      </c>
      <c r="BR463" s="2" t="s">
        <v>83</v>
      </c>
      <c r="BS463" s="3">
        <v>42648</v>
      </c>
      <c r="BT463" s="4">
        <v>0.40833333333333338</v>
      </c>
      <c r="BU463" s="2" t="s">
        <v>860</v>
      </c>
      <c r="BV463" s="2" t="s">
        <v>85</v>
      </c>
      <c r="BW463" s="2"/>
      <c r="BX463" s="2"/>
      <c r="BY463" s="2">
        <v>1200</v>
      </c>
      <c r="BZ463" s="2" t="s">
        <v>27</v>
      </c>
      <c r="CA463" s="2"/>
      <c r="CB463" s="2"/>
      <c r="CC463" s="2" t="s">
        <v>161</v>
      </c>
      <c r="CD463" s="2">
        <v>7780</v>
      </c>
      <c r="CE463" s="2" t="s">
        <v>103</v>
      </c>
      <c r="CF463" s="5">
        <v>42649</v>
      </c>
      <c r="CG463" s="2"/>
      <c r="CH463" s="2"/>
      <c r="CI463" s="2">
        <v>1</v>
      </c>
      <c r="CJ463" s="2">
        <v>1</v>
      </c>
      <c r="CK463" s="2">
        <v>21</v>
      </c>
      <c r="CL463" s="2" t="s">
        <v>88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"FES1162504274"</f>
        <v>FES1162504274</v>
      </c>
      <c r="F464" s="3">
        <v>42647</v>
      </c>
      <c r="G464" s="2">
        <v>201704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148</v>
      </c>
      <c r="M464" s="2" t="s">
        <v>149</v>
      </c>
      <c r="N464" s="2" t="s">
        <v>432</v>
      </c>
      <c r="O464" s="2" t="s">
        <v>96</v>
      </c>
      <c r="P464" s="2" t="str">
        <f>"2170527934                    "</f>
        <v xml:space="preserve">2170527934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3.03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1</v>
      </c>
      <c r="BJ464" s="2">
        <v>0.2</v>
      </c>
      <c r="BK464" s="2">
        <v>1</v>
      </c>
      <c r="BL464" s="2">
        <v>40.47</v>
      </c>
      <c r="BM464" s="2">
        <v>5.67</v>
      </c>
      <c r="BN464" s="2">
        <v>46.14</v>
      </c>
      <c r="BO464" s="2">
        <v>46.14</v>
      </c>
      <c r="BP464" s="2"/>
      <c r="BQ464" s="2" t="s">
        <v>91</v>
      </c>
      <c r="BR464" s="2" t="s">
        <v>83</v>
      </c>
      <c r="BS464" s="3">
        <v>42648</v>
      </c>
      <c r="BT464" s="4">
        <v>0.2986111111111111</v>
      </c>
      <c r="BU464" s="2" t="s">
        <v>861</v>
      </c>
      <c r="BV464" s="2" t="s">
        <v>85</v>
      </c>
      <c r="BW464" s="2"/>
      <c r="BX464" s="2"/>
      <c r="BY464" s="2">
        <v>1200</v>
      </c>
      <c r="BZ464" s="2" t="s">
        <v>27</v>
      </c>
      <c r="CA464" s="2" t="s">
        <v>129</v>
      </c>
      <c r="CB464" s="2"/>
      <c r="CC464" s="2" t="s">
        <v>149</v>
      </c>
      <c r="CD464" s="2">
        <v>4052</v>
      </c>
      <c r="CE464" s="2" t="s">
        <v>782</v>
      </c>
      <c r="CF464" s="5">
        <v>42649</v>
      </c>
      <c r="CG464" s="2"/>
      <c r="CH464" s="2"/>
      <c r="CI464" s="2">
        <v>1</v>
      </c>
      <c r="CJ464" s="2">
        <v>1</v>
      </c>
      <c r="CK464" s="2">
        <v>21</v>
      </c>
      <c r="CL464" s="2" t="s">
        <v>88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"FES1162504673"</f>
        <v>FES1162504673</v>
      </c>
      <c r="F465" s="3">
        <v>42648</v>
      </c>
      <c r="G465" s="2">
        <v>201704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160</v>
      </c>
      <c r="M465" s="2" t="s">
        <v>161</v>
      </c>
      <c r="N465" s="2" t="s">
        <v>862</v>
      </c>
      <c r="O465" s="2" t="s">
        <v>96</v>
      </c>
      <c r="P465" s="2" t="str">
        <f>"2170528325                    "</f>
        <v xml:space="preserve">2170528325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3.32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1</v>
      </c>
      <c r="BJ465" s="2">
        <v>0.2</v>
      </c>
      <c r="BK465" s="2">
        <v>1</v>
      </c>
      <c r="BL465" s="2">
        <v>40.76</v>
      </c>
      <c r="BM465" s="2">
        <v>5.71</v>
      </c>
      <c r="BN465" s="2">
        <v>46.47</v>
      </c>
      <c r="BO465" s="2">
        <v>46.47</v>
      </c>
      <c r="BP465" s="2"/>
      <c r="BQ465" s="2" t="s">
        <v>863</v>
      </c>
      <c r="BR465" s="2" t="s">
        <v>83</v>
      </c>
      <c r="BS465" s="3">
        <v>42650</v>
      </c>
      <c r="BT465" s="4">
        <v>0.45763888888888887</v>
      </c>
      <c r="BU465" s="2" t="s">
        <v>864</v>
      </c>
      <c r="BV465" s="2" t="s">
        <v>88</v>
      </c>
      <c r="BW465" s="2" t="s">
        <v>277</v>
      </c>
      <c r="BX465" s="2" t="s">
        <v>695</v>
      </c>
      <c r="BY465" s="2">
        <v>1200</v>
      </c>
      <c r="BZ465" s="2" t="s">
        <v>27</v>
      </c>
      <c r="CA465" s="2" t="s">
        <v>316</v>
      </c>
      <c r="CB465" s="2"/>
      <c r="CC465" s="2" t="s">
        <v>161</v>
      </c>
      <c r="CD465" s="2">
        <v>7550</v>
      </c>
      <c r="CE465" s="2" t="s">
        <v>108</v>
      </c>
      <c r="CF465" s="5">
        <v>42650</v>
      </c>
      <c r="CG465" s="2"/>
      <c r="CH465" s="2"/>
      <c r="CI465" s="2">
        <v>1</v>
      </c>
      <c r="CJ465" s="2">
        <v>2</v>
      </c>
      <c r="CK465" s="2">
        <v>21</v>
      </c>
      <c r="CL465" s="2" t="s">
        <v>88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"FES1162504725"</f>
        <v>FES1162504725</v>
      </c>
      <c r="F466" s="3">
        <v>42648</v>
      </c>
      <c r="G466" s="2">
        <v>201704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207</v>
      </c>
      <c r="M466" s="2" t="s">
        <v>208</v>
      </c>
      <c r="N466" s="2" t="s">
        <v>865</v>
      </c>
      <c r="O466" s="2" t="s">
        <v>96</v>
      </c>
      <c r="P466" s="2" t="str">
        <f>"2170528385                    "</f>
        <v xml:space="preserve">2170528385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3.32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1</v>
      </c>
      <c r="BJ466" s="2">
        <v>0.2</v>
      </c>
      <c r="BK466" s="2">
        <v>1</v>
      </c>
      <c r="BL466" s="2">
        <v>40.76</v>
      </c>
      <c r="BM466" s="2">
        <v>5.71</v>
      </c>
      <c r="BN466" s="2">
        <v>46.47</v>
      </c>
      <c r="BO466" s="2">
        <v>46.47</v>
      </c>
      <c r="BP466" s="2"/>
      <c r="BQ466" s="2" t="s">
        <v>866</v>
      </c>
      <c r="BR466" s="2" t="s">
        <v>83</v>
      </c>
      <c r="BS466" s="3">
        <v>42649</v>
      </c>
      <c r="BT466" s="4">
        <v>0.4375</v>
      </c>
      <c r="BU466" s="2" t="s">
        <v>867</v>
      </c>
      <c r="BV466" s="2" t="s">
        <v>85</v>
      </c>
      <c r="BW466" s="2"/>
      <c r="BX466" s="2"/>
      <c r="BY466" s="2">
        <v>1200</v>
      </c>
      <c r="BZ466" s="2" t="s">
        <v>27</v>
      </c>
      <c r="CA466" s="2"/>
      <c r="CB466" s="2"/>
      <c r="CC466" s="2" t="s">
        <v>208</v>
      </c>
      <c r="CD466" s="2">
        <v>4133</v>
      </c>
      <c r="CE466" s="2" t="s">
        <v>103</v>
      </c>
      <c r="CF466" s="5">
        <v>42650</v>
      </c>
      <c r="CG466" s="2"/>
      <c r="CH466" s="2"/>
      <c r="CI466" s="2">
        <v>1</v>
      </c>
      <c r="CJ466" s="2">
        <v>1</v>
      </c>
      <c r="CK466" s="2">
        <v>21</v>
      </c>
      <c r="CL466" s="2" t="s">
        <v>88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"FES1162504194"</f>
        <v>FES1162504194</v>
      </c>
      <c r="F467" s="3">
        <v>42647</v>
      </c>
      <c r="G467" s="2">
        <v>201704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260</v>
      </c>
      <c r="M467" s="2" t="s">
        <v>261</v>
      </c>
      <c r="N467" s="2" t="s">
        <v>347</v>
      </c>
      <c r="O467" s="2" t="s">
        <v>96</v>
      </c>
      <c r="P467" s="2" t="str">
        <f>"2170524358                    "</f>
        <v xml:space="preserve">2170524358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12.13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8</v>
      </c>
      <c r="BJ467" s="2">
        <v>1.7</v>
      </c>
      <c r="BK467" s="2">
        <v>8</v>
      </c>
      <c r="BL467" s="2">
        <v>161.88999999999999</v>
      </c>
      <c r="BM467" s="2">
        <v>22.66</v>
      </c>
      <c r="BN467" s="2">
        <v>184.55</v>
      </c>
      <c r="BO467" s="2">
        <v>184.55</v>
      </c>
      <c r="BP467" s="2"/>
      <c r="BQ467" s="2" t="s">
        <v>91</v>
      </c>
      <c r="BR467" s="2" t="s">
        <v>83</v>
      </c>
      <c r="BS467" s="3">
        <v>42648</v>
      </c>
      <c r="BT467" s="4">
        <v>0.42083333333333334</v>
      </c>
      <c r="BU467" s="2" t="s">
        <v>868</v>
      </c>
      <c r="BV467" s="2" t="s">
        <v>85</v>
      </c>
      <c r="BW467" s="2"/>
      <c r="BX467" s="2"/>
      <c r="BY467" s="2">
        <v>8701.2099999999991</v>
      </c>
      <c r="BZ467" s="2" t="s">
        <v>27</v>
      </c>
      <c r="CA467" s="2" t="s">
        <v>264</v>
      </c>
      <c r="CB467" s="2"/>
      <c r="CC467" s="2" t="s">
        <v>261</v>
      </c>
      <c r="CD467" s="2">
        <v>6850</v>
      </c>
      <c r="CE467" s="2" t="s">
        <v>86</v>
      </c>
      <c r="CF467" s="5">
        <v>42648</v>
      </c>
      <c r="CG467" s="2"/>
      <c r="CH467" s="2"/>
      <c r="CI467" s="2">
        <v>3</v>
      </c>
      <c r="CJ467" s="2">
        <v>1</v>
      </c>
      <c r="CK467" s="2">
        <v>21</v>
      </c>
      <c r="CL467" s="2" t="s">
        <v>88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"FES1162504287"</f>
        <v>FES1162504287</v>
      </c>
      <c r="F468" s="3">
        <v>42647</v>
      </c>
      <c r="G468" s="2">
        <v>201704</v>
      </c>
      <c r="H468" s="2" t="s">
        <v>74</v>
      </c>
      <c r="I468" s="2" t="s">
        <v>75</v>
      </c>
      <c r="J468" s="2" t="s">
        <v>76</v>
      </c>
      <c r="K468" s="2" t="s">
        <v>77</v>
      </c>
      <c r="L468" s="2" t="s">
        <v>269</v>
      </c>
      <c r="M468" s="2" t="s">
        <v>270</v>
      </c>
      <c r="N468" s="2" t="s">
        <v>869</v>
      </c>
      <c r="O468" s="2" t="s">
        <v>96</v>
      </c>
      <c r="P468" s="2" t="str">
        <f>"2170526359                    "</f>
        <v xml:space="preserve">2170526359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3.03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1</v>
      </c>
      <c r="BJ468" s="2">
        <v>0.2</v>
      </c>
      <c r="BK468" s="2">
        <v>1</v>
      </c>
      <c r="BL468" s="2">
        <v>40.47</v>
      </c>
      <c r="BM468" s="2">
        <v>5.67</v>
      </c>
      <c r="BN468" s="2">
        <v>46.14</v>
      </c>
      <c r="BO468" s="2">
        <v>46.14</v>
      </c>
      <c r="BP468" s="2"/>
      <c r="BQ468" s="2" t="s">
        <v>117</v>
      </c>
      <c r="BR468" s="2" t="s">
        <v>83</v>
      </c>
      <c r="BS468" s="3">
        <v>42648</v>
      </c>
      <c r="BT468" s="4">
        <v>0.35138888888888892</v>
      </c>
      <c r="BU468" s="2" t="s">
        <v>870</v>
      </c>
      <c r="BV468" s="2" t="s">
        <v>85</v>
      </c>
      <c r="BW468" s="2"/>
      <c r="BX468" s="2"/>
      <c r="BY468" s="2">
        <v>1200</v>
      </c>
      <c r="BZ468" s="2" t="s">
        <v>27</v>
      </c>
      <c r="CA468" s="2"/>
      <c r="CB468" s="2"/>
      <c r="CC468" s="2" t="s">
        <v>270</v>
      </c>
      <c r="CD468" s="2">
        <v>3610</v>
      </c>
      <c r="CE468" s="2" t="s">
        <v>782</v>
      </c>
      <c r="CF468" s="5">
        <v>42648</v>
      </c>
      <c r="CG468" s="2"/>
      <c r="CH468" s="2"/>
      <c r="CI468" s="2">
        <v>1</v>
      </c>
      <c r="CJ468" s="2">
        <v>1</v>
      </c>
      <c r="CK468" s="2">
        <v>21</v>
      </c>
      <c r="CL468" s="2" t="s">
        <v>88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"FES1162504871"</f>
        <v>FES1162504871</v>
      </c>
      <c r="F469" s="3">
        <v>42648</v>
      </c>
      <c r="G469" s="2">
        <v>201704</v>
      </c>
      <c r="H469" s="2" t="s">
        <v>74</v>
      </c>
      <c r="I469" s="2" t="s">
        <v>75</v>
      </c>
      <c r="J469" s="2" t="s">
        <v>76</v>
      </c>
      <c r="K469" s="2" t="s">
        <v>77</v>
      </c>
      <c r="L469" s="2" t="s">
        <v>119</v>
      </c>
      <c r="M469" s="2" t="s">
        <v>120</v>
      </c>
      <c r="N469" s="2" t="s">
        <v>121</v>
      </c>
      <c r="O469" s="2" t="s">
        <v>96</v>
      </c>
      <c r="P469" s="2" t="str">
        <f>"2170528545                    "</f>
        <v xml:space="preserve">2170528545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5.81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3.3</v>
      </c>
      <c r="BJ469" s="2">
        <v>0.2</v>
      </c>
      <c r="BK469" s="2">
        <v>3.5</v>
      </c>
      <c r="BL469" s="2">
        <v>71.33</v>
      </c>
      <c r="BM469" s="2">
        <v>9.99</v>
      </c>
      <c r="BN469" s="2">
        <v>81.319999999999993</v>
      </c>
      <c r="BO469" s="2">
        <v>81.319999999999993</v>
      </c>
      <c r="BP469" s="2"/>
      <c r="BQ469" s="2" t="s">
        <v>122</v>
      </c>
      <c r="BR469" s="2" t="s">
        <v>83</v>
      </c>
      <c r="BS469" s="3">
        <v>42649</v>
      </c>
      <c r="BT469" s="4">
        <v>0.32708333333333334</v>
      </c>
      <c r="BU469" s="2" t="s">
        <v>871</v>
      </c>
      <c r="BV469" s="2" t="s">
        <v>85</v>
      </c>
      <c r="BW469" s="2"/>
      <c r="BX469" s="2"/>
      <c r="BY469" s="2">
        <v>1200</v>
      </c>
      <c r="BZ469" s="2" t="s">
        <v>27</v>
      </c>
      <c r="CA469" s="2"/>
      <c r="CB469" s="2"/>
      <c r="CC469" s="2" t="s">
        <v>120</v>
      </c>
      <c r="CD469" s="2">
        <v>6229</v>
      </c>
      <c r="CE469" s="2" t="s">
        <v>108</v>
      </c>
      <c r="CF469" s="5">
        <v>42650</v>
      </c>
      <c r="CG469" s="2"/>
      <c r="CH469" s="2"/>
      <c r="CI469" s="2">
        <v>1</v>
      </c>
      <c r="CJ469" s="2">
        <v>1</v>
      </c>
      <c r="CK469" s="2">
        <v>21</v>
      </c>
      <c r="CL469" s="2" t="s">
        <v>88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"FES1162504731"</f>
        <v>FES1162504731</v>
      </c>
      <c r="F470" s="3">
        <v>42648</v>
      </c>
      <c r="G470" s="2">
        <v>201704</v>
      </c>
      <c r="H470" s="2" t="s">
        <v>74</v>
      </c>
      <c r="I470" s="2" t="s">
        <v>75</v>
      </c>
      <c r="J470" s="2" t="s">
        <v>76</v>
      </c>
      <c r="K470" s="2" t="s">
        <v>77</v>
      </c>
      <c r="L470" s="2" t="s">
        <v>872</v>
      </c>
      <c r="M470" s="2" t="s">
        <v>873</v>
      </c>
      <c r="N470" s="2" t="s">
        <v>874</v>
      </c>
      <c r="O470" s="2" t="s">
        <v>96</v>
      </c>
      <c r="P470" s="2" t="str">
        <f>"2170528397                    "</f>
        <v xml:space="preserve">2170528397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3.32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1</v>
      </c>
      <c r="BJ470" s="2">
        <v>0.2</v>
      </c>
      <c r="BK470" s="2">
        <v>1</v>
      </c>
      <c r="BL470" s="2">
        <v>40.76</v>
      </c>
      <c r="BM470" s="2">
        <v>5.71</v>
      </c>
      <c r="BN470" s="2">
        <v>46.47</v>
      </c>
      <c r="BO470" s="2">
        <v>46.47</v>
      </c>
      <c r="BP470" s="2"/>
      <c r="BQ470" s="2" t="s">
        <v>875</v>
      </c>
      <c r="BR470" s="2" t="s">
        <v>83</v>
      </c>
      <c r="BS470" s="3">
        <v>42649</v>
      </c>
      <c r="BT470" s="4">
        <v>0.34513888888888888</v>
      </c>
      <c r="BU470" s="2" t="s">
        <v>876</v>
      </c>
      <c r="BV470" s="2" t="s">
        <v>85</v>
      </c>
      <c r="BW470" s="2"/>
      <c r="BX470" s="2"/>
      <c r="BY470" s="2">
        <v>1200</v>
      </c>
      <c r="BZ470" s="2" t="s">
        <v>27</v>
      </c>
      <c r="CA470" s="2"/>
      <c r="CB470" s="2"/>
      <c r="CC470" s="2" t="s">
        <v>873</v>
      </c>
      <c r="CD470" s="2">
        <v>4126</v>
      </c>
      <c r="CE470" s="2" t="s">
        <v>103</v>
      </c>
      <c r="CF470" s="5">
        <v>42649</v>
      </c>
      <c r="CG470" s="2"/>
      <c r="CH470" s="2"/>
      <c r="CI470" s="2">
        <v>1</v>
      </c>
      <c r="CJ470" s="2">
        <v>1</v>
      </c>
      <c r="CK470" s="2">
        <v>21</v>
      </c>
      <c r="CL470" s="2" t="s">
        <v>88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"FES1162504397"</f>
        <v>FES1162504397</v>
      </c>
      <c r="F471" s="3">
        <v>42647</v>
      </c>
      <c r="G471" s="2">
        <v>201704</v>
      </c>
      <c r="H471" s="2" t="s">
        <v>74</v>
      </c>
      <c r="I471" s="2" t="s">
        <v>75</v>
      </c>
      <c r="J471" s="2" t="s">
        <v>76</v>
      </c>
      <c r="K471" s="2" t="s">
        <v>77</v>
      </c>
      <c r="L471" s="2" t="s">
        <v>148</v>
      </c>
      <c r="M471" s="2" t="s">
        <v>149</v>
      </c>
      <c r="N471" s="2" t="s">
        <v>743</v>
      </c>
      <c r="O471" s="2" t="s">
        <v>96</v>
      </c>
      <c r="P471" s="2" t="str">
        <f>"2170528111                    "</f>
        <v xml:space="preserve">2170528111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3.03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2</v>
      </c>
      <c r="BJ471" s="2">
        <v>1</v>
      </c>
      <c r="BK471" s="2">
        <v>2</v>
      </c>
      <c r="BL471" s="2">
        <v>40.47</v>
      </c>
      <c r="BM471" s="2">
        <v>5.67</v>
      </c>
      <c r="BN471" s="2">
        <v>46.14</v>
      </c>
      <c r="BO471" s="2">
        <v>46.14</v>
      </c>
      <c r="BP471" s="2"/>
      <c r="BQ471" s="2" t="s">
        <v>91</v>
      </c>
      <c r="BR471" s="2" t="s">
        <v>83</v>
      </c>
      <c r="BS471" s="3">
        <v>42648</v>
      </c>
      <c r="BT471" s="4">
        <v>0.38541666666666669</v>
      </c>
      <c r="BU471" s="2" t="s">
        <v>877</v>
      </c>
      <c r="BV471" s="2"/>
      <c r="BW471" s="2"/>
      <c r="BX471" s="2"/>
      <c r="BY471" s="2">
        <v>5017.34</v>
      </c>
      <c r="BZ471" s="2" t="s">
        <v>27</v>
      </c>
      <c r="CA471" s="2"/>
      <c r="CB471" s="2"/>
      <c r="CC471" s="2" t="s">
        <v>149</v>
      </c>
      <c r="CD471" s="2">
        <v>4001</v>
      </c>
      <c r="CE471" s="2" t="s">
        <v>257</v>
      </c>
      <c r="CF471" s="5">
        <v>42649</v>
      </c>
      <c r="CG471" s="2"/>
      <c r="CH471" s="2"/>
      <c r="CI471" s="2">
        <v>0</v>
      </c>
      <c r="CJ471" s="2">
        <v>0</v>
      </c>
      <c r="CK471" s="2">
        <v>21</v>
      </c>
      <c r="CL471" s="2" t="s">
        <v>88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"FES1162504600"</f>
        <v>FES1162504600</v>
      </c>
      <c r="F472" s="3">
        <v>42648</v>
      </c>
      <c r="G472" s="2">
        <v>201704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160</v>
      </c>
      <c r="M472" s="2" t="s">
        <v>161</v>
      </c>
      <c r="N472" s="2" t="s">
        <v>878</v>
      </c>
      <c r="O472" s="2" t="s">
        <v>96</v>
      </c>
      <c r="P472" s="2" t="str">
        <f>"2170526362                    "</f>
        <v xml:space="preserve">2170526362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3.32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1</v>
      </c>
      <c r="BJ472" s="2">
        <v>0.2</v>
      </c>
      <c r="BK472" s="2">
        <v>1</v>
      </c>
      <c r="BL472" s="2">
        <v>40.76</v>
      </c>
      <c r="BM472" s="2">
        <v>5.71</v>
      </c>
      <c r="BN472" s="2">
        <v>46.47</v>
      </c>
      <c r="BO472" s="2">
        <v>46.47</v>
      </c>
      <c r="BP472" s="2"/>
      <c r="BQ472" s="2" t="s">
        <v>91</v>
      </c>
      <c r="BR472" s="2" t="s">
        <v>83</v>
      </c>
      <c r="BS472" s="3">
        <v>42649</v>
      </c>
      <c r="BT472" s="4">
        <v>0.40902777777777777</v>
      </c>
      <c r="BU472" s="2" t="s">
        <v>879</v>
      </c>
      <c r="BV472" s="2" t="s">
        <v>85</v>
      </c>
      <c r="BW472" s="2"/>
      <c r="BX472" s="2"/>
      <c r="BY472" s="2">
        <v>1200</v>
      </c>
      <c r="BZ472" s="2" t="s">
        <v>27</v>
      </c>
      <c r="CA472" s="2"/>
      <c r="CB472" s="2"/>
      <c r="CC472" s="2" t="s">
        <v>161</v>
      </c>
      <c r="CD472" s="2">
        <v>7800</v>
      </c>
      <c r="CE472" s="2" t="s">
        <v>103</v>
      </c>
      <c r="CF472" s="5">
        <v>42650</v>
      </c>
      <c r="CG472" s="2"/>
      <c r="CH472" s="2"/>
      <c r="CI472" s="2">
        <v>1</v>
      </c>
      <c r="CJ472" s="2">
        <v>1</v>
      </c>
      <c r="CK472" s="2">
        <v>21</v>
      </c>
      <c r="CL472" s="2" t="s">
        <v>88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"FES1162504157"</f>
        <v>FES1162504157</v>
      </c>
      <c r="F473" s="3">
        <v>42647</v>
      </c>
      <c r="G473" s="2">
        <v>201704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160</v>
      </c>
      <c r="M473" s="2" t="s">
        <v>161</v>
      </c>
      <c r="N473" s="2" t="s">
        <v>622</v>
      </c>
      <c r="O473" s="2" t="s">
        <v>96</v>
      </c>
      <c r="P473" s="2" t="str">
        <f>"2170523433                    "</f>
        <v xml:space="preserve">2170523433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3.03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40.47</v>
      </c>
      <c r="BM473" s="2">
        <v>5.67</v>
      </c>
      <c r="BN473" s="2">
        <v>46.14</v>
      </c>
      <c r="BO473" s="2">
        <v>46.14</v>
      </c>
      <c r="BP473" s="2"/>
      <c r="BQ473" s="2" t="s">
        <v>623</v>
      </c>
      <c r="BR473" s="2" t="s">
        <v>83</v>
      </c>
      <c r="BS473" s="3">
        <v>42648</v>
      </c>
      <c r="BT473" s="4">
        <v>0.44722222222222219</v>
      </c>
      <c r="BU473" s="2" t="s">
        <v>880</v>
      </c>
      <c r="BV473" s="2" t="s">
        <v>85</v>
      </c>
      <c r="BW473" s="2"/>
      <c r="BX473" s="2"/>
      <c r="BY473" s="2">
        <v>1200</v>
      </c>
      <c r="BZ473" s="2" t="s">
        <v>27</v>
      </c>
      <c r="CA473" s="2" t="s">
        <v>129</v>
      </c>
      <c r="CB473" s="2"/>
      <c r="CC473" s="2" t="s">
        <v>161</v>
      </c>
      <c r="CD473" s="2">
        <v>7490</v>
      </c>
      <c r="CE473" s="2" t="s">
        <v>103</v>
      </c>
      <c r="CF473" s="5">
        <v>42648</v>
      </c>
      <c r="CG473" s="2"/>
      <c r="CH473" s="2"/>
      <c r="CI473" s="2">
        <v>1</v>
      </c>
      <c r="CJ473" s="2">
        <v>1</v>
      </c>
      <c r="CK473" s="2">
        <v>21</v>
      </c>
      <c r="CL473" s="2" t="s">
        <v>88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"FES1162504758"</f>
        <v>FES1162504758</v>
      </c>
      <c r="F474" s="3">
        <v>42648</v>
      </c>
      <c r="G474" s="2">
        <v>201704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98</v>
      </c>
      <c r="M474" s="2" t="s">
        <v>99</v>
      </c>
      <c r="N474" s="2" t="s">
        <v>133</v>
      </c>
      <c r="O474" s="2" t="s">
        <v>96</v>
      </c>
      <c r="P474" s="2" t="str">
        <f>"2170528416                    "</f>
        <v xml:space="preserve">2170528416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3.32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40.76</v>
      </c>
      <c r="BM474" s="2">
        <v>5.71</v>
      </c>
      <c r="BN474" s="2">
        <v>46.47</v>
      </c>
      <c r="BO474" s="2">
        <v>46.47</v>
      </c>
      <c r="BP474" s="2"/>
      <c r="BQ474" s="2" t="s">
        <v>134</v>
      </c>
      <c r="BR474" s="2" t="s">
        <v>83</v>
      </c>
      <c r="BS474" s="3">
        <v>42649</v>
      </c>
      <c r="BT474" s="4">
        <v>0.3263888888888889</v>
      </c>
      <c r="BU474" s="2" t="s">
        <v>881</v>
      </c>
      <c r="BV474" s="2" t="s">
        <v>85</v>
      </c>
      <c r="BW474" s="2"/>
      <c r="BX474" s="2"/>
      <c r="BY474" s="2">
        <v>1200</v>
      </c>
      <c r="BZ474" s="2" t="s">
        <v>27</v>
      </c>
      <c r="CA474" s="2"/>
      <c r="CB474" s="2"/>
      <c r="CC474" s="2" t="s">
        <v>99</v>
      </c>
      <c r="CD474" s="2">
        <v>6001</v>
      </c>
      <c r="CE474" s="2" t="s">
        <v>103</v>
      </c>
      <c r="CF474" s="5">
        <v>42650</v>
      </c>
      <c r="CG474" s="2"/>
      <c r="CH474" s="2"/>
      <c r="CI474" s="2">
        <v>1</v>
      </c>
      <c r="CJ474" s="2">
        <v>1</v>
      </c>
      <c r="CK474" s="2">
        <v>21</v>
      </c>
      <c r="CL474" s="2" t="s">
        <v>88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"FES1162504480"</f>
        <v>FES1162504480</v>
      </c>
      <c r="F475" s="3">
        <v>42647</v>
      </c>
      <c r="G475" s="2">
        <v>201704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148</v>
      </c>
      <c r="M475" s="2" t="s">
        <v>149</v>
      </c>
      <c r="N475" s="2" t="s">
        <v>882</v>
      </c>
      <c r="O475" s="2" t="s">
        <v>96</v>
      </c>
      <c r="P475" s="2" t="str">
        <f>"2170527505                    "</f>
        <v xml:space="preserve">2170527505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3.03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1</v>
      </c>
      <c r="BJ475" s="2">
        <v>0.2</v>
      </c>
      <c r="BK475" s="2">
        <v>1</v>
      </c>
      <c r="BL475" s="2">
        <v>40.47</v>
      </c>
      <c r="BM475" s="2">
        <v>5.67</v>
      </c>
      <c r="BN475" s="2">
        <v>46.14</v>
      </c>
      <c r="BO475" s="2">
        <v>46.14</v>
      </c>
      <c r="BP475" s="2"/>
      <c r="BQ475" s="2" t="s">
        <v>168</v>
      </c>
      <c r="BR475" s="2" t="s">
        <v>83</v>
      </c>
      <c r="BS475" s="3">
        <v>42648</v>
      </c>
      <c r="BT475" s="4">
        <v>0.3576388888888889</v>
      </c>
      <c r="BU475" s="2" t="s">
        <v>883</v>
      </c>
      <c r="BV475" s="2" t="s">
        <v>85</v>
      </c>
      <c r="BW475" s="2"/>
      <c r="BX475" s="2"/>
      <c r="BY475" s="2">
        <v>1200</v>
      </c>
      <c r="BZ475" s="2" t="s">
        <v>27</v>
      </c>
      <c r="CA475" s="2" t="s">
        <v>129</v>
      </c>
      <c r="CB475" s="2"/>
      <c r="CC475" s="2" t="s">
        <v>149</v>
      </c>
      <c r="CD475" s="2">
        <v>4052</v>
      </c>
      <c r="CE475" s="2" t="s">
        <v>103</v>
      </c>
      <c r="CF475" s="5">
        <v>42649</v>
      </c>
      <c r="CG475" s="2"/>
      <c r="CH475" s="2"/>
      <c r="CI475" s="2">
        <v>1</v>
      </c>
      <c r="CJ475" s="2">
        <v>1</v>
      </c>
      <c r="CK475" s="2">
        <v>21</v>
      </c>
      <c r="CL475" s="2" t="s">
        <v>88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"FES1162504750"</f>
        <v>FES1162504750</v>
      </c>
      <c r="F476" s="3">
        <v>42648</v>
      </c>
      <c r="G476" s="2">
        <v>201704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884</v>
      </c>
      <c r="M476" s="2" t="s">
        <v>885</v>
      </c>
      <c r="N476" s="2" t="s">
        <v>886</v>
      </c>
      <c r="O476" s="2" t="s">
        <v>96</v>
      </c>
      <c r="P476" s="2" t="str">
        <f>"2170528411                    "</f>
        <v xml:space="preserve">2170528411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6.43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78.97</v>
      </c>
      <c r="BM476" s="2">
        <v>11.06</v>
      </c>
      <c r="BN476" s="2">
        <v>90.03</v>
      </c>
      <c r="BO476" s="2">
        <v>90.03</v>
      </c>
      <c r="BP476" s="2"/>
      <c r="BQ476" s="2" t="s">
        <v>82</v>
      </c>
      <c r="BR476" s="2" t="s">
        <v>83</v>
      </c>
      <c r="BS476" s="3">
        <v>42650</v>
      </c>
      <c r="BT476" s="4">
        <v>0.51250000000000007</v>
      </c>
      <c r="BU476" s="2" t="s">
        <v>887</v>
      </c>
      <c r="BV476" s="2" t="s">
        <v>85</v>
      </c>
      <c r="BW476" s="2"/>
      <c r="BX476" s="2"/>
      <c r="BY476" s="2">
        <v>1200</v>
      </c>
      <c r="BZ476" s="2" t="s">
        <v>27</v>
      </c>
      <c r="CA476" s="2" t="s">
        <v>888</v>
      </c>
      <c r="CB476" s="2"/>
      <c r="CC476" s="2" t="s">
        <v>885</v>
      </c>
      <c r="CD476" s="2">
        <v>7380</v>
      </c>
      <c r="CE476" s="2" t="s">
        <v>108</v>
      </c>
      <c r="CF476" s="5">
        <v>42650</v>
      </c>
      <c r="CG476" s="2"/>
      <c r="CH476" s="2"/>
      <c r="CI476" s="2">
        <v>3</v>
      </c>
      <c r="CJ476" s="2">
        <v>2</v>
      </c>
      <c r="CK476" s="2">
        <v>23</v>
      </c>
      <c r="CL476" s="2" t="s">
        <v>88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"FES1162504527"</f>
        <v>FES1162504527</v>
      </c>
      <c r="F477" s="3">
        <v>42647</v>
      </c>
      <c r="G477" s="2">
        <v>201704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614</v>
      </c>
      <c r="M477" s="2" t="s">
        <v>615</v>
      </c>
      <c r="N477" s="2" t="s">
        <v>616</v>
      </c>
      <c r="O477" s="2" t="s">
        <v>96</v>
      </c>
      <c r="P477" s="2" t="str">
        <f>"2170528243                    "</f>
        <v xml:space="preserve">2170528243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3.03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</v>
      </c>
      <c r="BJ477" s="2">
        <v>1.4</v>
      </c>
      <c r="BK477" s="2">
        <v>1.5</v>
      </c>
      <c r="BL477" s="2">
        <v>40.47</v>
      </c>
      <c r="BM477" s="2">
        <v>5.67</v>
      </c>
      <c r="BN477" s="2">
        <v>46.14</v>
      </c>
      <c r="BO477" s="2">
        <v>46.14</v>
      </c>
      <c r="BP477" s="2"/>
      <c r="BQ477" s="2" t="s">
        <v>617</v>
      </c>
      <c r="BR477" s="2" t="s">
        <v>83</v>
      </c>
      <c r="BS477" s="3">
        <v>42648</v>
      </c>
      <c r="BT477" s="4">
        <v>0.33680555555555558</v>
      </c>
      <c r="BU477" s="2" t="s">
        <v>889</v>
      </c>
      <c r="BV477" s="2" t="s">
        <v>85</v>
      </c>
      <c r="BW477" s="2"/>
      <c r="BX477" s="2"/>
      <c r="BY477" s="2">
        <v>6888</v>
      </c>
      <c r="BZ477" s="2" t="s">
        <v>27</v>
      </c>
      <c r="CA477" s="2" t="s">
        <v>129</v>
      </c>
      <c r="CB477" s="2"/>
      <c r="CC477" s="2" t="s">
        <v>615</v>
      </c>
      <c r="CD477" s="2">
        <v>4026</v>
      </c>
      <c r="CE477" s="2" t="s">
        <v>257</v>
      </c>
      <c r="CF477" s="5">
        <v>42649</v>
      </c>
      <c r="CG477" s="2"/>
      <c r="CH477" s="2"/>
      <c r="CI477" s="2">
        <v>1</v>
      </c>
      <c r="CJ477" s="2">
        <v>1</v>
      </c>
      <c r="CK477" s="2">
        <v>21</v>
      </c>
      <c r="CL477" s="2" t="s">
        <v>88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"FES1162504645"</f>
        <v>FES1162504645</v>
      </c>
      <c r="F478" s="3">
        <v>42648</v>
      </c>
      <c r="G478" s="2">
        <v>201704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160</v>
      </c>
      <c r="M478" s="2" t="s">
        <v>161</v>
      </c>
      <c r="N478" s="2" t="s">
        <v>227</v>
      </c>
      <c r="O478" s="2" t="s">
        <v>96</v>
      </c>
      <c r="P478" s="2" t="str">
        <f>"2170528294                    "</f>
        <v xml:space="preserve">2170528294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3.32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1</v>
      </c>
      <c r="BJ478" s="2">
        <v>0.2</v>
      </c>
      <c r="BK478" s="2">
        <v>1</v>
      </c>
      <c r="BL478" s="2">
        <v>40.76</v>
      </c>
      <c r="BM478" s="2">
        <v>5.71</v>
      </c>
      <c r="BN478" s="2">
        <v>46.47</v>
      </c>
      <c r="BO478" s="2">
        <v>46.47</v>
      </c>
      <c r="BP478" s="2"/>
      <c r="BQ478" s="2" t="s">
        <v>91</v>
      </c>
      <c r="BR478" s="2" t="s">
        <v>83</v>
      </c>
      <c r="BS478" s="3">
        <v>42649</v>
      </c>
      <c r="BT478" s="4">
        <v>0.41666666666666669</v>
      </c>
      <c r="BU478" s="2" t="s">
        <v>228</v>
      </c>
      <c r="BV478" s="2" t="s">
        <v>85</v>
      </c>
      <c r="BW478" s="2"/>
      <c r="BX478" s="2"/>
      <c r="BY478" s="2">
        <v>1200</v>
      </c>
      <c r="BZ478" s="2" t="s">
        <v>27</v>
      </c>
      <c r="CA478" s="2"/>
      <c r="CB478" s="2"/>
      <c r="CC478" s="2" t="s">
        <v>161</v>
      </c>
      <c r="CD478" s="2">
        <v>7460</v>
      </c>
      <c r="CE478" s="2" t="s">
        <v>103</v>
      </c>
      <c r="CF478" s="5">
        <v>42650</v>
      </c>
      <c r="CG478" s="2"/>
      <c r="CH478" s="2"/>
      <c r="CI478" s="2">
        <v>1</v>
      </c>
      <c r="CJ478" s="2">
        <v>1</v>
      </c>
      <c r="CK478" s="2">
        <v>21</v>
      </c>
      <c r="CL478" s="2" t="s">
        <v>88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"FES1162504506"</f>
        <v>FES1162504506</v>
      </c>
      <c r="F479" s="3">
        <v>42647</v>
      </c>
      <c r="G479" s="2">
        <v>201704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148</v>
      </c>
      <c r="M479" s="2" t="s">
        <v>149</v>
      </c>
      <c r="N479" s="2" t="s">
        <v>890</v>
      </c>
      <c r="O479" s="2" t="s">
        <v>96</v>
      </c>
      <c r="P479" s="2" t="str">
        <f>"2170528219                    "</f>
        <v xml:space="preserve">2170528219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3.03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1</v>
      </c>
      <c r="BJ479" s="2">
        <v>0.2</v>
      </c>
      <c r="BK479" s="2">
        <v>1</v>
      </c>
      <c r="BL479" s="2">
        <v>40.47</v>
      </c>
      <c r="BM479" s="2">
        <v>5.67</v>
      </c>
      <c r="BN479" s="2">
        <v>46.14</v>
      </c>
      <c r="BO479" s="2">
        <v>46.14</v>
      </c>
      <c r="BP479" s="2"/>
      <c r="BQ479" s="2" t="s">
        <v>117</v>
      </c>
      <c r="BR479" s="2" t="s">
        <v>83</v>
      </c>
      <c r="BS479" s="3">
        <v>42648</v>
      </c>
      <c r="BT479" s="4">
        <v>0.3576388888888889</v>
      </c>
      <c r="BU479" s="2" t="s">
        <v>891</v>
      </c>
      <c r="BV479" s="2" t="s">
        <v>85</v>
      </c>
      <c r="BW479" s="2"/>
      <c r="BX479" s="2"/>
      <c r="BY479" s="2">
        <v>1200</v>
      </c>
      <c r="BZ479" s="2" t="s">
        <v>27</v>
      </c>
      <c r="CA479" s="2" t="s">
        <v>129</v>
      </c>
      <c r="CB479" s="2"/>
      <c r="CC479" s="2" t="s">
        <v>149</v>
      </c>
      <c r="CD479" s="2">
        <v>4052</v>
      </c>
      <c r="CE479" s="2" t="s">
        <v>103</v>
      </c>
      <c r="CF479" s="5">
        <v>42649</v>
      </c>
      <c r="CG479" s="2"/>
      <c r="CH479" s="2"/>
      <c r="CI479" s="2">
        <v>1</v>
      </c>
      <c r="CJ479" s="2">
        <v>1</v>
      </c>
      <c r="CK479" s="2">
        <v>21</v>
      </c>
      <c r="CL479" s="2" t="s">
        <v>88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"FES1162504588"</f>
        <v>FES1162504588</v>
      </c>
      <c r="F480" s="3">
        <v>42648</v>
      </c>
      <c r="G480" s="2">
        <v>201704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269</v>
      </c>
      <c r="M480" s="2" t="s">
        <v>270</v>
      </c>
      <c r="N480" s="2" t="s">
        <v>496</v>
      </c>
      <c r="O480" s="2" t="s">
        <v>96</v>
      </c>
      <c r="P480" s="2" t="str">
        <f>"2170526091                    "</f>
        <v xml:space="preserve">2170526091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26.54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12</v>
      </c>
      <c r="BJ480" s="2">
        <v>16</v>
      </c>
      <c r="BK480" s="2">
        <v>16</v>
      </c>
      <c r="BL480" s="2">
        <v>326.06</v>
      </c>
      <c r="BM480" s="2">
        <v>45.65</v>
      </c>
      <c r="BN480" s="2">
        <v>371.71</v>
      </c>
      <c r="BO480" s="2">
        <v>371.71</v>
      </c>
      <c r="BP480" s="2"/>
      <c r="BQ480" s="2" t="s">
        <v>892</v>
      </c>
      <c r="BR480" s="2" t="s">
        <v>83</v>
      </c>
      <c r="BS480" s="3">
        <v>42649</v>
      </c>
      <c r="BT480" s="4">
        <v>0.39583333333333331</v>
      </c>
      <c r="BU480" s="2" t="s">
        <v>893</v>
      </c>
      <c r="BV480" s="2" t="s">
        <v>85</v>
      </c>
      <c r="BW480" s="2"/>
      <c r="BX480" s="2"/>
      <c r="BY480" s="2">
        <v>80062.080000000002</v>
      </c>
      <c r="BZ480" s="2" t="s">
        <v>27</v>
      </c>
      <c r="CA480" s="2"/>
      <c r="CB480" s="2"/>
      <c r="CC480" s="2" t="s">
        <v>270</v>
      </c>
      <c r="CD480" s="2">
        <v>3610</v>
      </c>
      <c r="CE480" s="2" t="s">
        <v>257</v>
      </c>
      <c r="CF480" s="5">
        <v>42650</v>
      </c>
      <c r="CG480" s="2"/>
      <c r="CH480" s="2"/>
      <c r="CI480" s="2">
        <v>1</v>
      </c>
      <c r="CJ480" s="2">
        <v>1</v>
      </c>
      <c r="CK480" s="2">
        <v>21</v>
      </c>
      <c r="CL480" s="2" t="s">
        <v>88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"FES1162504478"</f>
        <v>FES1162504478</v>
      </c>
      <c r="F481" s="3">
        <v>42647</v>
      </c>
      <c r="G481" s="2">
        <v>201704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160</v>
      </c>
      <c r="M481" s="2" t="s">
        <v>161</v>
      </c>
      <c r="N481" s="2" t="s">
        <v>179</v>
      </c>
      <c r="O481" s="2" t="s">
        <v>96</v>
      </c>
      <c r="P481" s="2" t="str">
        <f>"2170528204                    "</f>
        <v xml:space="preserve">2170528204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10.61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7</v>
      </c>
      <c r="BJ481" s="2">
        <v>5</v>
      </c>
      <c r="BK481" s="2">
        <v>7</v>
      </c>
      <c r="BL481" s="2">
        <v>141.65</v>
      </c>
      <c r="BM481" s="2">
        <v>19.829999999999998</v>
      </c>
      <c r="BN481" s="2">
        <v>161.47999999999999</v>
      </c>
      <c r="BO481" s="2">
        <v>161.47999999999999</v>
      </c>
      <c r="BP481" s="2"/>
      <c r="BQ481" s="2" t="s">
        <v>180</v>
      </c>
      <c r="BR481" s="2" t="s">
        <v>83</v>
      </c>
      <c r="BS481" s="3">
        <v>42648</v>
      </c>
      <c r="BT481" s="4">
        <v>0.41666666666666669</v>
      </c>
      <c r="BU481" s="2" t="s">
        <v>835</v>
      </c>
      <c r="BV481" s="2" t="s">
        <v>85</v>
      </c>
      <c r="BW481" s="2"/>
      <c r="BX481" s="2"/>
      <c r="BY481" s="2">
        <v>24791.83</v>
      </c>
      <c r="BZ481" s="2" t="s">
        <v>27</v>
      </c>
      <c r="CA481" s="2" t="s">
        <v>129</v>
      </c>
      <c r="CB481" s="2"/>
      <c r="CC481" s="2" t="s">
        <v>161</v>
      </c>
      <c r="CD481" s="2">
        <v>7405</v>
      </c>
      <c r="CE481" s="2" t="s">
        <v>86</v>
      </c>
      <c r="CF481" s="5">
        <v>42649</v>
      </c>
      <c r="CG481" s="2"/>
      <c r="CH481" s="2"/>
      <c r="CI481" s="2">
        <v>1</v>
      </c>
      <c r="CJ481" s="2">
        <v>1</v>
      </c>
      <c r="CK481" s="2">
        <v>21</v>
      </c>
      <c r="CL481" s="2" t="s">
        <v>88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"FES1162504652"</f>
        <v>FES1162504652</v>
      </c>
      <c r="F482" s="3">
        <v>42648</v>
      </c>
      <c r="G482" s="2">
        <v>201704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98</v>
      </c>
      <c r="M482" s="2" t="s">
        <v>99</v>
      </c>
      <c r="N482" s="2" t="s">
        <v>109</v>
      </c>
      <c r="O482" s="2" t="s">
        <v>96</v>
      </c>
      <c r="P482" s="2" t="str">
        <f>"2170526267                    "</f>
        <v xml:space="preserve">2170526267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29.85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7.1</v>
      </c>
      <c r="BJ482" s="2">
        <v>17.600000000000001</v>
      </c>
      <c r="BK482" s="2">
        <v>18</v>
      </c>
      <c r="BL482" s="2">
        <v>366.81</v>
      </c>
      <c r="BM482" s="2">
        <v>51.35</v>
      </c>
      <c r="BN482" s="2">
        <v>418.16</v>
      </c>
      <c r="BO482" s="2">
        <v>418.16</v>
      </c>
      <c r="BP482" s="2"/>
      <c r="BQ482" s="2" t="s">
        <v>110</v>
      </c>
      <c r="BR482" s="2" t="s">
        <v>83</v>
      </c>
      <c r="BS482" s="3">
        <v>42649</v>
      </c>
      <c r="BT482" s="4">
        <v>0.36458333333333331</v>
      </c>
      <c r="BU482" s="2" t="s">
        <v>629</v>
      </c>
      <c r="BV482" s="2" t="s">
        <v>85</v>
      </c>
      <c r="BW482" s="2"/>
      <c r="BX482" s="2"/>
      <c r="BY482" s="2">
        <v>88164.9</v>
      </c>
      <c r="BZ482" s="2" t="s">
        <v>27</v>
      </c>
      <c r="CA482" s="2"/>
      <c r="CB482" s="2"/>
      <c r="CC482" s="2" t="s">
        <v>99</v>
      </c>
      <c r="CD482" s="2">
        <v>6001</v>
      </c>
      <c r="CE482" s="2" t="s">
        <v>257</v>
      </c>
      <c r="CF482" s="5">
        <v>42650</v>
      </c>
      <c r="CG482" s="2"/>
      <c r="CH482" s="2"/>
      <c r="CI482" s="2">
        <v>1</v>
      </c>
      <c r="CJ482" s="2">
        <v>1</v>
      </c>
      <c r="CK482" s="2">
        <v>21</v>
      </c>
      <c r="CL482" s="2" t="s">
        <v>88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"FES1162504424"</f>
        <v>FES1162504424</v>
      </c>
      <c r="F483" s="3">
        <v>42647</v>
      </c>
      <c r="G483" s="2">
        <v>201704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148</v>
      </c>
      <c r="M483" s="2" t="s">
        <v>149</v>
      </c>
      <c r="N483" s="2" t="s">
        <v>811</v>
      </c>
      <c r="O483" s="2" t="s">
        <v>96</v>
      </c>
      <c r="P483" s="2" t="str">
        <f>"2170528140                    "</f>
        <v xml:space="preserve">2170528140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3.03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</v>
      </c>
      <c r="BJ483" s="2">
        <v>1.8</v>
      </c>
      <c r="BK483" s="2">
        <v>2</v>
      </c>
      <c r="BL483" s="2">
        <v>40.47</v>
      </c>
      <c r="BM483" s="2">
        <v>5.67</v>
      </c>
      <c r="BN483" s="2">
        <v>46.14</v>
      </c>
      <c r="BO483" s="2">
        <v>46.14</v>
      </c>
      <c r="BP483" s="2"/>
      <c r="BQ483" s="2" t="s">
        <v>812</v>
      </c>
      <c r="BR483" s="2" t="s">
        <v>83</v>
      </c>
      <c r="BS483" s="3">
        <v>42648</v>
      </c>
      <c r="BT483" s="4">
        <v>0.4375</v>
      </c>
      <c r="BU483" s="2" t="s">
        <v>813</v>
      </c>
      <c r="BV483" s="2"/>
      <c r="BW483" s="2"/>
      <c r="BX483" s="2"/>
      <c r="BY483" s="2">
        <v>8765.06</v>
      </c>
      <c r="BZ483" s="2" t="s">
        <v>27</v>
      </c>
      <c r="CA483" s="2"/>
      <c r="CB483" s="2"/>
      <c r="CC483" s="2" t="s">
        <v>149</v>
      </c>
      <c r="CD483" s="2">
        <v>4001</v>
      </c>
      <c r="CE483" s="2" t="s">
        <v>103</v>
      </c>
      <c r="CF483" s="5">
        <v>42649</v>
      </c>
      <c r="CG483" s="2"/>
      <c r="CH483" s="2"/>
      <c r="CI483" s="2">
        <v>0</v>
      </c>
      <c r="CJ483" s="2">
        <v>0</v>
      </c>
      <c r="CK483" s="2">
        <v>21</v>
      </c>
      <c r="CL483" s="2" t="s">
        <v>88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"FES1162504740"</f>
        <v>FES1162504740</v>
      </c>
      <c r="F484" s="3">
        <v>42648</v>
      </c>
      <c r="G484" s="2">
        <v>201704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98</v>
      </c>
      <c r="M484" s="2" t="s">
        <v>99</v>
      </c>
      <c r="N484" s="2" t="s">
        <v>894</v>
      </c>
      <c r="O484" s="2" t="s">
        <v>96</v>
      </c>
      <c r="P484" s="2" t="str">
        <f>"2170528377                    "</f>
        <v xml:space="preserve">2170528377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3.32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</v>
      </c>
      <c r="BJ484" s="2">
        <v>0.2</v>
      </c>
      <c r="BK484" s="2">
        <v>1</v>
      </c>
      <c r="BL484" s="2">
        <v>40.76</v>
      </c>
      <c r="BM484" s="2">
        <v>5.71</v>
      </c>
      <c r="BN484" s="2">
        <v>46.47</v>
      </c>
      <c r="BO484" s="2">
        <v>46.47</v>
      </c>
      <c r="BP484" s="2"/>
      <c r="BQ484" s="2" t="s">
        <v>895</v>
      </c>
      <c r="BR484" s="2" t="s">
        <v>83</v>
      </c>
      <c r="BS484" s="3">
        <v>42649</v>
      </c>
      <c r="BT484" s="4">
        <v>0.30208333333333331</v>
      </c>
      <c r="BU484" s="2" t="s">
        <v>896</v>
      </c>
      <c r="BV484" s="2" t="s">
        <v>85</v>
      </c>
      <c r="BW484" s="2"/>
      <c r="BX484" s="2"/>
      <c r="BY484" s="2">
        <v>1200</v>
      </c>
      <c r="BZ484" s="2" t="s">
        <v>27</v>
      </c>
      <c r="CA484" s="2"/>
      <c r="CB484" s="2"/>
      <c r="CC484" s="2" t="s">
        <v>99</v>
      </c>
      <c r="CD484" s="2">
        <v>6012</v>
      </c>
      <c r="CE484" s="2" t="s">
        <v>103</v>
      </c>
      <c r="CF484" s="5">
        <v>42650</v>
      </c>
      <c r="CG484" s="2"/>
      <c r="CH484" s="2"/>
      <c r="CI484" s="2">
        <v>1</v>
      </c>
      <c r="CJ484" s="2">
        <v>1</v>
      </c>
      <c r="CK484" s="2">
        <v>21</v>
      </c>
      <c r="CL484" s="2" t="s">
        <v>88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"FES1162504529"</f>
        <v>FES1162504529</v>
      </c>
      <c r="F485" s="3">
        <v>42647</v>
      </c>
      <c r="G485" s="2">
        <v>201704</v>
      </c>
      <c r="H485" s="2" t="s">
        <v>74</v>
      </c>
      <c r="I485" s="2" t="s">
        <v>75</v>
      </c>
      <c r="J485" s="2" t="s">
        <v>76</v>
      </c>
      <c r="K485" s="2" t="s">
        <v>77</v>
      </c>
      <c r="L485" s="2" t="s">
        <v>160</v>
      </c>
      <c r="M485" s="2" t="s">
        <v>161</v>
      </c>
      <c r="N485" s="2" t="s">
        <v>179</v>
      </c>
      <c r="O485" s="2" t="s">
        <v>96</v>
      </c>
      <c r="P485" s="2" t="str">
        <f>"2170528245                    "</f>
        <v xml:space="preserve">2170528245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3.03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</v>
      </c>
      <c r="BJ485" s="2">
        <v>1.3</v>
      </c>
      <c r="BK485" s="2">
        <v>1.5</v>
      </c>
      <c r="BL485" s="2">
        <v>40.47</v>
      </c>
      <c r="BM485" s="2">
        <v>5.67</v>
      </c>
      <c r="BN485" s="2">
        <v>46.14</v>
      </c>
      <c r="BO485" s="2">
        <v>46.14</v>
      </c>
      <c r="BP485" s="2"/>
      <c r="BQ485" s="2" t="s">
        <v>180</v>
      </c>
      <c r="BR485" s="2" t="s">
        <v>83</v>
      </c>
      <c r="BS485" s="3">
        <v>42648</v>
      </c>
      <c r="BT485" s="4">
        <v>0.41666666666666669</v>
      </c>
      <c r="BU485" s="2" t="s">
        <v>835</v>
      </c>
      <c r="BV485" s="2" t="s">
        <v>85</v>
      </c>
      <c r="BW485" s="2"/>
      <c r="BX485" s="2"/>
      <c r="BY485" s="2">
        <v>6532.81</v>
      </c>
      <c r="BZ485" s="2" t="s">
        <v>27</v>
      </c>
      <c r="CA485" s="2" t="s">
        <v>129</v>
      </c>
      <c r="CB485" s="2"/>
      <c r="CC485" s="2" t="s">
        <v>161</v>
      </c>
      <c r="CD485" s="2">
        <v>7405</v>
      </c>
      <c r="CE485" s="2" t="s">
        <v>103</v>
      </c>
      <c r="CF485" s="5">
        <v>42649</v>
      </c>
      <c r="CG485" s="2"/>
      <c r="CH485" s="2"/>
      <c r="CI485" s="2">
        <v>1</v>
      </c>
      <c r="CJ485" s="2">
        <v>1</v>
      </c>
      <c r="CK485" s="2">
        <v>21</v>
      </c>
      <c r="CL485" s="2" t="s">
        <v>88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"FES1162503696"</f>
        <v>FES1162503696</v>
      </c>
      <c r="F486" s="3">
        <v>42648</v>
      </c>
      <c r="G486" s="2">
        <v>201704</v>
      </c>
      <c r="H486" s="2" t="s">
        <v>74</v>
      </c>
      <c r="I486" s="2" t="s">
        <v>75</v>
      </c>
      <c r="J486" s="2" t="s">
        <v>76</v>
      </c>
      <c r="K486" s="2" t="s">
        <v>77</v>
      </c>
      <c r="L486" s="2" t="s">
        <v>148</v>
      </c>
      <c r="M486" s="2" t="s">
        <v>149</v>
      </c>
      <c r="N486" s="2" t="s">
        <v>296</v>
      </c>
      <c r="O486" s="2" t="s">
        <v>96</v>
      </c>
      <c r="P486" s="2" t="str">
        <f>"2170522379                    "</f>
        <v xml:space="preserve">2170522379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18.239999999999998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11</v>
      </c>
      <c r="BJ486" s="2">
        <v>8.8000000000000007</v>
      </c>
      <c r="BK486" s="2">
        <v>11</v>
      </c>
      <c r="BL486" s="2">
        <v>224.16</v>
      </c>
      <c r="BM486" s="2">
        <v>31.38</v>
      </c>
      <c r="BN486" s="2">
        <v>255.54</v>
      </c>
      <c r="BO486" s="2">
        <v>255.54</v>
      </c>
      <c r="BP486" s="2"/>
      <c r="BQ486" s="2" t="s">
        <v>168</v>
      </c>
      <c r="BR486" s="2" t="s">
        <v>83</v>
      </c>
      <c r="BS486" s="3">
        <v>42649</v>
      </c>
      <c r="BT486" s="4">
        <v>0.37847222222222227</v>
      </c>
      <c r="BU486" s="2" t="s">
        <v>897</v>
      </c>
      <c r="BV486" s="2" t="s">
        <v>85</v>
      </c>
      <c r="BW486" s="2"/>
      <c r="BX486" s="2"/>
      <c r="BY486" s="2">
        <v>43860.08</v>
      </c>
      <c r="BZ486" s="2" t="s">
        <v>27</v>
      </c>
      <c r="CA486" s="2" t="s">
        <v>129</v>
      </c>
      <c r="CB486" s="2"/>
      <c r="CC486" s="2" t="s">
        <v>149</v>
      </c>
      <c r="CD486" s="2">
        <v>4001</v>
      </c>
      <c r="CE486" s="2" t="s">
        <v>257</v>
      </c>
      <c r="CF486" s="5">
        <v>42650</v>
      </c>
      <c r="CG486" s="2"/>
      <c r="CH486" s="2"/>
      <c r="CI486" s="2">
        <v>1</v>
      </c>
      <c r="CJ486" s="2">
        <v>1</v>
      </c>
      <c r="CK486" s="2">
        <v>21</v>
      </c>
      <c r="CL486" s="2" t="s">
        <v>88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"FES1162504489"</f>
        <v>FES1162504489</v>
      </c>
      <c r="F487" s="3">
        <v>42647</v>
      </c>
      <c r="G487" s="2">
        <v>201704</v>
      </c>
      <c r="H487" s="2" t="s">
        <v>74</v>
      </c>
      <c r="I487" s="2" t="s">
        <v>75</v>
      </c>
      <c r="J487" s="2" t="s">
        <v>76</v>
      </c>
      <c r="K487" s="2" t="s">
        <v>77</v>
      </c>
      <c r="L487" s="2" t="s">
        <v>160</v>
      </c>
      <c r="M487" s="2" t="s">
        <v>161</v>
      </c>
      <c r="N487" s="2" t="s">
        <v>601</v>
      </c>
      <c r="O487" s="2" t="s">
        <v>96</v>
      </c>
      <c r="P487" s="2" t="str">
        <f>"1162504277 2170528206 21705279"</f>
        <v>1162504277 2170528206 21705279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234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4.55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3</v>
      </c>
      <c r="BJ487" s="2">
        <v>0.2</v>
      </c>
      <c r="BK487" s="2">
        <v>3</v>
      </c>
      <c r="BL487" s="2">
        <v>294.70999999999998</v>
      </c>
      <c r="BM487" s="2">
        <v>41.26</v>
      </c>
      <c r="BN487" s="2">
        <v>335.97</v>
      </c>
      <c r="BO487" s="2">
        <v>335.97</v>
      </c>
      <c r="BP487" s="2" t="s">
        <v>487</v>
      </c>
      <c r="BQ487" s="2" t="s">
        <v>117</v>
      </c>
      <c r="BR487" s="2" t="s">
        <v>83</v>
      </c>
      <c r="BS487" s="3">
        <v>42648</v>
      </c>
      <c r="BT487" s="4">
        <v>0.35833333333333334</v>
      </c>
      <c r="BU487" s="2" t="s">
        <v>668</v>
      </c>
      <c r="BV487" s="2" t="s">
        <v>85</v>
      </c>
      <c r="BW487" s="2"/>
      <c r="BX487" s="2"/>
      <c r="BY487" s="2">
        <v>1200</v>
      </c>
      <c r="BZ487" s="2" t="s">
        <v>490</v>
      </c>
      <c r="CA487" s="2" t="s">
        <v>129</v>
      </c>
      <c r="CB487" s="2"/>
      <c r="CC487" s="2" t="s">
        <v>161</v>
      </c>
      <c r="CD487" s="2">
        <v>7945</v>
      </c>
      <c r="CE487" s="2" t="s">
        <v>103</v>
      </c>
      <c r="CF487" s="5">
        <v>42649</v>
      </c>
      <c r="CG487" s="2"/>
      <c r="CH487" s="2"/>
      <c r="CI487" s="2">
        <v>1</v>
      </c>
      <c r="CJ487" s="2">
        <v>1</v>
      </c>
      <c r="CK487" s="2">
        <v>21</v>
      </c>
      <c r="CL487" s="2" t="s">
        <v>85</v>
      </c>
      <c r="CM487" s="4">
        <v>0.35833333333333334</v>
      </c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"FES1162504742"</f>
        <v>FES1162504742</v>
      </c>
      <c r="F488" s="3">
        <v>42648</v>
      </c>
      <c r="G488" s="2">
        <v>201704</v>
      </c>
      <c r="H488" s="2" t="s">
        <v>74</v>
      </c>
      <c r="I488" s="2" t="s">
        <v>75</v>
      </c>
      <c r="J488" s="2" t="s">
        <v>76</v>
      </c>
      <c r="K488" s="2" t="s">
        <v>77</v>
      </c>
      <c r="L488" s="2" t="s">
        <v>98</v>
      </c>
      <c r="M488" s="2" t="s">
        <v>99</v>
      </c>
      <c r="N488" s="2" t="s">
        <v>330</v>
      </c>
      <c r="O488" s="2" t="s">
        <v>96</v>
      </c>
      <c r="P488" s="2" t="str">
        <f>"2170528398                    "</f>
        <v xml:space="preserve">2170528398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3.32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</v>
      </c>
      <c r="BJ488" s="2">
        <v>0.2</v>
      </c>
      <c r="BK488" s="2">
        <v>1</v>
      </c>
      <c r="BL488" s="2">
        <v>40.76</v>
      </c>
      <c r="BM488" s="2">
        <v>5.71</v>
      </c>
      <c r="BN488" s="2">
        <v>46.47</v>
      </c>
      <c r="BO488" s="2">
        <v>46.47</v>
      </c>
      <c r="BP488" s="2"/>
      <c r="BQ488" s="2" t="s">
        <v>331</v>
      </c>
      <c r="BR488" s="2" t="s">
        <v>83</v>
      </c>
      <c r="BS488" s="3">
        <v>42649</v>
      </c>
      <c r="BT488" s="4">
        <v>0.38541666666666669</v>
      </c>
      <c r="BU488" s="2" t="s">
        <v>467</v>
      </c>
      <c r="BV488" s="2" t="s">
        <v>85</v>
      </c>
      <c r="BW488" s="2"/>
      <c r="BX488" s="2"/>
      <c r="BY488" s="2">
        <v>1200</v>
      </c>
      <c r="BZ488" s="2" t="s">
        <v>27</v>
      </c>
      <c r="CA488" s="2" t="s">
        <v>468</v>
      </c>
      <c r="CB488" s="2"/>
      <c r="CC488" s="2" t="s">
        <v>99</v>
      </c>
      <c r="CD488" s="2">
        <v>6070</v>
      </c>
      <c r="CE488" s="2" t="s">
        <v>103</v>
      </c>
      <c r="CF488" s="5">
        <v>42650</v>
      </c>
      <c r="CG488" s="2"/>
      <c r="CH488" s="2"/>
      <c r="CI488" s="2">
        <v>1</v>
      </c>
      <c r="CJ488" s="2">
        <v>1</v>
      </c>
      <c r="CK488" s="2">
        <v>21</v>
      </c>
      <c r="CL488" s="2" t="s">
        <v>88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"FES1162504526"</f>
        <v>FES1162504526</v>
      </c>
      <c r="F489" s="3">
        <v>42647</v>
      </c>
      <c r="G489" s="2">
        <v>201704</v>
      </c>
      <c r="H489" s="2" t="s">
        <v>74</v>
      </c>
      <c r="I489" s="2" t="s">
        <v>75</v>
      </c>
      <c r="J489" s="2" t="s">
        <v>76</v>
      </c>
      <c r="K489" s="2" t="s">
        <v>77</v>
      </c>
      <c r="L489" s="2" t="s">
        <v>898</v>
      </c>
      <c r="M489" s="2" t="s">
        <v>899</v>
      </c>
      <c r="N489" s="2" t="s">
        <v>900</v>
      </c>
      <c r="O489" s="2" t="s">
        <v>96</v>
      </c>
      <c r="P489" s="2" t="str">
        <f>"2170528241                    "</f>
        <v xml:space="preserve">2170528241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3.03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1</v>
      </c>
      <c r="BJ489" s="2">
        <v>0.2</v>
      </c>
      <c r="BK489" s="2">
        <v>1</v>
      </c>
      <c r="BL489" s="2">
        <v>40.47</v>
      </c>
      <c r="BM489" s="2">
        <v>5.67</v>
      </c>
      <c r="BN489" s="2">
        <v>46.14</v>
      </c>
      <c r="BO489" s="2">
        <v>46.14</v>
      </c>
      <c r="BP489" s="2"/>
      <c r="BQ489" s="2" t="s">
        <v>901</v>
      </c>
      <c r="BR489" s="2" t="s">
        <v>83</v>
      </c>
      <c r="BS489" s="3">
        <v>42649</v>
      </c>
      <c r="BT489" s="4">
        <v>0.41666666666666669</v>
      </c>
      <c r="BU489" s="2" t="s">
        <v>902</v>
      </c>
      <c r="BV489" s="2" t="s">
        <v>88</v>
      </c>
      <c r="BW489" s="2" t="s">
        <v>222</v>
      </c>
      <c r="BX489" s="2" t="s">
        <v>903</v>
      </c>
      <c r="BY489" s="2">
        <v>1200</v>
      </c>
      <c r="BZ489" s="2" t="s">
        <v>27</v>
      </c>
      <c r="CA489" s="2"/>
      <c r="CB489" s="2"/>
      <c r="CC489" s="2" t="s">
        <v>899</v>
      </c>
      <c r="CD489" s="2">
        <v>7654</v>
      </c>
      <c r="CE489" s="2" t="s">
        <v>103</v>
      </c>
      <c r="CF489" s="5">
        <v>42656</v>
      </c>
      <c r="CG489" s="2"/>
      <c r="CH489" s="2"/>
      <c r="CI489" s="2">
        <v>1</v>
      </c>
      <c r="CJ489" s="2">
        <v>2</v>
      </c>
      <c r="CK489" s="2">
        <v>21</v>
      </c>
      <c r="CL489" s="2" t="s">
        <v>88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"FES1162504647"</f>
        <v>FES1162504647</v>
      </c>
      <c r="F490" s="3">
        <v>42648</v>
      </c>
      <c r="G490" s="2">
        <v>201704</v>
      </c>
      <c r="H490" s="2" t="s">
        <v>74</v>
      </c>
      <c r="I490" s="2" t="s">
        <v>75</v>
      </c>
      <c r="J490" s="2" t="s">
        <v>76</v>
      </c>
      <c r="K490" s="2" t="s">
        <v>77</v>
      </c>
      <c r="L490" s="2" t="s">
        <v>98</v>
      </c>
      <c r="M490" s="2" t="s">
        <v>99</v>
      </c>
      <c r="N490" s="2" t="s">
        <v>109</v>
      </c>
      <c r="O490" s="2" t="s">
        <v>96</v>
      </c>
      <c r="P490" s="2" t="str">
        <f>"2170524371                    "</f>
        <v xml:space="preserve">2170524371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36.49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2</v>
      </c>
      <c r="BI490" s="2">
        <v>22</v>
      </c>
      <c r="BJ490" s="2">
        <v>18.399999999999999</v>
      </c>
      <c r="BK490" s="2">
        <v>22</v>
      </c>
      <c r="BL490" s="2">
        <v>448.33</v>
      </c>
      <c r="BM490" s="2">
        <v>62.77</v>
      </c>
      <c r="BN490" s="2">
        <v>511.1</v>
      </c>
      <c r="BO490" s="2">
        <v>511.1</v>
      </c>
      <c r="BP490" s="2"/>
      <c r="BQ490" s="2" t="s">
        <v>110</v>
      </c>
      <c r="BR490" s="2" t="s">
        <v>83</v>
      </c>
      <c r="BS490" s="3">
        <v>42649</v>
      </c>
      <c r="BT490" s="4">
        <v>0.36458333333333331</v>
      </c>
      <c r="BU490" s="2" t="s">
        <v>629</v>
      </c>
      <c r="BV490" s="2" t="s">
        <v>85</v>
      </c>
      <c r="BW490" s="2"/>
      <c r="BX490" s="2"/>
      <c r="BY490" s="2">
        <v>91807.11</v>
      </c>
      <c r="BZ490" s="2" t="s">
        <v>27</v>
      </c>
      <c r="CA490" s="2"/>
      <c r="CB490" s="2"/>
      <c r="CC490" s="2" t="s">
        <v>99</v>
      </c>
      <c r="CD490" s="2">
        <v>6001</v>
      </c>
      <c r="CE490" s="2" t="s">
        <v>904</v>
      </c>
      <c r="CF490" s="5">
        <v>42650</v>
      </c>
      <c r="CG490" s="2"/>
      <c r="CH490" s="2"/>
      <c r="CI490" s="2">
        <v>1</v>
      </c>
      <c r="CJ490" s="2">
        <v>1</v>
      </c>
      <c r="CK490" s="2">
        <v>21</v>
      </c>
      <c r="CL490" s="2" t="s">
        <v>88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"FES1162504562"</f>
        <v>FES1162504562</v>
      </c>
      <c r="F491" s="3">
        <v>42648</v>
      </c>
      <c r="G491" s="2">
        <v>201704</v>
      </c>
      <c r="H491" s="2" t="s">
        <v>74</v>
      </c>
      <c r="I491" s="2" t="s">
        <v>75</v>
      </c>
      <c r="J491" s="2" t="s">
        <v>76</v>
      </c>
      <c r="K491" s="2" t="s">
        <v>77</v>
      </c>
      <c r="L491" s="2" t="s">
        <v>503</v>
      </c>
      <c r="M491" s="2" t="s">
        <v>504</v>
      </c>
      <c r="N491" s="2" t="s">
        <v>905</v>
      </c>
      <c r="O491" s="2" t="s">
        <v>96</v>
      </c>
      <c r="P491" s="2" t="str">
        <f>"2170523806                    "</f>
        <v xml:space="preserve">2170523806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6.43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</v>
      </c>
      <c r="BJ491" s="2">
        <v>0.2</v>
      </c>
      <c r="BK491" s="2">
        <v>1</v>
      </c>
      <c r="BL491" s="2">
        <v>78.97</v>
      </c>
      <c r="BM491" s="2">
        <v>11.06</v>
      </c>
      <c r="BN491" s="2">
        <v>90.03</v>
      </c>
      <c r="BO491" s="2">
        <v>90.03</v>
      </c>
      <c r="BP491" s="2"/>
      <c r="BQ491" s="2" t="s">
        <v>91</v>
      </c>
      <c r="BR491" s="2" t="s">
        <v>83</v>
      </c>
      <c r="BS491" s="3">
        <v>42649</v>
      </c>
      <c r="BT491" s="4">
        <v>0.41666666666666669</v>
      </c>
      <c r="BU491" s="2" t="s">
        <v>906</v>
      </c>
      <c r="BV491" s="2" t="s">
        <v>85</v>
      </c>
      <c r="BW491" s="2"/>
      <c r="BX491" s="2"/>
      <c r="BY491" s="2">
        <v>1200</v>
      </c>
      <c r="BZ491" s="2" t="s">
        <v>27</v>
      </c>
      <c r="CA491" s="2"/>
      <c r="CB491" s="2"/>
      <c r="CC491" s="2" t="s">
        <v>504</v>
      </c>
      <c r="CD491" s="2">
        <v>7349</v>
      </c>
      <c r="CE491" s="2" t="s">
        <v>103</v>
      </c>
      <c r="CF491" s="5">
        <v>42650</v>
      </c>
      <c r="CG491" s="2"/>
      <c r="CH491" s="2"/>
      <c r="CI491" s="2">
        <v>1</v>
      </c>
      <c r="CJ491" s="2">
        <v>1</v>
      </c>
      <c r="CK491" s="2">
        <v>23</v>
      </c>
      <c r="CL491" s="2" t="s">
        <v>88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"FES1162504707"</f>
        <v>FES1162504707</v>
      </c>
      <c r="F492" s="3">
        <v>42648</v>
      </c>
      <c r="G492" s="2">
        <v>201704</v>
      </c>
      <c r="H492" s="2" t="s">
        <v>74</v>
      </c>
      <c r="I492" s="2" t="s">
        <v>75</v>
      </c>
      <c r="J492" s="2" t="s">
        <v>76</v>
      </c>
      <c r="K492" s="2" t="s">
        <v>77</v>
      </c>
      <c r="L492" s="2" t="s">
        <v>98</v>
      </c>
      <c r="M492" s="2" t="s">
        <v>99</v>
      </c>
      <c r="N492" s="2" t="s">
        <v>907</v>
      </c>
      <c r="O492" s="2" t="s">
        <v>96</v>
      </c>
      <c r="P492" s="2" t="str">
        <f>"2170528364                    "</f>
        <v xml:space="preserve">2170528364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3.32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1</v>
      </c>
      <c r="BJ492" s="2">
        <v>0.2</v>
      </c>
      <c r="BK492" s="2">
        <v>1</v>
      </c>
      <c r="BL492" s="2">
        <v>40.76</v>
      </c>
      <c r="BM492" s="2">
        <v>5.71</v>
      </c>
      <c r="BN492" s="2">
        <v>46.47</v>
      </c>
      <c r="BO492" s="2">
        <v>46.47</v>
      </c>
      <c r="BP492" s="2"/>
      <c r="BQ492" s="2"/>
      <c r="BR492" s="2" t="s">
        <v>83</v>
      </c>
      <c r="BS492" s="3">
        <v>42649</v>
      </c>
      <c r="BT492" s="4">
        <v>0.33888888888888885</v>
      </c>
      <c r="BU492" s="2" t="s">
        <v>908</v>
      </c>
      <c r="BV492" s="2"/>
      <c r="BW492" s="2"/>
      <c r="BX492" s="2"/>
      <c r="BY492" s="2">
        <v>1200</v>
      </c>
      <c r="BZ492" s="2" t="s">
        <v>27</v>
      </c>
      <c r="CA492" s="2"/>
      <c r="CB492" s="2"/>
      <c r="CC492" s="2" t="s">
        <v>99</v>
      </c>
      <c r="CD492" s="2">
        <v>6000</v>
      </c>
      <c r="CE492" s="2" t="s">
        <v>103</v>
      </c>
      <c r="CF492" s="5">
        <v>42650</v>
      </c>
      <c r="CG492" s="2"/>
      <c r="CH492" s="2"/>
      <c r="CI492" s="2">
        <v>0</v>
      </c>
      <c r="CJ492" s="2">
        <v>0</v>
      </c>
      <c r="CK492" s="2">
        <v>21</v>
      </c>
      <c r="CL492" s="2" t="s">
        <v>88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"FES1162504694"</f>
        <v>FES1162504694</v>
      </c>
      <c r="F493" s="3">
        <v>42648</v>
      </c>
      <c r="G493" s="2">
        <v>201704</v>
      </c>
      <c r="H493" s="2" t="s">
        <v>74</v>
      </c>
      <c r="I493" s="2" t="s">
        <v>75</v>
      </c>
      <c r="J493" s="2" t="s">
        <v>76</v>
      </c>
      <c r="K493" s="2" t="s">
        <v>77</v>
      </c>
      <c r="L493" s="2" t="s">
        <v>143</v>
      </c>
      <c r="M493" s="2" t="s">
        <v>144</v>
      </c>
      <c r="N493" s="2" t="s">
        <v>909</v>
      </c>
      <c r="O493" s="2" t="s">
        <v>96</v>
      </c>
      <c r="P493" s="2" t="str">
        <f>"2170528350                    "</f>
        <v xml:space="preserve">2170528350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3.32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1</v>
      </c>
      <c r="BJ493" s="2">
        <v>0.2</v>
      </c>
      <c r="BK493" s="2">
        <v>1</v>
      </c>
      <c r="BL493" s="2">
        <v>40.76</v>
      </c>
      <c r="BM493" s="2">
        <v>5.71</v>
      </c>
      <c r="BN493" s="2">
        <v>46.47</v>
      </c>
      <c r="BO493" s="2">
        <v>46.47</v>
      </c>
      <c r="BP493" s="2"/>
      <c r="BQ493" s="2" t="s">
        <v>247</v>
      </c>
      <c r="BR493" s="2" t="s">
        <v>83</v>
      </c>
      <c r="BS493" s="3">
        <v>42649</v>
      </c>
      <c r="BT493" s="4">
        <v>0.41666666666666669</v>
      </c>
      <c r="BU493" s="2" t="s">
        <v>910</v>
      </c>
      <c r="BV493" s="2"/>
      <c r="BW493" s="2"/>
      <c r="BX493" s="2"/>
      <c r="BY493" s="2">
        <v>1200</v>
      </c>
      <c r="BZ493" s="2" t="s">
        <v>27</v>
      </c>
      <c r="CA493" s="2" t="s">
        <v>129</v>
      </c>
      <c r="CB493" s="2"/>
      <c r="CC493" s="2" t="s">
        <v>144</v>
      </c>
      <c r="CD493" s="2">
        <v>5201</v>
      </c>
      <c r="CE493" s="2" t="s">
        <v>103</v>
      </c>
      <c r="CF493" s="5">
        <v>42653</v>
      </c>
      <c r="CG493" s="2"/>
      <c r="CH493" s="2"/>
      <c r="CI493" s="2">
        <v>0</v>
      </c>
      <c r="CJ493" s="2">
        <v>0</v>
      </c>
      <c r="CK493" s="2">
        <v>21</v>
      </c>
      <c r="CL493" s="2" t="s">
        <v>88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"FES1162504485"</f>
        <v>FES1162504485</v>
      </c>
      <c r="F494" s="3">
        <v>42647</v>
      </c>
      <c r="G494" s="2">
        <v>201704</v>
      </c>
      <c r="H494" s="2" t="s">
        <v>74</v>
      </c>
      <c r="I494" s="2" t="s">
        <v>75</v>
      </c>
      <c r="J494" s="2" t="s">
        <v>76</v>
      </c>
      <c r="K494" s="2" t="s">
        <v>77</v>
      </c>
      <c r="L494" s="2" t="s">
        <v>160</v>
      </c>
      <c r="M494" s="2" t="s">
        <v>161</v>
      </c>
      <c r="N494" s="2" t="s">
        <v>176</v>
      </c>
      <c r="O494" s="2" t="s">
        <v>96</v>
      </c>
      <c r="P494" s="2" t="str">
        <f>"2170528199                    "</f>
        <v xml:space="preserve">2170528199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3.03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1</v>
      </c>
      <c r="BJ494" s="2">
        <v>0.2</v>
      </c>
      <c r="BK494" s="2">
        <v>1</v>
      </c>
      <c r="BL494" s="2">
        <v>40.47</v>
      </c>
      <c r="BM494" s="2">
        <v>5.67</v>
      </c>
      <c r="BN494" s="2">
        <v>46.14</v>
      </c>
      <c r="BO494" s="2">
        <v>46.14</v>
      </c>
      <c r="BP494" s="2"/>
      <c r="BQ494" s="2" t="s">
        <v>258</v>
      </c>
      <c r="BR494" s="2" t="s">
        <v>83</v>
      </c>
      <c r="BS494" s="3">
        <v>42648</v>
      </c>
      <c r="BT494" s="4">
        <v>0.41666666666666669</v>
      </c>
      <c r="BU494" s="2" t="s">
        <v>911</v>
      </c>
      <c r="BV494" s="2" t="s">
        <v>85</v>
      </c>
      <c r="BW494" s="2"/>
      <c r="BX494" s="2"/>
      <c r="BY494" s="2">
        <v>1200</v>
      </c>
      <c r="BZ494" s="2" t="s">
        <v>27</v>
      </c>
      <c r="CA494" s="2" t="s">
        <v>129</v>
      </c>
      <c r="CB494" s="2"/>
      <c r="CC494" s="2" t="s">
        <v>161</v>
      </c>
      <c r="CD494" s="2">
        <v>7405</v>
      </c>
      <c r="CE494" s="2" t="s">
        <v>103</v>
      </c>
      <c r="CF494" s="5">
        <v>42649</v>
      </c>
      <c r="CG494" s="2"/>
      <c r="CH494" s="2"/>
      <c r="CI494" s="2">
        <v>1</v>
      </c>
      <c r="CJ494" s="2">
        <v>1</v>
      </c>
      <c r="CK494" s="2">
        <v>21</v>
      </c>
      <c r="CL494" s="2" t="s">
        <v>88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"FES1162504685"</f>
        <v>FES1162504685</v>
      </c>
      <c r="F495" s="3">
        <v>42648</v>
      </c>
      <c r="G495" s="2">
        <v>201704</v>
      </c>
      <c r="H495" s="2" t="s">
        <v>74</v>
      </c>
      <c r="I495" s="2" t="s">
        <v>75</v>
      </c>
      <c r="J495" s="2" t="s">
        <v>76</v>
      </c>
      <c r="K495" s="2" t="s">
        <v>77</v>
      </c>
      <c r="L495" s="2" t="s">
        <v>119</v>
      </c>
      <c r="M495" s="2" t="s">
        <v>120</v>
      </c>
      <c r="N495" s="2" t="s">
        <v>337</v>
      </c>
      <c r="O495" s="2" t="s">
        <v>96</v>
      </c>
      <c r="P495" s="2" t="str">
        <f>"2170528339                    "</f>
        <v xml:space="preserve">2170528339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3.32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40.76</v>
      </c>
      <c r="BM495" s="2">
        <v>5.71</v>
      </c>
      <c r="BN495" s="2">
        <v>46.47</v>
      </c>
      <c r="BO495" s="2">
        <v>46.47</v>
      </c>
      <c r="BP495" s="2"/>
      <c r="BQ495" s="2" t="s">
        <v>338</v>
      </c>
      <c r="BR495" s="2" t="s">
        <v>83</v>
      </c>
      <c r="BS495" s="3">
        <v>42649</v>
      </c>
      <c r="BT495" s="4">
        <v>0.32083333333333336</v>
      </c>
      <c r="BU495" s="2" t="s">
        <v>339</v>
      </c>
      <c r="BV495" s="2" t="s">
        <v>85</v>
      </c>
      <c r="BW495" s="2"/>
      <c r="BX495" s="2"/>
      <c r="BY495" s="2">
        <v>1200</v>
      </c>
      <c r="BZ495" s="2" t="s">
        <v>27</v>
      </c>
      <c r="CA495" s="2"/>
      <c r="CB495" s="2"/>
      <c r="CC495" s="2" t="s">
        <v>120</v>
      </c>
      <c r="CD495" s="2">
        <v>6230</v>
      </c>
      <c r="CE495" s="2" t="s">
        <v>103</v>
      </c>
      <c r="CF495" s="5">
        <v>42650</v>
      </c>
      <c r="CG495" s="2"/>
      <c r="CH495" s="2"/>
      <c r="CI495" s="2">
        <v>1</v>
      </c>
      <c r="CJ495" s="2">
        <v>1</v>
      </c>
      <c r="CK495" s="2">
        <v>21</v>
      </c>
      <c r="CL495" s="2" t="s">
        <v>88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"FES1162504394"</f>
        <v>FES1162504394</v>
      </c>
      <c r="F496" s="3">
        <v>42647</v>
      </c>
      <c r="G496" s="2">
        <v>201704</v>
      </c>
      <c r="H496" s="2" t="s">
        <v>74</v>
      </c>
      <c r="I496" s="2" t="s">
        <v>75</v>
      </c>
      <c r="J496" s="2" t="s">
        <v>76</v>
      </c>
      <c r="K496" s="2" t="s">
        <v>77</v>
      </c>
      <c r="L496" s="2" t="s">
        <v>160</v>
      </c>
      <c r="M496" s="2" t="s">
        <v>161</v>
      </c>
      <c r="N496" s="2" t="s">
        <v>357</v>
      </c>
      <c r="O496" s="2" t="s">
        <v>96</v>
      </c>
      <c r="P496" s="2" t="str">
        <f>"2170527696                    "</f>
        <v xml:space="preserve">2170527696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13.65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2</v>
      </c>
      <c r="BI496" s="2">
        <v>9</v>
      </c>
      <c r="BJ496" s="2">
        <v>3.2</v>
      </c>
      <c r="BK496" s="2">
        <v>9</v>
      </c>
      <c r="BL496" s="2">
        <v>182.13</v>
      </c>
      <c r="BM496" s="2">
        <v>25.5</v>
      </c>
      <c r="BN496" s="2">
        <v>207.63</v>
      </c>
      <c r="BO496" s="2">
        <v>207.63</v>
      </c>
      <c r="BP496" s="2"/>
      <c r="BQ496" s="2" t="s">
        <v>358</v>
      </c>
      <c r="BR496" s="2" t="s">
        <v>83</v>
      </c>
      <c r="BS496" s="3">
        <v>42648</v>
      </c>
      <c r="BT496" s="4">
        <v>0.4201388888888889</v>
      </c>
      <c r="BU496" s="2" t="s">
        <v>912</v>
      </c>
      <c r="BV496" s="2" t="s">
        <v>85</v>
      </c>
      <c r="BW496" s="2"/>
      <c r="BX496" s="2"/>
      <c r="BY496" s="2">
        <v>15757.64</v>
      </c>
      <c r="BZ496" s="2" t="s">
        <v>27</v>
      </c>
      <c r="CA496" s="2" t="s">
        <v>129</v>
      </c>
      <c r="CB496" s="2"/>
      <c r="CC496" s="2" t="s">
        <v>161</v>
      </c>
      <c r="CD496" s="2">
        <v>7441</v>
      </c>
      <c r="CE496" s="2" t="s">
        <v>92</v>
      </c>
      <c r="CF496" s="5">
        <v>42649</v>
      </c>
      <c r="CG496" s="2"/>
      <c r="CH496" s="2"/>
      <c r="CI496" s="2">
        <v>1</v>
      </c>
      <c r="CJ496" s="2">
        <v>1</v>
      </c>
      <c r="CK496" s="2">
        <v>21</v>
      </c>
      <c r="CL496" s="2" t="s">
        <v>88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"FES1162504641"</f>
        <v>FES1162504641</v>
      </c>
      <c r="F497" s="3">
        <v>42648</v>
      </c>
      <c r="G497" s="2">
        <v>201704</v>
      </c>
      <c r="H497" s="2" t="s">
        <v>74</v>
      </c>
      <c r="I497" s="2" t="s">
        <v>75</v>
      </c>
      <c r="J497" s="2" t="s">
        <v>76</v>
      </c>
      <c r="K497" s="2" t="s">
        <v>77</v>
      </c>
      <c r="L497" s="2" t="s">
        <v>98</v>
      </c>
      <c r="M497" s="2" t="s">
        <v>99</v>
      </c>
      <c r="N497" s="2" t="s">
        <v>109</v>
      </c>
      <c r="O497" s="2" t="s">
        <v>96</v>
      </c>
      <c r="P497" s="2" t="str">
        <f>"2170526242                    "</f>
        <v xml:space="preserve">2170526242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29.03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2</v>
      </c>
      <c r="BI497" s="2">
        <v>10.7</v>
      </c>
      <c r="BJ497" s="2">
        <v>17.3</v>
      </c>
      <c r="BK497" s="2">
        <v>17.5</v>
      </c>
      <c r="BL497" s="2">
        <v>356.63</v>
      </c>
      <c r="BM497" s="2">
        <v>49.93</v>
      </c>
      <c r="BN497" s="2">
        <v>406.56</v>
      </c>
      <c r="BO497" s="2">
        <v>406.56</v>
      </c>
      <c r="BP497" s="2"/>
      <c r="BQ497" s="2" t="s">
        <v>110</v>
      </c>
      <c r="BR497" s="2" t="s">
        <v>83</v>
      </c>
      <c r="BS497" s="3">
        <v>42649</v>
      </c>
      <c r="BT497" s="4">
        <v>0.36458333333333331</v>
      </c>
      <c r="BU497" s="2" t="s">
        <v>629</v>
      </c>
      <c r="BV497" s="2" t="s">
        <v>85</v>
      </c>
      <c r="BW497" s="2"/>
      <c r="BX497" s="2"/>
      <c r="BY497" s="2">
        <v>86684.84</v>
      </c>
      <c r="BZ497" s="2" t="s">
        <v>27</v>
      </c>
      <c r="CA497" s="2"/>
      <c r="CB497" s="2"/>
      <c r="CC497" s="2" t="s">
        <v>99</v>
      </c>
      <c r="CD497" s="2">
        <v>6001</v>
      </c>
      <c r="CE497" s="2" t="s">
        <v>801</v>
      </c>
      <c r="CF497" s="5">
        <v>42650</v>
      </c>
      <c r="CG497" s="2"/>
      <c r="CH497" s="2"/>
      <c r="CI497" s="2">
        <v>1</v>
      </c>
      <c r="CJ497" s="2">
        <v>1</v>
      </c>
      <c r="CK497" s="2">
        <v>21</v>
      </c>
      <c r="CL497" s="2" t="s">
        <v>88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"FES1162504423"</f>
        <v>FES1162504423</v>
      </c>
      <c r="F498" s="3">
        <v>42647</v>
      </c>
      <c r="G498" s="2">
        <v>201704</v>
      </c>
      <c r="H498" s="2" t="s">
        <v>74</v>
      </c>
      <c r="I498" s="2" t="s">
        <v>75</v>
      </c>
      <c r="J498" s="2" t="s">
        <v>76</v>
      </c>
      <c r="K498" s="2" t="s">
        <v>77</v>
      </c>
      <c r="L498" s="2" t="s">
        <v>148</v>
      </c>
      <c r="M498" s="2" t="s">
        <v>149</v>
      </c>
      <c r="N498" s="2" t="s">
        <v>913</v>
      </c>
      <c r="O498" s="2" t="s">
        <v>96</v>
      </c>
      <c r="P498" s="2" t="str">
        <f>"2170528139                    "</f>
        <v xml:space="preserve">2170528139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6.07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4</v>
      </c>
      <c r="BJ498" s="2">
        <v>1.8</v>
      </c>
      <c r="BK498" s="2">
        <v>4</v>
      </c>
      <c r="BL498" s="2">
        <v>80.95</v>
      </c>
      <c r="BM498" s="2">
        <v>11.33</v>
      </c>
      <c r="BN498" s="2">
        <v>92.28</v>
      </c>
      <c r="BO498" s="2">
        <v>92.28</v>
      </c>
      <c r="BP498" s="2"/>
      <c r="BQ498" s="2" t="s">
        <v>914</v>
      </c>
      <c r="BR498" s="2" t="s">
        <v>83</v>
      </c>
      <c r="BS498" s="3">
        <v>42648</v>
      </c>
      <c r="BT498" s="4">
        <v>0.31944444444444448</v>
      </c>
      <c r="BU498" s="2"/>
      <c r="BV498" s="2"/>
      <c r="BW498" s="2"/>
      <c r="BX498" s="2"/>
      <c r="BY498" s="2">
        <v>8788.51</v>
      </c>
      <c r="BZ498" s="2" t="s">
        <v>27</v>
      </c>
      <c r="CA498" s="2" t="s">
        <v>129</v>
      </c>
      <c r="CB498" s="2"/>
      <c r="CC498" s="2" t="s">
        <v>149</v>
      </c>
      <c r="CD498" s="2">
        <v>4001</v>
      </c>
      <c r="CE498" s="2" t="s">
        <v>257</v>
      </c>
      <c r="CF498" s="5">
        <v>42649</v>
      </c>
      <c r="CG498" s="2"/>
      <c r="CH498" s="2"/>
      <c r="CI498" s="2">
        <v>0</v>
      </c>
      <c r="CJ498" s="2">
        <v>0</v>
      </c>
      <c r="CK498" s="2">
        <v>21</v>
      </c>
      <c r="CL498" s="2" t="s">
        <v>88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"FES1162504729"</f>
        <v>FES1162504729</v>
      </c>
      <c r="F499" s="3">
        <v>42648</v>
      </c>
      <c r="G499" s="2">
        <v>201704</v>
      </c>
      <c r="H499" s="2" t="s">
        <v>74</v>
      </c>
      <c r="I499" s="2" t="s">
        <v>75</v>
      </c>
      <c r="J499" s="2" t="s">
        <v>76</v>
      </c>
      <c r="K499" s="2" t="s">
        <v>77</v>
      </c>
      <c r="L499" s="2" t="s">
        <v>98</v>
      </c>
      <c r="M499" s="2" t="s">
        <v>99</v>
      </c>
      <c r="N499" s="2" t="s">
        <v>109</v>
      </c>
      <c r="O499" s="2" t="s">
        <v>96</v>
      </c>
      <c r="P499" s="2" t="str">
        <f>"2170528393                    "</f>
        <v xml:space="preserve">2170528393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3.32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1</v>
      </c>
      <c r="BJ499" s="2">
        <v>0.2</v>
      </c>
      <c r="BK499" s="2">
        <v>1</v>
      </c>
      <c r="BL499" s="2">
        <v>40.76</v>
      </c>
      <c r="BM499" s="2">
        <v>5.71</v>
      </c>
      <c r="BN499" s="2">
        <v>46.47</v>
      </c>
      <c r="BO499" s="2">
        <v>46.47</v>
      </c>
      <c r="BP499" s="2"/>
      <c r="BQ499" s="2" t="s">
        <v>110</v>
      </c>
      <c r="BR499" s="2" t="s">
        <v>83</v>
      </c>
      <c r="BS499" s="3">
        <v>42649</v>
      </c>
      <c r="BT499" s="4">
        <v>0.36458333333333331</v>
      </c>
      <c r="BU499" s="2" t="s">
        <v>629</v>
      </c>
      <c r="BV499" s="2" t="s">
        <v>85</v>
      </c>
      <c r="BW499" s="2"/>
      <c r="BX499" s="2"/>
      <c r="BY499" s="2">
        <v>1200</v>
      </c>
      <c r="BZ499" s="2" t="s">
        <v>27</v>
      </c>
      <c r="CA499" s="2"/>
      <c r="CB499" s="2"/>
      <c r="CC499" s="2" t="s">
        <v>99</v>
      </c>
      <c r="CD499" s="2">
        <v>6001</v>
      </c>
      <c r="CE499" s="2" t="s">
        <v>103</v>
      </c>
      <c r="CF499" s="5">
        <v>42650</v>
      </c>
      <c r="CG499" s="2"/>
      <c r="CH499" s="2"/>
      <c r="CI499" s="2">
        <v>1</v>
      </c>
      <c r="CJ499" s="2">
        <v>1</v>
      </c>
      <c r="CK499" s="2">
        <v>21</v>
      </c>
      <c r="CL499" s="2" t="s">
        <v>88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"FES1162504726"</f>
        <v>FES1162504726</v>
      </c>
      <c r="F500" s="3">
        <v>42648</v>
      </c>
      <c r="G500" s="2">
        <v>201704</v>
      </c>
      <c r="H500" s="2" t="s">
        <v>74</v>
      </c>
      <c r="I500" s="2" t="s">
        <v>75</v>
      </c>
      <c r="J500" s="2" t="s">
        <v>76</v>
      </c>
      <c r="K500" s="2" t="s">
        <v>77</v>
      </c>
      <c r="L500" s="2" t="s">
        <v>98</v>
      </c>
      <c r="M500" s="2" t="s">
        <v>99</v>
      </c>
      <c r="N500" s="2" t="s">
        <v>109</v>
      </c>
      <c r="O500" s="2" t="s">
        <v>96</v>
      </c>
      <c r="P500" s="2" t="str">
        <f>"2170528389                    "</f>
        <v xml:space="preserve">2170528389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3.32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1</v>
      </c>
      <c r="BJ500" s="2">
        <v>0.2</v>
      </c>
      <c r="BK500" s="2">
        <v>1</v>
      </c>
      <c r="BL500" s="2">
        <v>40.76</v>
      </c>
      <c r="BM500" s="2">
        <v>5.71</v>
      </c>
      <c r="BN500" s="2">
        <v>46.47</v>
      </c>
      <c r="BO500" s="2">
        <v>46.47</v>
      </c>
      <c r="BP500" s="2"/>
      <c r="BQ500" s="2" t="s">
        <v>110</v>
      </c>
      <c r="BR500" s="2" t="s">
        <v>83</v>
      </c>
      <c r="BS500" s="3">
        <v>42649</v>
      </c>
      <c r="BT500" s="4">
        <v>0.36458333333333331</v>
      </c>
      <c r="BU500" s="2" t="s">
        <v>629</v>
      </c>
      <c r="BV500" s="2" t="s">
        <v>85</v>
      </c>
      <c r="BW500" s="2"/>
      <c r="BX500" s="2"/>
      <c r="BY500" s="2">
        <v>1200</v>
      </c>
      <c r="BZ500" s="2" t="s">
        <v>27</v>
      </c>
      <c r="CA500" s="2"/>
      <c r="CB500" s="2"/>
      <c r="CC500" s="2" t="s">
        <v>99</v>
      </c>
      <c r="CD500" s="2">
        <v>6001</v>
      </c>
      <c r="CE500" s="2" t="s">
        <v>103</v>
      </c>
      <c r="CF500" s="5">
        <v>42650</v>
      </c>
      <c r="CG500" s="2"/>
      <c r="CH500" s="2"/>
      <c r="CI500" s="2">
        <v>1</v>
      </c>
      <c r="CJ500" s="2">
        <v>1</v>
      </c>
      <c r="CK500" s="2">
        <v>21</v>
      </c>
      <c r="CL500" s="2" t="s">
        <v>88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"FES1162504496"</f>
        <v>FES1162504496</v>
      </c>
      <c r="F501" s="3">
        <v>42647</v>
      </c>
      <c r="G501" s="2">
        <v>201704</v>
      </c>
      <c r="H501" s="2" t="s">
        <v>74</v>
      </c>
      <c r="I501" s="2" t="s">
        <v>75</v>
      </c>
      <c r="J501" s="2" t="s">
        <v>76</v>
      </c>
      <c r="K501" s="2" t="s">
        <v>77</v>
      </c>
      <c r="L501" s="2" t="s">
        <v>160</v>
      </c>
      <c r="M501" s="2" t="s">
        <v>161</v>
      </c>
      <c r="N501" s="2" t="s">
        <v>915</v>
      </c>
      <c r="O501" s="2" t="s">
        <v>96</v>
      </c>
      <c r="P501" s="2" t="str">
        <f>"2170528215                    "</f>
        <v xml:space="preserve">2170528215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3.03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1.2</v>
      </c>
      <c r="BJ501" s="2">
        <v>2</v>
      </c>
      <c r="BK501" s="2">
        <v>2</v>
      </c>
      <c r="BL501" s="2">
        <v>40.47</v>
      </c>
      <c r="BM501" s="2">
        <v>5.67</v>
      </c>
      <c r="BN501" s="2">
        <v>46.14</v>
      </c>
      <c r="BO501" s="2">
        <v>46.14</v>
      </c>
      <c r="BP501" s="2"/>
      <c r="BQ501" s="2" t="s">
        <v>91</v>
      </c>
      <c r="BR501" s="2" t="s">
        <v>83</v>
      </c>
      <c r="BS501" s="3">
        <v>42648</v>
      </c>
      <c r="BT501" s="4">
        <v>0.36944444444444446</v>
      </c>
      <c r="BU501" s="2" t="s">
        <v>916</v>
      </c>
      <c r="BV501" s="2" t="s">
        <v>85</v>
      </c>
      <c r="BW501" s="2"/>
      <c r="BX501" s="2"/>
      <c r="BY501" s="2">
        <v>10219.129999999999</v>
      </c>
      <c r="BZ501" s="2" t="s">
        <v>27</v>
      </c>
      <c r="CA501" s="2"/>
      <c r="CB501" s="2"/>
      <c r="CC501" s="2" t="s">
        <v>161</v>
      </c>
      <c r="CD501" s="2">
        <v>7441</v>
      </c>
      <c r="CE501" s="2" t="s">
        <v>257</v>
      </c>
      <c r="CF501" s="5">
        <v>42649</v>
      </c>
      <c r="CG501" s="2"/>
      <c r="CH501" s="2"/>
      <c r="CI501" s="2">
        <v>1</v>
      </c>
      <c r="CJ501" s="2">
        <v>1</v>
      </c>
      <c r="CK501" s="2">
        <v>21</v>
      </c>
      <c r="CL501" s="2" t="s">
        <v>88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"FES1162504584"</f>
        <v>FES1162504584</v>
      </c>
      <c r="F502" s="3">
        <v>42648</v>
      </c>
      <c r="G502" s="2">
        <v>201704</v>
      </c>
      <c r="H502" s="2" t="s">
        <v>74</v>
      </c>
      <c r="I502" s="2" t="s">
        <v>75</v>
      </c>
      <c r="J502" s="2" t="s">
        <v>76</v>
      </c>
      <c r="K502" s="2" t="s">
        <v>77</v>
      </c>
      <c r="L502" s="2" t="s">
        <v>414</v>
      </c>
      <c r="M502" s="2" t="s">
        <v>414</v>
      </c>
      <c r="N502" s="2" t="s">
        <v>415</v>
      </c>
      <c r="O502" s="2" t="s">
        <v>96</v>
      </c>
      <c r="P502" s="2" t="str">
        <f>"2170525987                    "</f>
        <v xml:space="preserve">2170525987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6.43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0.2</v>
      </c>
      <c r="BK502" s="2">
        <v>1</v>
      </c>
      <c r="BL502" s="2">
        <v>78.97</v>
      </c>
      <c r="BM502" s="2">
        <v>11.06</v>
      </c>
      <c r="BN502" s="2">
        <v>90.03</v>
      </c>
      <c r="BO502" s="2">
        <v>90.03</v>
      </c>
      <c r="BP502" s="2"/>
      <c r="BQ502" s="2" t="s">
        <v>117</v>
      </c>
      <c r="BR502" s="2" t="s">
        <v>83</v>
      </c>
      <c r="BS502" s="3">
        <v>42650</v>
      </c>
      <c r="BT502" s="4">
        <v>0.55208333333333337</v>
      </c>
      <c r="BU502" s="2" t="s">
        <v>416</v>
      </c>
      <c r="BV502" s="2" t="s">
        <v>85</v>
      </c>
      <c r="BW502" s="2"/>
      <c r="BX502" s="2"/>
      <c r="BY502" s="2">
        <v>1200</v>
      </c>
      <c r="BZ502" s="2" t="s">
        <v>27</v>
      </c>
      <c r="CA502" s="2"/>
      <c r="CB502" s="2"/>
      <c r="CC502" s="2" t="s">
        <v>414</v>
      </c>
      <c r="CD502" s="2">
        <v>5470</v>
      </c>
      <c r="CE502" s="2" t="s">
        <v>108</v>
      </c>
      <c r="CF502" s="5">
        <v>42656</v>
      </c>
      <c r="CG502" s="2"/>
      <c r="CH502" s="2"/>
      <c r="CI502" s="2">
        <v>4</v>
      </c>
      <c r="CJ502" s="2">
        <v>2</v>
      </c>
      <c r="CK502" s="2">
        <v>23</v>
      </c>
      <c r="CL502" s="2" t="s">
        <v>88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"FES1162504399"</f>
        <v>FES1162504399</v>
      </c>
      <c r="F503" s="3">
        <v>42647</v>
      </c>
      <c r="G503" s="2">
        <v>201704</v>
      </c>
      <c r="H503" s="2" t="s">
        <v>74</v>
      </c>
      <c r="I503" s="2" t="s">
        <v>75</v>
      </c>
      <c r="J503" s="2" t="s">
        <v>76</v>
      </c>
      <c r="K503" s="2" t="s">
        <v>77</v>
      </c>
      <c r="L503" s="2" t="s">
        <v>160</v>
      </c>
      <c r="M503" s="2" t="s">
        <v>161</v>
      </c>
      <c r="N503" s="2" t="s">
        <v>179</v>
      </c>
      <c r="O503" s="2" t="s">
        <v>96</v>
      </c>
      <c r="P503" s="2" t="str">
        <f>"2170528114                    "</f>
        <v xml:space="preserve">2170528114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3.03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0.2</v>
      </c>
      <c r="BK503" s="2">
        <v>1</v>
      </c>
      <c r="BL503" s="2">
        <v>40.47</v>
      </c>
      <c r="BM503" s="2">
        <v>5.67</v>
      </c>
      <c r="BN503" s="2">
        <v>46.14</v>
      </c>
      <c r="BO503" s="2">
        <v>46.14</v>
      </c>
      <c r="BP503" s="2"/>
      <c r="BQ503" s="2" t="s">
        <v>180</v>
      </c>
      <c r="BR503" s="2" t="s">
        <v>83</v>
      </c>
      <c r="BS503" s="3">
        <v>42648</v>
      </c>
      <c r="BT503" s="4">
        <v>0.41666666666666669</v>
      </c>
      <c r="BU503" s="2" t="s">
        <v>835</v>
      </c>
      <c r="BV503" s="2" t="s">
        <v>85</v>
      </c>
      <c r="BW503" s="2"/>
      <c r="BX503" s="2"/>
      <c r="BY503" s="2">
        <v>1200</v>
      </c>
      <c r="BZ503" s="2" t="s">
        <v>27</v>
      </c>
      <c r="CA503" s="2" t="s">
        <v>129</v>
      </c>
      <c r="CB503" s="2"/>
      <c r="CC503" s="2" t="s">
        <v>161</v>
      </c>
      <c r="CD503" s="2">
        <v>7405</v>
      </c>
      <c r="CE503" s="2" t="s">
        <v>103</v>
      </c>
      <c r="CF503" s="5">
        <v>42649</v>
      </c>
      <c r="CG503" s="2"/>
      <c r="CH503" s="2"/>
      <c r="CI503" s="2">
        <v>1</v>
      </c>
      <c r="CJ503" s="2">
        <v>1</v>
      </c>
      <c r="CK503" s="2">
        <v>21</v>
      </c>
      <c r="CL503" s="2" t="s">
        <v>88</v>
      </c>
      <c r="CM503" s="2"/>
    </row>
    <row r="504" spans="1:91">
      <c r="A504" s="2" t="s">
        <v>71</v>
      </c>
      <c r="B504" s="2" t="s">
        <v>72</v>
      </c>
      <c r="C504" s="2" t="s">
        <v>73</v>
      </c>
      <c r="D504" s="2"/>
      <c r="E504" s="2" t="str">
        <f>"FES1162504613"</f>
        <v>FES1162504613</v>
      </c>
      <c r="F504" s="3">
        <v>42648</v>
      </c>
      <c r="G504" s="2">
        <v>201704</v>
      </c>
      <c r="H504" s="2" t="s">
        <v>74</v>
      </c>
      <c r="I504" s="2" t="s">
        <v>75</v>
      </c>
      <c r="J504" s="2" t="s">
        <v>76</v>
      </c>
      <c r="K504" s="2" t="s">
        <v>77</v>
      </c>
      <c r="L504" s="2" t="s">
        <v>171</v>
      </c>
      <c r="M504" s="2" t="s">
        <v>172</v>
      </c>
      <c r="N504" s="2" t="s">
        <v>917</v>
      </c>
      <c r="O504" s="2" t="s">
        <v>96</v>
      </c>
      <c r="P504" s="2" t="str">
        <f>"2170527992                    "</f>
        <v xml:space="preserve">2170527992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3.32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</v>
      </c>
      <c r="BJ504" s="2">
        <v>0.2</v>
      </c>
      <c r="BK504" s="2">
        <v>1</v>
      </c>
      <c r="BL504" s="2">
        <v>40.76</v>
      </c>
      <c r="BM504" s="2">
        <v>5.71</v>
      </c>
      <c r="BN504" s="2">
        <v>46.47</v>
      </c>
      <c r="BO504" s="2">
        <v>46.47</v>
      </c>
      <c r="BP504" s="2"/>
      <c r="BQ504" s="2" t="s">
        <v>918</v>
      </c>
      <c r="BR504" s="2" t="s">
        <v>83</v>
      </c>
      <c r="BS504" s="3">
        <v>42649</v>
      </c>
      <c r="BT504" s="4">
        <v>0.41388888888888892</v>
      </c>
      <c r="BU504" s="2" t="s">
        <v>919</v>
      </c>
      <c r="BV504" s="2" t="s">
        <v>85</v>
      </c>
      <c r="BW504" s="2"/>
      <c r="BX504" s="2"/>
      <c r="BY504" s="2">
        <v>1200</v>
      </c>
      <c r="BZ504" s="2" t="s">
        <v>27</v>
      </c>
      <c r="CA504" s="2"/>
      <c r="CB504" s="2"/>
      <c r="CC504" s="2" t="s">
        <v>172</v>
      </c>
      <c r="CD504" s="2">
        <v>6220</v>
      </c>
      <c r="CE504" s="2" t="s">
        <v>103</v>
      </c>
      <c r="CF504" s="5">
        <v>42650</v>
      </c>
      <c r="CG504" s="2"/>
      <c r="CH504" s="2"/>
      <c r="CI504" s="2">
        <v>1</v>
      </c>
      <c r="CJ504" s="2">
        <v>1</v>
      </c>
      <c r="CK504" s="2">
        <v>21</v>
      </c>
      <c r="CL504" s="2" t="s">
        <v>88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"FES1162504380"</f>
        <v>FES1162504380</v>
      </c>
      <c r="F505" s="3">
        <v>42647</v>
      </c>
      <c r="G505" s="2">
        <v>201704</v>
      </c>
      <c r="H505" s="2" t="s">
        <v>74</v>
      </c>
      <c r="I505" s="2" t="s">
        <v>75</v>
      </c>
      <c r="J505" s="2" t="s">
        <v>76</v>
      </c>
      <c r="K505" s="2" t="s">
        <v>77</v>
      </c>
      <c r="L505" s="2" t="s">
        <v>160</v>
      </c>
      <c r="M505" s="2" t="s">
        <v>161</v>
      </c>
      <c r="N505" s="2" t="s">
        <v>176</v>
      </c>
      <c r="O505" s="2" t="s">
        <v>96</v>
      </c>
      <c r="P505" s="2" t="str">
        <f>"2170528093                    "</f>
        <v xml:space="preserve">2170528093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6.07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3</v>
      </c>
      <c r="BJ505" s="2">
        <v>3.7</v>
      </c>
      <c r="BK505" s="2">
        <v>4</v>
      </c>
      <c r="BL505" s="2">
        <v>80.95</v>
      </c>
      <c r="BM505" s="2">
        <v>11.33</v>
      </c>
      <c r="BN505" s="2">
        <v>92.28</v>
      </c>
      <c r="BO505" s="2">
        <v>92.28</v>
      </c>
      <c r="BP505" s="2"/>
      <c r="BQ505" s="2" t="s">
        <v>258</v>
      </c>
      <c r="BR505" s="2" t="s">
        <v>83</v>
      </c>
      <c r="BS505" s="3">
        <v>42648</v>
      </c>
      <c r="BT505" s="4">
        <v>0.41666666666666669</v>
      </c>
      <c r="BU505" s="2" t="s">
        <v>911</v>
      </c>
      <c r="BV505" s="2" t="s">
        <v>85</v>
      </c>
      <c r="BW505" s="2"/>
      <c r="BX505" s="2"/>
      <c r="BY505" s="2">
        <v>18375.66</v>
      </c>
      <c r="BZ505" s="2" t="s">
        <v>27</v>
      </c>
      <c r="CA505" s="2" t="s">
        <v>129</v>
      </c>
      <c r="CB505" s="2"/>
      <c r="CC505" s="2" t="s">
        <v>161</v>
      </c>
      <c r="CD505" s="2">
        <v>7405</v>
      </c>
      <c r="CE505" s="2" t="s">
        <v>257</v>
      </c>
      <c r="CF505" s="5">
        <v>42649</v>
      </c>
      <c r="CG505" s="2"/>
      <c r="CH505" s="2"/>
      <c r="CI505" s="2">
        <v>1</v>
      </c>
      <c r="CJ505" s="2">
        <v>1</v>
      </c>
      <c r="CK505" s="2">
        <v>21</v>
      </c>
      <c r="CL505" s="2" t="s">
        <v>88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"FES1162504623"</f>
        <v>FES1162504623</v>
      </c>
      <c r="F506" s="3">
        <v>42648</v>
      </c>
      <c r="G506" s="2">
        <v>201704</v>
      </c>
      <c r="H506" s="2" t="s">
        <v>74</v>
      </c>
      <c r="I506" s="2" t="s">
        <v>75</v>
      </c>
      <c r="J506" s="2" t="s">
        <v>76</v>
      </c>
      <c r="K506" s="2" t="s">
        <v>77</v>
      </c>
      <c r="L506" s="2" t="s">
        <v>171</v>
      </c>
      <c r="M506" s="2" t="s">
        <v>172</v>
      </c>
      <c r="N506" s="2" t="s">
        <v>429</v>
      </c>
      <c r="O506" s="2" t="s">
        <v>96</v>
      </c>
      <c r="P506" s="2" t="str">
        <f>"2170528084                    "</f>
        <v xml:space="preserve">2170528084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3.32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1</v>
      </c>
      <c r="BJ506" s="2">
        <v>0.2</v>
      </c>
      <c r="BK506" s="2">
        <v>1</v>
      </c>
      <c r="BL506" s="2">
        <v>40.76</v>
      </c>
      <c r="BM506" s="2">
        <v>5.71</v>
      </c>
      <c r="BN506" s="2">
        <v>46.47</v>
      </c>
      <c r="BO506" s="2">
        <v>46.47</v>
      </c>
      <c r="BP506" s="2"/>
      <c r="BQ506" s="2" t="s">
        <v>430</v>
      </c>
      <c r="BR506" s="2" t="s">
        <v>83</v>
      </c>
      <c r="BS506" s="3">
        <v>42649</v>
      </c>
      <c r="BT506" s="4">
        <v>0.41875000000000001</v>
      </c>
      <c r="BU506" s="2" t="s">
        <v>920</v>
      </c>
      <c r="BV506" s="2" t="s">
        <v>85</v>
      </c>
      <c r="BW506" s="2"/>
      <c r="BX506" s="2"/>
      <c r="BY506" s="2">
        <v>1200</v>
      </c>
      <c r="BZ506" s="2" t="s">
        <v>27</v>
      </c>
      <c r="CA506" s="2"/>
      <c r="CB506" s="2"/>
      <c r="CC506" s="2" t="s">
        <v>172</v>
      </c>
      <c r="CD506" s="2">
        <v>6220</v>
      </c>
      <c r="CE506" s="2" t="s">
        <v>103</v>
      </c>
      <c r="CF506" s="5">
        <v>42650</v>
      </c>
      <c r="CG506" s="2"/>
      <c r="CH506" s="2"/>
      <c r="CI506" s="2">
        <v>1</v>
      </c>
      <c r="CJ506" s="2">
        <v>1</v>
      </c>
      <c r="CK506" s="2">
        <v>21</v>
      </c>
      <c r="CL506" s="2" t="s">
        <v>88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"FES1162504159"</f>
        <v>FES1162504159</v>
      </c>
      <c r="F507" s="3">
        <v>42647</v>
      </c>
      <c r="G507" s="2">
        <v>201704</v>
      </c>
      <c r="H507" s="2" t="s">
        <v>74</v>
      </c>
      <c r="I507" s="2" t="s">
        <v>75</v>
      </c>
      <c r="J507" s="2" t="s">
        <v>76</v>
      </c>
      <c r="K507" s="2" t="s">
        <v>77</v>
      </c>
      <c r="L507" s="2" t="s">
        <v>921</v>
      </c>
      <c r="M507" s="2" t="s">
        <v>922</v>
      </c>
      <c r="N507" s="2" t="s">
        <v>923</v>
      </c>
      <c r="O507" s="2" t="s">
        <v>96</v>
      </c>
      <c r="P507" s="2" t="str">
        <f>"2170527948                    "</f>
        <v xml:space="preserve">2170527948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20.47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7.1</v>
      </c>
      <c r="BJ507" s="2">
        <v>3.6</v>
      </c>
      <c r="BK507" s="2">
        <v>7.5</v>
      </c>
      <c r="BL507" s="2">
        <v>273.19</v>
      </c>
      <c r="BM507" s="2">
        <v>38.25</v>
      </c>
      <c r="BN507" s="2">
        <v>311.44</v>
      </c>
      <c r="BO507" s="2">
        <v>311.44</v>
      </c>
      <c r="BP507" s="2"/>
      <c r="BQ507" s="2" t="s">
        <v>117</v>
      </c>
      <c r="BR507" s="2" t="s">
        <v>83</v>
      </c>
      <c r="BS507" s="3">
        <v>42648</v>
      </c>
      <c r="BT507" s="4">
        <v>0.38541666666666669</v>
      </c>
      <c r="BU507" s="2" t="s">
        <v>924</v>
      </c>
      <c r="BV507" s="2" t="s">
        <v>85</v>
      </c>
      <c r="BW507" s="2"/>
      <c r="BX507" s="2"/>
      <c r="BY507" s="2">
        <v>18009.22</v>
      </c>
      <c r="BZ507" s="2" t="s">
        <v>27</v>
      </c>
      <c r="CA507" s="2"/>
      <c r="CB507" s="2"/>
      <c r="CC507" s="2" t="s">
        <v>922</v>
      </c>
      <c r="CD507" s="2">
        <v>3238</v>
      </c>
      <c r="CE507" s="2" t="s">
        <v>257</v>
      </c>
      <c r="CF507" s="5">
        <v>42649</v>
      </c>
      <c r="CG507" s="2"/>
      <c r="CH507" s="2"/>
      <c r="CI507" s="2">
        <v>1</v>
      </c>
      <c r="CJ507" s="2">
        <v>1</v>
      </c>
      <c r="CK507" s="2">
        <v>23</v>
      </c>
      <c r="CL507" s="2" t="s">
        <v>88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"FES1162504567"</f>
        <v>FES1162504567</v>
      </c>
      <c r="F508" s="3">
        <v>42648</v>
      </c>
      <c r="G508" s="2">
        <v>201704</v>
      </c>
      <c r="H508" s="2" t="s">
        <v>74</v>
      </c>
      <c r="I508" s="2" t="s">
        <v>75</v>
      </c>
      <c r="J508" s="2" t="s">
        <v>76</v>
      </c>
      <c r="K508" s="2" t="s">
        <v>77</v>
      </c>
      <c r="L508" s="2" t="s">
        <v>98</v>
      </c>
      <c r="M508" s="2" t="s">
        <v>99</v>
      </c>
      <c r="N508" s="2" t="s">
        <v>224</v>
      </c>
      <c r="O508" s="2" t="s">
        <v>96</v>
      </c>
      <c r="P508" s="2" t="str">
        <f>"2170524744                    "</f>
        <v xml:space="preserve">2170524744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3.32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1</v>
      </c>
      <c r="BJ508" s="2">
        <v>0.2</v>
      </c>
      <c r="BK508" s="2">
        <v>1</v>
      </c>
      <c r="BL508" s="2">
        <v>40.76</v>
      </c>
      <c r="BM508" s="2">
        <v>5.71</v>
      </c>
      <c r="BN508" s="2">
        <v>46.47</v>
      </c>
      <c r="BO508" s="2">
        <v>46.47</v>
      </c>
      <c r="BP508" s="2"/>
      <c r="BQ508" s="2" t="s">
        <v>225</v>
      </c>
      <c r="BR508" s="2" t="s">
        <v>83</v>
      </c>
      <c r="BS508" s="3">
        <v>42649</v>
      </c>
      <c r="BT508" s="4">
        <v>0.31944444444444448</v>
      </c>
      <c r="BU508" s="2" t="s">
        <v>719</v>
      </c>
      <c r="BV508" s="2" t="s">
        <v>85</v>
      </c>
      <c r="BW508" s="2"/>
      <c r="BX508" s="2"/>
      <c r="BY508" s="2">
        <v>1200</v>
      </c>
      <c r="BZ508" s="2" t="s">
        <v>27</v>
      </c>
      <c r="CA508" s="2"/>
      <c r="CB508" s="2"/>
      <c r="CC508" s="2" t="s">
        <v>99</v>
      </c>
      <c r="CD508" s="2">
        <v>6001</v>
      </c>
      <c r="CE508" s="2" t="s">
        <v>103</v>
      </c>
      <c r="CF508" s="5">
        <v>42650</v>
      </c>
      <c r="CG508" s="2"/>
      <c r="CH508" s="2"/>
      <c r="CI508" s="2">
        <v>1</v>
      </c>
      <c r="CJ508" s="2">
        <v>1</v>
      </c>
      <c r="CK508" s="2">
        <v>21</v>
      </c>
      <c r="CL508" s="2" t="s">
        <v>88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"FES1162504346"</f>
        <v>FES1162504346</v>
      </c>
      <c r="F509" s="3">
        <v>42647</v>
      </c>
      <c r="G509" s="2">
        <v>201704</v>
      </c>
      <c r="H509" s="2" t="s">
        <v>74</v>
      </c>
      <c r="I509" s="2" t="s">
        <v>75</v>
      </c>
      <c r="J509" s="2" t="s">
        <v>76</v>
      </c>
      <c r="K509" s="2" t="s">
        <v>77</v>
      </c>
      <c r="L509" s="2" t="s">
        <v>160</v>
      </c>
      <c r="M509" s="2" t="s">
        <v>161</v>
      </c>
      <c r="N509" s="2" t="s">
        <v>750</v>
      </c>
      <c r="O509" s="2" t="s">
        <v>96</v>
      </c>
      <c r="P509" s="2" t="str">
        <f>"2170528055                    "</f>
        <v xml:space="preserve">2170528055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10.61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5</v>
      </c>
      <c r="BJ509" s="2">
        <v>6.7</v>
      </c>
      <c r="BK509" s="2">
        <v>7</v>
      </c>
      <c r="BL509" s="2">
        <v>141.65</v>
      </c>
      <c r="BM509" s="2">
        <v>19.829999999999998</v>
      </c>
      <c r="BN509" s="2">
        <v>161.47999999999999</v>
      </c>
      <c r="BO509" s="2">
        <v>161.47999999999999</v>
      </c>
      <c r="BP509" s="2"/>
      <c r="BQ509" s="2" t="s">
        <v>91</v>
      </c>
      <c r="BR509" s="2" t="s">
        <v>83</v>
      </c>
      <c r="BS509" s="3">
        <v>42648</v>
      </c>
      <c r="BT509" s="4">
        <v>0.4201388888888889</v>
      </c>
      <c r="BU509" s="2" t="s">
        <v>925</v>
      </c>
      <c r="BV509" s="2" t="s">
        <v>85</v>
      </c>
      <c r="BW509" s="2"/>
      <c r="BX509" s="2"/>
      <c r="BY509" s="2">
        <v>33445.440000000002</v>
      </c>
      <c r="BZ509" s="2" t="s">
        <v>27</v>
      </c>
      <c r="CA509" s="2"/>
      <c r="CB509" s="2"/>
      <c r="CC509" s="2" t="s">
        <v>161</v>
      </c>
      <c r="CD509" s="2">
        <v>7405</v>
      </c>
      <c r="CE509" s="2" t="s">
        <v>257</v>
      </c>
      <c r="CF509" s="5">
        <v>42649</v>
      </c>
      <c r="CG509" s="2"/>
      <c r="CH509" s="2"/>
      <c r="CI509" s="2">
        <v>1</v>
      </c>
      <c r="CJ509" s="2">
        <v>1</v>
      </c>
      <c r="CK509" s="2">
        <v>21</v>
      </c>
      <c r="CL509" s="2" t="s">
        <v>88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"FES1162504592"</f>
        <v>FES1162504592</v>
      </c>
      <c r="F510" s="3">
        <v>42648</v>
      </c>
      <c r="G510" s="2">
        <v>201704</v>
      </c>
      <c r="H510" s="2" t="s">
        <v>74</v>
      </c>
      <c r="I510" s="2" t="s">
        <v>75</v>
      </c>
      <c r="J510" s="2" t="s">
        <v>76</v>
      </c>
      <c r="K510" s="2" t="s">
        <v>77</v>
      </c>
      <c r="L510" s="2" t="s">
        <v>98</v>
      </c>
      <c r="M510" s="2" t="s">
        <v>99</v>
      </c>
      <c r="N510" s="2" t="s">
        <v>109</v>
      </c>
      <c r="O510" s="2" t="s">
        <v>96</v>
      </c>
      <c r="P510" s="2" t="str">
        <f>"2170526239                    "</f>
        <v xml:space="preserve">2170526239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3.32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1</v>
      </c>
      <c r="BJ510" s="2">
        <v>0.2</v>
      </c>
      <c r="BK510" s="2">
        <v>1</v>
      </c>
      <c r="BL510" s="2">
        <v>40.76</v>
      </c>
      <c r="BM510" s="2">
        <v>5.71</v>
      </c>
      <c r="BN510" s="2">
        <v>46.47</v>
      </c>
      <c r="BO510" s="2">
        <v>46.47</v>
      </c>
      <c r="BP510" s="2"/>
      <c r="BQ510" s="2" t="s">
        <v>110</v>
      </c>
      <c r="BR510" s="2" t="s">
        <v>83</v>
      </c>
      <c r="BS510" s="3">
        <v>42649</v>
      </c>
      <c r="BT510" s="4">
        <v>0.36458333333333331</v>
      </c>
      <c r="BU510" s="2" t="s">
        <v>629</v>
      </c>
      <c r="BV510" s="2" t="s">
        <v>85</v>
      </c>
      <c r="BW510" s="2"/>
      <c r="BX510" s="2"/>
      <c r="BY510" s="2">
        <v>1200</v>
      </c>
      <c r="BZ510" s="2" t="s">
        <v>27</v>
      </c>
      <c r="CA510" s="2"/>
      <c r="CB510" s="2"/>
      <c r="CC510" s="2" t="s">
        <v>99</v>
      </c>
      <c r="CD510" s="2">
        <v>6001</v>
      </c>
      <c r="CE510" s="2" t="s">
        <v>103</v>
      </c>
      <c r="CF510" s="5">
        <v>42650</v>
      </c>
      <c r="CG510" s="2"/>
      <c r="CH510" s="2"/>
      <c r="CI510" s="2">
        <v>1</v>
      </c>
      <c r="CJ510" s="2">
        <v>1</v>
      </c>
      <c r="CK510" s="2">
        <v>21</v>
      </c>
      <c r="CL510" s="2" t="s">
        <v>88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"FES1162504242"</f>
        <v>FES1162504242</v>
      </c>
      <c r="F511" s="3">
        <v>42647</v>
      </c>
      <c r="G511" s="2">
        <v>201704</v>
      </c>
      <c r="H511" s="2" t="s">
        <v>74</v>
      </c>
      <c r="I511" s="2" t="s">
        <v>75</v>
      </c>
      <c r="J511" s="2" t="s">
        <v>76</v>
      </c>
      <c r="K511" s="2" t="s">
        <v>77</v>
      </c>
      <c r="L511" s="2" t="s">
        <v>156</v>
      </c>
      <c r="M511" s="2" t="s">
        <v>157</v>
      </c>
      <c r="N511" s="2" t="s">
        <v>507</v>
      </c>
      <c r="O511" s="2" t="s">
        <v>96</v>
      </c>
      <c r="P511" s="2" t="str">
        <f>"2170526680                    "</f>
        <v xml:space="preserve">2170526680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5.31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3.2</v>
      </c>
      <c r="BJ511" s="2">
        <v>1.7</v>
      </c>
      <c r="BK511" s="2">
        <v>3.5</v>
      </c>
      <c r="BL511" s="2">
        <v>70.83</v>
      </c>
      <c r="BM511" s="2">
        <v>9.92</v>
      </c>
      <c r="BN511" s="2">
        <v>80.75</v>
      </c>
      <c r="BO511" s="2">
        <v>80.75</v>
      </c>
      <c r="BP511" s="2"/>
      <c r="BQ511" s="2" t="s">
        <v>508</v>
      </c>
      <c r="BR511" s="2" t="s">
        <v>83</v>
      </c>
      <c r="BS511" s="3">
        <v>42648</v>
      </c>
      <c r="BT511" s="4">
        <v>0.41666666666666669</v>
      </c>
      <c r="BU511" s="2" t="s">
        <v>926</v>
      </c>
      <c r="BV511" s="2" t="s">
        <v>85</v>
      </c>
      <c r="BW511" s="2"/>
      <c r="BX511" s="2"/>
      <c r="BY511" s="2">
        <v>8459.9500000000007</v>
      </c>
      <c r="BZ511" s="2" t="s">
        <v>27</v>
      </c>
      <c r="CA511" s="2"/>
      <c r="CB511" s="2"/>
      <c r="CC511" s="2" t="s">
        <v>157</v>
      </c>
      <c r="CD511" s="2">
        <v>7130</v>
      </c>
      <c r="CE511" s="2" t="s">
        <v>257</v>
      </c>
      <c r="CF511" s="5">
        <v>42649</v>
      </c>
      <c r="CG511" s="2"/>
      <c r="CH511" s="2"/>
      <c r="CI511" s="2">
        <v>1</v>
      </c>
      <c r="CJ511" s="2">
        <v>1</v>
      </c>
      <c r="CK511" s="2">
        <v>21</v>
      </c>
      <c r="CL511" s="2" t="s">
        <v>88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"FES1162504669"</f>
        <v>FES1162504669</v>
      </c>
      <c r="F512" s="3">
        <v>42648</v>
      </c>
      <c r="G512" s="2">
        <v>201704</v>
      </c>
      <c r="H512" s="2" t="s">
        <v>74</v>
      </c>
      <c r="I512" s="2" t="s">
        <v>75</v>
      </c>
      <c r="J512" s="2" t="s">
        <v>76</v>
      </c>
      <c r="K512" s="2" t="s">
        <v>77</v>
      </c>
      <c r="L512" s="2" t="s">
        <v>98</v>
      </c>
      <c r="M512" s="2" t="s">
        <v>99</v>
      </c>
      <c r="N512" s="2" t="s">
        <v>638</v>
      </c>
      <c r="O512" s="2" t="s">
        <v>96</v>
      </c>
      <c r="P512" s="2" t="str">
        <f>"2170523274                    "</f>
        <v xml:space="preserve">2170523274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3.32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1</v>
      </c>
      <c r="BJ512" s="2">
        <v>0.2</v>
      </c>
      <c r="BK512" s="2">
        <v>1</v>
      </c>
      <c r="BL512" s="2">
        <v>40.76</v>
      </c>
      <c r="BM512" s="2">
        <v>5.71</v>
      </c>
      <c r="BN512" s="2">
        <v>46.47</v>
      </c>
      <c r="BO512" s="2">
        <v>46.47</v>
      </c>
      <c r="BP512" s="2"/>
      <c r="BQ512" s="2" t="s">
        <v>639</v>
      </c>
      <c r="BR512" s="2" t="s">
        <v>83</v>
      </c>
      <c r="BS512" s="3">
        <v>42653</v>
      </c>
      <c r="BT512" s="4">
        <v>0.62430555555555556</v>
      </c>
      <c r="BU512" s="2" t="s">
        <v>481</v>
      </c>
      <c r="BV512" s="2"/>
      <c r="BW512" s="2"/>
      <c r="BX512" s="2"/>
      <c r="BY512" s="2">
        <v>1200</v>
      </c>
      <c r="BZ512" s="2" t="s">
        <v>27</v>
      </c>
      <c r="CA512" s="2" t="s">
        <v>482</v>
      </c>
      <c r="CB512" s="2"/>
      <c r="CC512" s="2" t="s">
        <v>99</v>
      </c>
      <c r="CD512" s="2">
        <v>6001</v>
      </c>
      <c r="CE512" s="2" t="s">
        <v>108</v>
      </c>
      <c r="CF512" s="5">
        <v>42653</v>
      </c>
      <c r="CG512" s="2"/>
      <c r="CH512" s="2"/>
      <c r="CI512" s="2">
        <v>0</v>
      </c>
      <c r="CJ512" s="2">
        <v>0</v>
      </c>
      <c r="CK512" s="2">
        <v>21</v>
      </c>
      <c r="CL512" s="2" t="s">
        <v>88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"FES1162504422"</f>
        <v>FES1162504422</v>
      </c>
      <c r="F513" s="3">
        <v>42647</v>
      </c>
      <c r="G513" s="2">
        <v>201704</v>
      </c>
      <c r="H513" s="2" t="s">
        <v>74</v>
      </c>
      <c r="I513" s="2" t="s">
        <v>75</v>
      </c>
      <c r="J513" s="2" t="s">
        <v>76</v>
      </c>
      <c r="K513" s="2" t="s">
        <v>77</v>
      </c>
      <c r="L513" s="2" t="s">
        <v>269</v>
      </c>
      <c r="M513" s="2" t="s">
        <v>270</v>
      </c>
      <c r="N513" s="2" t="s">
        <v>299</v>
      </c>
      <c r="O513" s="2" t="s">
        <v>96</v>
      </c>
      <c r="P513" s="2" t="str">
        <f>"2170528138                    "</f>
        <v xml:space="preserve">2170528138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5.31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1</v>
      </c>
      <c r="BI513" s="2">
        <v>1.2</v>
      </c>
      <c r="BJ513" s="2">
        <v>3.4</v>
      </c>
      <c r="BK513" s="2">
        <v>3.5</v>
      </c>
      <c r="BL513" s="2">
        <v>70.83</v>
      </c>
      <c r="BM513" s="2">
        <v>9.92</v>
      </c>
      <c r="BN513" s="2">
        <v>80.75</v>
      </c>
      <c r="BO513" s="2">
        <v>80.75</v>
      </c>
      <c r="BP513" s="2"/>
      <c r="BQ513" s="2" t="s">
        <v>300</v>
      </c>
      <c r="BR513" s="2" t="s">
        <v>83</v>
      </c>
      <c r="BS513" s="3">
        <v>42648</v>
      </c>
      <c r="BT513" s="4">
        <v>0.35416666666666669</v>
      </c>
      <c r="BU513" s="2" t="s">
        <v>814</v>
      </c>
      <c r="BV513" s="2" t="s">
        <v>85</v>
      </c>
      <c r="BW513" s="2"/>
      <c r="BX513" s="2"/>
      <c r="BY513" s="2">
        <v>16838.53</v>
      </c>
      <c r="BZ513" s="2" t="s">
        <v>27</v>
      </c>
      <c r="CA513" s="2"/>
      <c r="CB513" s="2"/>
      <c r="CC513" s="2" t="s">
        <v>270</v>
      </c>
      <c r="CD513" s="2">
        <v>3610</v>
      </c>
      <c r="CE513" s="2" t="s">
        <v>103</v>
      </c>
      <c r="CF513" s="5">
        <v>42649</v>
      </c>
      <c r="CG513" s="2"/>
      <c r="CH513" s="2"/>
      <c r="CI513" s="2">
        <v>1</v>
      </c>
      <c r="CJ513" s="2">
        <v>1</v>
      </c>
      <c r="CK513" s="2">
        <v>21</v>
      </c>
      <c r="CL513" s="2" t="s">
        <v>88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"FES1162504702"</f>
        <v>FES1162504702</v>
      </c>
      <c r="F514" s="3">
        <v>42648</v>
      </c>
      <c r="G514" s="2">
        <v>201704</v>
      </c>
      <c r="H514" s="2" t="s">
        <v>74</v>
      </c>
      <c r="I514" s="2" t="s">
        <v>75</v>
      </c>
      <c r="J514" s="2" t="s">
        <v>76</v>
      </c>
      <c r="K514" s="2" t="s">
        <v>77</v>
      </c>
      <c r="L514" s="2" t="s">
        <v>98</v>
      </c>
      <c r="M514" s="2" t="s">
        <v>99</v>
      </c>
      <c r="N514" s="2" t="s">
        <v>133</v>
      </c>
      <c r="O514" s="2" t="s">
        <v>96</v>
      </c>
      <c r="P514" s="2" t="str">
        <f>"2170528355                    "</f>
        <v xml:space="preserve">2170528355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3.32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</v>
      </c>
      <c r="BJ514" s="2">
        <v>0.2</v>
      </c>
      <c r="BK514" s="2">
        <v>1</v>
      </c>
      <c r="BL514" s="2">
        <v>40.76</v>
      </c>
      <c r="BM514" s="2">
        <v>5.71</v>
      </c>
      <c r="BN514" s="2">
        <v>46.47</v>
      </c>
      <c r="BO514" s="2">
        <v>46.47</v>
      </c>
      <c r="BP514" s="2"/>
      <c r="BQ514" s="2" t="s">
        <v>134</v>
      </c>
      <c r="BR514" s="2" t="s">
        <v>83</v>
      </c>
      <c r="BS514" s="3">
        <v>42649</v>
      </c>
      <c r="BT514" s="4">
        <v>0.3263888888888889</v>
      </c>
      <c r="BU514" s="2" t="s">
        <v>881</v>
      </c>
      <c r="BV514" s="2" t="s">
        <v>85</v>
      </c>
      <c r="BW514" s="2"/>
      <c r="BX514" s="2"/>
      <c r="BY514" s="2">
        <v>1200</v>
      </c>
      <c r="BZ514" s="2" t="s">
        <v>27</v>
      </c>
      <c r="CA514" s="2"/>
      <c r="CB514" s="2"/>
      <c r="CC514" s="2" t="s">
        <v>99</v>
      </c>
      <c r="CD514" s="2">
        <v>6001</v>
      </c>
      <c r="CE514" s="2" t="s">
        <v>103</v>
      </c>
      <c r="CF514" s="5">
        <v>42650</v>
      </c>
      <c r="CG514" s="2"/>
      <c r="CH514" s="2"/>
      <c r="CI514" s="2">
        <v>1</v>
      </c>
      <c r="CJ514" s="2">
        <v>1</v>
      </c>
      <c r="CK514" s="2">
        <v>21</v>
      </c>
      <c r="CL514" s="2" t="s">
        <v>88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"FES1162504400"</f>
        <v>FES1162504400</v>
      </c>
      <c r="F515" s="3">
        <v>42647</v>
      </c>
      <c r="G515" s="2">
        <v>201704</v>
      </c>
      <c r="H515" s="2" t="s">
        <v>74</v>
      </c>
      <c r="I515" s="2" t="s">
        <v>75</v>
      </c>
      <c r="J515" s="2" t="s">
        <v>76</v>
      </c>
      <c r="K515" s="2" t="s">
        <v>77</v>
      </c>
      <c r="L515" s="2" t="s">
        <v>269</v>
      </c>
      <c r="M515" s="2" t="s">
        <v>270</v>
      </c>
      <c r="N515" s="2" t="s">
        <v>804</v>
      </c>
      <c r="O515" s="2" t="s">
        <v>96</v>
      </c>
      <c r="P515" s="2" t="str">
        <f>"2170528116                    "</f>
        <v xml:space="preserve">2170528116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3.03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2</v>
      </c>
      <c r="BJ515" s="2">
        <v>1.1000000000000001</v>
      </c>
      <c r="BK515" s="2">
        <v>2</v>
      </c>
      <c r="BL515" s="2">
        <v>40.47</v>
      </c>
      <c r="BM515" s="2">
        <v>5.67</v>
      </c>
      <c r="BN515" s="2">
        <v>46.14</v>
      </c>
      <c r="BO515" s="2">
        <v>46.14</v>
      </c>
      <c r="BP515" s="2"/>
      <c r="BQ515" s="2" t="s">
        <v>805</v>
      </c>
      <c r="BR515" s="2" t="s">
        <v>83</v>
      </c>
      <c r="BS515" s="3">
        <v>42648</v>
      </c>
      <c r="BT515" s="4">
        <v>0.31875000000000003</v>
      </c>
      <c r="BU515" s="2" t="s">
        <v>806</v>
      </c>
      <c r="BV515" s="2" t="s">
        <v>85</v>
      </c>
      <c r="BW515" s="2"/>
      <c r="BX515" s="2"/>
      <c r="BY515" s="2">
        <v>5506.48</v>
      </c>
      <c r="BZ515" s="2" t="s">
        <v>27</v>
      </c>
      <c r="CA515" s="2"/>
      <c r="CB515" s="2"/>
      <c r="CC515" s="2" t="s">
        <v>270</v>
      </c>
      <c r="CD515" s="2">
        <v>3610</v>
      </c>
      <c r="CE515" s="2" t="s">
        <v>257</v>
      </c>
      <c r="CF515" s="5">
        <v>42648</v>
      </c>
      <c r="CG515" s="2"/>
      <c r="CH515" s="2"/>
      <c r="CI515" s="2">
        <v>1</v>
      </c>
      <c r="CJ515" s="2">
        <v>1</v>
      </c>
      <c r="CK515" s="2">
        <v>21</v>
      </c>
      <c r="CL515" s="2" t="s">
        <v>88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"FES1162504705"</f>
        <v>FES1162504705</v>
      </c>
      <c r="F516" s="3">
        <v>42648</v>
      </c>
      <c r="G516" s="2">
        <v>201704</v>
      </c>
      <c r="H516" s="2" t="s">
        <v>74</v>
      </c>
      <c r="I516" s="2" t="s">
        <v>75</v>
      </c>
      <c r="J516" s="2" t="s">
        <v>76</v>
      </c>
      <c r="K516" s="2" t="s">
        <v>77</v>
      </c>
      <c r="L516" s="2" t="s">
        <v>98</v>
      </c>
      <c r="M516" s="2" t="s">
        <v>99</v>
      </c>
      <c r="N516" s="2" t="s">
        <v>350</v>
      </c>
      <c r="O516" s="2" t="s">
        <v>96</v>
      </c>
      <c r="P516" s="2" t="str">
        <f>"2170528246                    "</f>
        <v xml:space="preserve">2170528246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11.61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7</v>
      </c>
      <c r="BJ516" s="2">
        <v>2.2999999999999998</v>
      </c>
      <c r="BK516" s="2">
        <v>7</v>
      </c>
      <c r="BL516" s="2">
        <v>142.65</v>
      </c>
      <c r="BM516" s="2">
        <v>19.97</v>
      </c>
      <c r="BN516" s="2">
        <v>162.62</v>
      </c>
      <c r="BO516" s="2">
        <v>162.62</v>
      </c>
      <c r="BP516" s="2"/>
      <c r="BQ516" s="2" t="s">
        <v>351</v>
      </c>
      <c r="BR516" s="2" t="s">
        <v>83</v>
      </c>
      <c r="BS516" s="3">
        <v>42649</v>
      </c>
      <c r="BT516" s="4">
        <v>0.36805555555555558</v>
      </c>
      <c r="BU516" s="2" t="s">
        <v>600</v>
      </c>
      <c r="BV516" s="2" t="s">
        <v>85</v>
      </c>
      <c r="BW516" s="2"/>
      <c r="BX516" s="2"/>
      <c r="BY516" s="2">
        <v>11579.9</v>
      </c>
      <c r="BZ516" s="2" t="s">
        <v>27</v>
      </c>
      <c r="CA516" s="2"/>
      <c r="CB516" s="2"/>
      <c r="CC516" s="2" t="s">
        <v>99</v>
      </c>
      <c r="CD516" s="2">
        <v>6001</v>
      </c>
      <c r="CE516" s="2" t="s">
        <v>257</v>
      </c>
      <c r="CF516" s="5">
        <v>42650</v>
      </c>
      <c r="CG516" s="2"/>
      <c r="CH516" s="2"/>
      <c r="CI516" s="2">
        <v>1</v>
      </c>
      <c r="CJ516" s="2">
        <v>1</v>
      </c>
      <c r="CK516" s="2">
        <v>21</v>
      </c>
      <c r="CL516" s="2" t="s">
        <v>88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"FES1162504412"</f>
        <v>FES1162504412</v>
      </c>
      <c r="F517" s="3">
        <v>42647</v>
      </c>
      <c r="G517" s="2">
        <v>201704</v>
      </c>
      <c r="H517" s="2" t="s">
        <v>74</v>
      </c>
      <c r="I517" s="2" t="s">
        <v>75</v>
      </c>
      <c r="J517" s="2" t="s">
        <v>76</v>
      </c>
      <c r="K517" s="2" t="s">
        <v>77</v>
      </c>
      <c r="L517" s="2" t="s">
        <v>156</v>
      </c>
      <c r="M517" s="2" t="s">
        <v>157</v>
      </c>
      <c r="N517" s="2" t="s">
        <v>507</v>
      </c>
      <c r="O517" s="2" t="s">
        <v>96</v>
      </c>
      <c r="P517" s="2" t="str">
        <f>"2170527868                    "</f>
        <v xml:space="preserve">2170527868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3.03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1</v>
      </c>
      <c r="BJ517" s="2">
        <v>1.1000000000000001</v>
      </c>
      <c r="BK517" s="2">
        <v>1.5</v>
      </c>
      <c r="BL517" s="2">
        <v>40.47</v>
      </c>
      <c r="BM517" s="2">
        <v>5.67</v>
      </c>
      <c r="BN517" s="2">
        <v>46.14</v>
      </c>
      <c r="BO517" s="2">
        <v>46.14</v>
      </c>
      <c r="BP517" s="2"/>
      <c r="BQ517" s="2" t="s">
        <v>508</v>
      </c>
      <c r="BR517" s="2" t="s">
        <v>83</v>
      </c>
      <c r="BS517" s="3">
        <v>42648</v>
      </c>
      <c r="BT517" s="4">
        <v>0.35069444444444442</v>
      </c>
      <c r="BU517" s="2" t="s">
        <v>926</v>
      </c>
      <c r="BV517" s="2" t="s">
        <v>85</v>
      </c>
      <c r="BW517" s="2"/>
      <c r="BX517" s="2"/>
      <c r="BY517" s="2">
        <v>5320</v>
      </c>
      <c r="BZ517" s="2" t="s">
        <v>27</v>
      </c>
      <c r="CA517" s="2"/>
      <c r="CB517" s="2"/>
      <c r="CC517" s="2" t="s">
        <v>157</v>
      </c>
      <c r="CD517" s="2">
        <v>7130</v>
      </c>
      <c r="CE517" s="2" t="s">
        <v>257</v>
      </c>
      <c r="CF517" s="5">
        <v>42649</v>
      </c>
      <c r="CG517" s="2"/>
      <c r="CH517" s="2"/>
      <c r="CI517" s="2">
        <v>1</v>
      </c>
      <c r="CJ517" s="2">
        <v>1</v>
      </c>
      <c r="CK517" s="2">
        <v>21</v>
      </c>
      <c r="CL517" s="2" t="s">
        <v>88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"FES1162504717"</f>
        <v>FES1162504717</v>
      </c>
      <c r="F518" s="3">
        <v>42648</v>
      </c>
      <c r="G518" s="2">
        <v>201704</v>
      </c>
      <c r="H518" s="2" t="s">
        <v>74</v>
      </c>
      <c r="I518" s="2" t="s">
        <v>75</v>
      </c>
      <c r="J518" s="2" t="s">
        <v>76</v>
      </c>
      <c r="K518" s="2" t="s">
        <v>77</v>
      </c>
      <c r="L518" s="2" t="s">
        <v>143</v>
      </c>
      <c r="M518" s="2" t="s">
        <v>144</v>
      </c>
      <c r="N518" s="2" t="s">
        <v>909</v>
      </c>
      <c r="O518" s="2" t="s">
        <v>96</v>
      </c>
      <c r="P518" s="2" t="str">
        <f>"2170528371                    "</f>
        <v xml:space="preserve">2170528371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3.32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40.76</v>
      </c>
      <c r="BM518" s="2">
        <v>5.71</v>
      </c>
      <c r="BN518" s="2">
        <v>46.47</v>
      </c>
      <c r="BO518" s="2">
        <v>46.47</v>
      </c>
      <c r="BP518" s="2"/>
      <c r="BQ518" s="2" t="s">
        <v>117</v>
      </c>
      <c r="BR518" s="2" t="s">
        <v>83</v>
      </c>
      <c r="BS518" s="3">
        <v>42649</v>
      </c>
      <c r="BT518" s="4">
        <v>0.41666666666666669</v>
      </c>
      <c r="BU518" s="2" t="s">
        <v>927</v>
      </c>
      <c r="BV518" s="2"/>
      <c r="BW518" s="2"/>
      <c r="BX518" s="2"/>
      <c r="BY518" s="2">
        <v>1200</v>
      </c>
      <c r="BZ518" s="2" t="s">
        <v>27</v>
      </c>
      <c r="CA518" s="2" t="s">
        <v>129</v>
      </c>
      <c r="CB518" s="2"/>
      <c r="CC518" s="2" t="s">
        <v>144</v>
      </c>
      <c r="CD518" s="2">
        <v>5201</v>
      </c>
      <c r="CE518" s="2" t="s">
        <v>103</v>
      </c>
      <c r="CF518" s="5">
        <v>42653</v>
      </c>
      <c r="CG518" s="2"/>
      <c r="CH518" s="2"/>
      <c r="CI518" s="2">
        <v>0</v>
      </c>
      <c r="CJ518" s="2">
        <v>0</v>
      </c>
      <c r="CK518" s="2">
        <v>21</v>
      </c>
      <c r="CL518" s="2" t="s">
        <v>88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"FES1162504469"</f>
        <v>FES1162504469</v>
      </c>
      <c r="F519" s="3">
        <v>42647</v>
      </c>
      <c r="G519" s="2">
        <v>201704</v>
      </c>
      <c r="H519" s="2" t="s">
        <v>74</v>
      </c>
      <c r="I519" s="2" t="s">
        <v>75</v>
      </c>
      <c r="J519" s="2" t="s">
        <v>76</v>
      </c>
      <c r="K519" s="2" t="s">
        <v>77</v>
      </c>
      <c r="L519" s="2" t="s">
        <v>137</v>
      </c>
      <c r="M519" s="2" t="s">
        <v>138</v>
      </c>
      <c r="N519" s="2" t="s">
        <v>928</v>
      </c>
      <c r="O519" s="2" t="s">
        <v>96</v>
      </c>
      <c r="P519" s="2" t="str">
        <f>"2170528195                    "</f>
        <v xml:space="preserve">2170528195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3.03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2</v>
      </c>
      <c r="BJ519" s="2">
        <v>1.9</v>
      </c>
      <c r="BK519" s="2">
        <v>2</v>
      </c>
      <c r="BL519" s="2">
        <v>40.47</v>
      </c>
      <c r="BM519" s="2">
        <v>5.67</v>
      </c>
      <c r="BN519" s="2">
        <v>46.14</v>
      </c>
      <c r="BO519" s="2">
        <v>46.14</v>
      </c>
      <c r="BP519" s="2"/>
      <c r="BQ519" s="2" t="s">
        <v>117</v>
      </c>
      <c r="BR519" s="2" t="s">
        <v>83</v>
      </c>
      <c r="BS519" s="3">
        <v>42648</v>
      </c>
      <c r="BT519" s="4">
        <v>0.36458333333333331</v>
      </c>
      <c r="BU519" s="2" t="s">
        <v>929</v>
      </c>
      <c r="BV519" s="2"/>
      <c r="BW519" s="2"/>
      <c r="BX519" s="2"/>
      <c r="BY519" s="2">
        <v>9374.08</v>
      </c>
      <c r="BZ519" s="2" t="s">
        <v>27</v>
      </c>
      <c r="CA519" s="2" t="s">
        <v>613</v>
      </c>
      <c r="CB519" s="2"/>
      <c r="CC519" s="2" t="s">
        <v>138</v>
      </c>
      <c r="CD519" s="2">
        <v>3201</v>
      </c>
      <c r="CE519" s="2" t="s">
        <v>257</v>
      </c>
      <c r="CF519" s="5">
        <v>42648</v>
      </c>
      <c r="CG519" s="2"/>
      <c r="CH519" s="2"/>
      <c r="CI519" s="2">
        <v>0</v>
      </c>
      <c r="CJ519" s="2">
        <v>0</v>
      </c>
      <c r="CK519" s="2">
        <v>21</v>
      </c>
      <c r="CL519" s="2" t="s">
        <v>88</v>
      </c>
      <c r="CM519" s="2"/>
    </row>
    <row r="520" spans="1:91">
      <c r="A520" s="2" t="s">
        <v>71</v>
      </c>
      <c r="B520" s="2" t="s">
        <v>72</v>
      </c>
      <c r="C520" s="2" t="s">
        <v>73</v>
      </c>
      <c r="D520" s="2"/>
      <c r="E520" s="2" t="str">
        <f>"FES1162504572"</f>
        <v>FES1162504572</v>
      </c>
      <c r="F520" s="3">
        <v>42648</v>
      </c>
      <c r="G520" s="2">
        <v>201704</v>
      </c>
      <c r="H520" s="2" t="s">
        <v>74</v>
      </c>
      <c r="I520" s="2" t="s">
        <v>75</v>
      </c>
      <c r="J520" s="2" t="s">
        <v>76</v>
      </c>
      <c r="K520" s="2" t="s">
        <v>77</v>
      </c>
      <c r="L520" s="2" t="s">
        <v>98</v>
      </c>
      <c r="M520" s="2" t="s">
        <v>99</v>
      </c>
      <c r="N520" s="2" t="s">
        <v>224</v>
      </c>
      <c r="O520" s="2" t="s">
        <v>96</v>
      </c>
      <c r="P520" s="2" t="str">
        <f>"2170525617                    "</f>
        <v xml:space="preserve">2170525617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3.32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</v>
      </c>
      <c r="BJ520" s="2">
        <v>0.2</v>
      </c>
      <c r="BK520" s="2">
        <v>1</v>
      </c>
      <c r="BL520" s="2">
        <v>40.76</v>
      </c>
      <c r="BM520" s="2">
        <v>5.71</v>
      </c>
      <c r="BN520" s="2">
        <v>46.47</v>
      </c>
      <c r="BO520" s="2">
        <v>46.47</v>
      </c>
      <c r="BP520" s="2"/>
      <c r="BQ520" s="2" t="s">
        <v>225</v>
      </c>
      <c r="BR520" s="2" t="s">
        <v>83</v>
      </c>
      <c r="BS520" s="3">
        <v>42649</v>
      </c>
      <c r="BT520" s="4">
        <v>0.31944444444444448</v>
      </c>
      <c r="BU520" s="2" t="s">
        <v>719</v>
      </c>
      <c r="BV520" s="2" t="s">
        <v>85</v>
      </c>
      <c r="BW520" s="2"/>
      <c r="BX520" s="2"/>
      <c r="BY520" s="2">
        <v>1200</v>
      </c>
      <c r="BZ520" s="2" t="s">
        <v>27</v>
      </c>
      <c r="CA520" s="2"/>
      <c r="CB520" s="2"/>
      <c r="CC520" s="2" t="s">
        <v>99</v>
      </c>
      <c r="CD520" s="2">
        <v>6001</v>
      </c>
      <c r="CE520" s="2" t="s">
        <v>103</v>
      </c>
      <c r="CF520" s="5">
        <v>42650</v>
      </c>
      <c r="CG520" s="2"/>
      <c r="CH520" s="2"/>
      <c r="CI520" s="2">
        <v>1</v>
      </c>
      <c r="CJ520" s="2">
        <v>1</v>
      </c>
      <c r="CK520" s="2">
        <v>21</v>
      </c>
      <c r="CL520" s="2" t="s">
        <v>88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"FES1162504456"</f>
        <v>FES1162504456</v>
      </c>
      <c r="F521" s="3">
        <v>42647</v>
      </c>
      <c r="G521" s="2">
        <v>201704</v>
      </c>
      <c r="H521" s="2" t="s">
        <v>74</v>
      </c>
      <c r="I521" s="2" t="s">
        <v>75</v>
      </c>
      <c r="J521" s="2" t="s">
        <v>76</v>
      </c>
      <c r="K521" s="2" t="s">
        <v>77</v>
      </c>
      <c r="L521" s="2" t="s">
        <v>160</v>
      </c>
      <c r="M521" s="2" t="s">
        <v>161</v>
      </c>
      <c r="N521" s="2" t="s">
        <v>930</v>
      </c>
      <c r="O521" s="2" t="s">
        <v>96</v>
      </c>
      <c r="P521" s="2" t="str">
        <f>"2170528181                    "</f>
        <v xml:space="preserve">2170528181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3.03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1</v>
      </c>
      <c r="BJ521" s="2">
        <v>0.2</v>
      </c>
      <c r="BK521" s="2">
        <v>1</v>
      </c>
      <c r="BL521" s="2">
        <v>40.47</v>
      </c>
      <c r="BM521" s="2">
        <v>5.67</v>
      </c>
      <c r="BN521" s="2">
        <v>46.14</v>
      </c>
      <c r="BO521" s="2">
        <v>46.14</v>
      </c>
      <c r="BP521" s="2"/>
      <c r="BQ521" s="2" t="s">
        <v>931</v>
      </c>
      <c r="BR521" s="2" t="s">
        <v>83</v>
      </c>
      <c r="BS521" s="3">
        <v>42648</v>
      </c>
      <c r="BT521" s="4">
        <v>0.41666666666666669</v>
      </c>
      <c r="BU521" s="2" t="s">
        <v>932</v>
      </c>
      <c r="BV521" s="2" t="s">
        <v>85</v>
      </c>
      <c r="BW521" s="2"/>
      <c r="BX521" s="2"/>
      <c r="BY521" s="2">
        <v>1200</v>
      </c>
      <c r="BZ521" s="2" t="s">
        <v>27</v>
      </c>
      <c r="CA521" s="2" t="s">
        <v>933</v>
      </c>
      <c r="CB521" s="2"/>
      <c r="CC521" s="2" t="s">
        <v>161</v>
      </c>
      <c r="CD521" s="2">
        <v>7460</v>
      </c>
      <c r="CE521" s="2" t="s">
        <v>108</v>
      </c>
      <c r="CF521" s="5">
        <v>42648</v>
      </c>
      <c r="CG521" s="2"/>
      <c r="CH521" s="2"/>
      <c r="CI521" s="2">
        <v>1</v>
      </c>
      <c r="CJ521" s="2">
        <v>1</v>
      </c>
      <c r="CK521" s="2">
        <v>21</v>
      </c>
      <c r="CL521" s="2" t="s">
        <v>88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"FES1162504715"</f>
        <v>FES1162504715</v>
      </c>
      <c r="F522" s="3">
        <v>42648</v>
      </c>
      <c r="G522" s="2">
        <v>201704</v>
      </c>
      <c r="H522" s="2" t="s">
        <v>74</v>
      </c>
      <c r="I522" s="2" t="s">
        <v>75</v>
      </c>
      <c r="J522" s="2" t="s">
        <v>76</v>
      </c>
      <c r="K522" s="2" t="s">
        <v>77</v>
      </c>
      <c r="L522" s="2" t="s">
        <v>98</v>
      </c>
      <c r="M522" s="2" t="s">
        <v>99</v>
      </c>
      <c r="N522" s="2" t="s">
        <v>104</v>
      </c>
      <c r="O522" s="2" t="s">
        <v>96</v>
      </c>
      <c r="P522" s="2" t="str">
        <f>"2170528368                    "</f>
        <v xml:space="preserve">2170528368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3.32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1</v>
      </c>
      <c r="BJ522" s="2">
        <v>0.2</v>
      </c>
      <c r="BK522" s="2">
        <v>1</v>
      </c>
      <c r="BL522" s="2">
        <v>40.76</v>
      </c>
      <c r="BM522" s="2">
        <v>5.71</v>
      </c>
      <c r="BN522" s="2">
        <v>46.47</v>
      </c>
      <c r="BO522" s="2">
        <v>46.47</v>
      </c>
      <c r="BP522" s="2"/>
      <c r="BQ522" s="2" t="s">
        <v>105</v>
      </c>
      <c r="BR522" s="2" t="s">
        <v>83</v>
      </c>
      <c r="BS522" s="3">
        <v>42649</v>
      </c>
      <c r="BT522" s="4">
        <v>0.3833333333333333</v>
      </c>
      <c r="BU522" s="2" t="s">
        <v>105</v>
      </c>
      <c r="BV522" s="2" t="s">
        <v>85</v>
      </c>
      <c r="BW522" s="2"/>
      <c r="BX522" s="2"/>
      <c r="BY522" s="2">
        <v>1200</v>
      </c>
      <c r="BZ522" s="2" t="s">
        <v>27</v>
      </c>
      <c r="CA522" s="2"/>
      <c r="CB522" s="2"/>
      <c r="CC522" s="2" t="s">
        <v>99</v>
      </c>
      <c r="CD522" s="2">
        <v>6001</v>
      </c>
      <c r="CE522" s="2" t="s">
        <v>103</v>
      </c>
      <c r="CF522" s="5">
        <v>42650</v>
      </c>
      <c r="CG522" s="2"/>
      <c r="CH522" s="2"/>
      <c r="CI522" s="2">
        <v>1</v>
      </c>
      <c r="CJ522" s="2">
        <v>1</v>
      </c>
      <c r="CK522" s="2">
        <v>21</v>
      </c>
      <c r="CL522" s="2" t="s">
        <v>88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"FES1162504486"</f>
        <v>FES1162504486</v>
      </c>
      <c r="F523" s="3">
        <v>42647</v>
      </c>
      <c r="G523" s="2">
        <v>201704</v>
      </c>
      <c r="H523" s="2" t="s">
        <v>74</v>
      </c>
      <c r="I523" s="2" t="s">
        <v>75</v>
      </c>
      <c r="J523" s="2" t="s">
        <v>76</v>
      </c>
      <c r="K523" s="2" t="s">
        <v>77</v>
      </c>
      <c r="L523" s="2" t="s">
        <v>98</v>
      </c>
      <c r="M523" s="2" t="s">
        <v>99</v>
      </c>
      <c r="N523" s="2" t="s">
        <v>109</v>
      </c>
      <c r="O523" s="2" t="s">
        <v>96</v>
      </c>
      <c r="P523" s="2" t="str">
        <f>"2170528202                    "</f>
        <v xml:space="preserve">2170528202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28.81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2</v>
      </c>
      <c r="BI523" s="2">
        <v>19</v>
      </c>
      <c r="BJ523" s="2">
        <v>17.899999999999999</v>
      </c>
      <c r="BK523" s="2">
        <v>19</v>
      </c>
      <c r="BL523" s="2">
        <v>384.49</v>
      </c>
      <c r="BM523" s="2">
        <v>53.83</v>
      </c>
      <c r="BN523" s="2">
        <v>438.32</v>
      </c>
      <c r="BO523" s="2">
        <v>438.32</v>
      </c>
      <c r="BP523" s="2"/>
      <c r="BQ523" s="2" t="s">
        <v>110</v>
      </c>
      <c r="BR523" s="2" t="s">
        <v>83</v>
      </c>
      <c r="BS523" s="3">
        <v>42648</v>
      </c>
      <c r="BT523" s="4">
        <v>0.39583333333333331</v>
      </c>
      <c r="BU523" s="2" t="s">
        <v>111</v>
      </c>
      <c r="BV523" s="2" t="s">
        <v>85</v>
      </c>
      <c r="BW523" s="2"/>
      <c r="BX523" s="2"/>
      <c r="BY523" s="2">
        <v>89589.64</v>
      </c>
      <c r="BZ523" s="2" t="s">
        <v>27</v>
      </c>
      <c r="CA523" s="2" t="s">
        <v>107</v>
      </c>
      <c r="CB523" s="2"/>
      <c r="CC523" s="2" t="s">
        <v>99</v>
      </c>
      <c r="CD523" s="2">
        <v>6001</v>
      </c>
      <c r="CE523" s="2" t="s">
        <v>904</v>
      </c>
      <c r="CF523" s="5">
        <v>42648</v>
      </c>
      <c r="CG523" s="2"/>
      <c r="CH523" s="2"/>
      <c r="CI523" s="2">
        <v>1</v>
      </c>
      <c r="CJ523" s="2">
        <v>1</v>
      </c>
      <c r="CK523" s="2">
        <v>21</v>
      </c>
      <c r="CL523" s="2" t="s">
        <v>88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"FES1162504642"</f>
        <v>FES1162504642</v>
      </c>
      <c r="F524" s="3">
        <v>42648</v>
      </c>
      <c r="G524" s="2">
        <v>201704</v>
      </c>
      <c r="H524" s="2" t="s">
        <v>74</v>
      </c>
      <c r="I524" s="2" t="s">
        <v>75</v>
      </c>
      <c r="J524" s="2" t="s">
        <v>76</v>
      </c>
      <c r="K524" s="2" t="s">
        <v>77</v>
      </c>
      <c r="L524" s="2" t="s">
        <v>98</v>
      </c>
      <c r="M524" s="2" t="s">
        <v>99</v>
      </c>
      <c r="N524" s="2" t="s">
        <v>109</v>
      </c>
      <c r="O524" s="2" t="s">
        <v>96</v>
      </c>
      <c r="P524" s="2" t="str">
        <f>"2170526252                    "</f>
        <v xml:space="preserve">2170526252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29.85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2</v>
      </c>
      <c r="BI524" s="2">
        <v>11.7</v>
      </c>
      <c r="BJ524" s="2">
        <v>18</v>
      </c>
      <c r="BK524" s="2">
        <v>18</v>
      </c>
      <c r="BL524" s="2">
        <v>366.81</v>
      </c>
      <c r="BM524" s="2">
        <v>51.35</v>
      </c>
      <c r="BN524" s="2">
        <v>418.16</v>
      </c>
      <c r="BO524" s="2">
        <v>418.16</v>
      </c>
      <c r="BP524" s="2"/>
      <c r="BQ524" s="2" t="s">
        <v>110</v>
      </c>
      <c r="BR524" s="2" t="s">
        <v>83</v>
      </c>
      <c r="BS524" s="3">
        <v>42649</v>
      </c>
      <c r="BT524" s="4">
        <v>0.36458333333333331</v>
      </c>
      <c r="BU524" s="2" t="s">
        <v>629</v>
      </c>
      <c r="BV524" s="2" t="s">
        <v>85</v>
      </c>
      <c r="BW524" s="2"/>
      <c r="BX524" s="2"/>
      <c r="BY524" s="2">
        <v>89935.69</v>
      </c>
      <c r="BZ524" s="2" t="s">
        <v>27</v>
      </c>
      <c r="CA524" s="2"/>
      <c r="CB524" s="2"/>
      <c r="CC524" s="2" t="s">
        <v>99</v>
      </c>
      <c r="CD524" s="2">
        <v>6001</v>
      </c>
      <c r="CE524" s="2" t="s">
        <v>801</v>
      </c>
      <c r="CF524" s="5">
        <v>42650</v>
      </c>
      <c r="CG524" s="2"/>
      <c r="CH524" s="2"/>
      <c r="CI524" s="2">
        <v>1</v>
      </c>
      <c r="CJ524" s="2">
        <v>1</v>
      </c>
      <c r="CK524" s="2">
        <v>21</v>
      </c>
      <c r="CL524" s="2" t="s">
        <v>88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"FES1162504482"</f>
        <v>FES1162504482</v>
      </c>
      <c r="F525" s="3">
        <v>42647</v>
      </c>
      <c r="G525" s="2">
        <v>201704</v>
      </c>
      <c r="H525" s="2" t="s">
        <v>74</v>
      </c>
      <c r="I525" s="2" t="s">
        <v>75</v>
      </c>
      <c r="J525" s="2" t="s">
        <v>76</v>
      </c>
      <c r="K525" s="2" t="s">
        <v>77</v>
      </c>
      <c r="L525" s="2" t="s">
        <v>98</v>
      </c>
      <c r="M525" s="2" t="s">
        <v>99</v>
      </c>
      <c r="N525" s="2" t="s">
        <v>109</v>
      </c>
      <c r="O525" s="2" t="s">
        <v>96</v>
      </c>
      <c r="P525" s="2" t="str">
        <f>"2170527672                    "</f>
        <v xml:space="preserve">2170527672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8.34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5.2</v>
      </c>
      <c r="BJ525" s="2">
        <v>1.1000000000000001</v>
      </c>
      <c r="BK525" s="2">
        <v>5.5</v>
      </c>
      <c r="BL525" s="2">
        <v>111.3</v>
      </c>
      <c r="BM525" s="2">
        <v>15.58</v>
      </c>
      <c r="BN525" s="2">
        <v>126.88</v>
      </c>
      <c r="BO525" s="2">
        <v>126.88</v>
      </c>
      <c r="BP525" s="2"/>
      <c r="BQ525" s="2" t="s">
        <v>110</v>
      </c>
      <c r="BR525" s="2" t="s">
        <v>83</v>
      </c>
      <c r="BS525" s="3">
        <v>42648</v>
      </c>
      <c r="BT525" s="4">
        <v>0.39583333333333331</v>
      </c>
      <c r="BU525" s="2" t="s">
        <v>111</v>
      </c>
      <c r="BV525" s="2" t="s">
        <v>85</v>
      </c>
      <c r="BW525" s="2"/>
      <c r="BX525" s="2"/>
      <c r="BY525" s="2">
        <v>5582.92</v>
      </c>
      <c r="BZ525" s="2" t="s">
        <v>27</v>
      </c>
      <c r="CA525" s="2" t="s">
        <v>107</v>
      </c>
      <c r="CB525" s="2"/>
      <c r="CC525" s="2" t="s">
        <v>99</v>
      </c>
      <c r="CD525" s="2">
        <v>6001</v>
      </c>
      <c r="CE525" s="2" t="s">
        <v>257</v>
      </c>
      <c r="CF525" s="5">
        <v>42648</v>
      </c>
      <c r="CG525" s="2"/>
      <c r="CH525" s="2"/>
      <c r="CI525" s="2">
        <v>1</v>
      </c>
      <c r="CJ525" s="2">
        <v>1</v>
      </c>
      <c r="CK525" s="2">
        <v>21</v>
      </c>
      <c r="CL525" s="2" t="s">
        <v>88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"FES1162504640"</f>
        <v>FES1162504640</v>
      </c>
      <c r="F526" s="3">
        <v>42648</v>
      </c>
      <c r="G526" s="2">
        <v>201704</v>
      </c>
      <c r="H526" s="2" t="s">
        <v>74</v>
      </c>
      <c r="I526" s="2" t="s">
        <v>75</v>
      </c>
      <c r="J526" s="2" t="s">
        <v>76</v>
      </c>
      <c r="K526" s="2" t="s">
        <v>77</v>
      </c>
      <c r="L526" s="2" t="s">
        <v>323</v>
      </c>
      <c r="M526" s="2" t="s">
        <v>324</v>
      </c>
      <c r="N526" s="2" t="s">
        <v>325</v>
      </c>
      <c r="O526" s="2" t="s">
        <v>96</v>
      </c>
      <c r="P526" s="2" t="str">
        <f>"2170525873                    "</f>
        <v xml:space="preserve">2170525873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6.63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3.3</v>
      </c>
      <c r="BJ526" s="2">
        <v>3.8</v>
      </c>
      <c r="BK526" s="2">
        <v>4</v>
      </c>
      <c r="BL526" s="2">
        <v>81.510000000000005</v>
      </c>
      <c r="BM526" s="2">
        <v>11.41</v>
      </c>
      <c r="BN526" s="2">
        <v>92.92</v>
      </c>
      <c r="BO526" s="2">
        <v>92.92</v>
      </c>
      <c r="BP526" s="2"/>
      <c r="BQ526" s="2" t="s">
        <v>117</v>
      </c>
      <c r="BR526" s="2" t="s">
        <v>83</v>
      </c>
      <c r="BS526" s="3">
        <v>42649</v>
      </c>
      <c r="BT526" s="4">
        <v>0.375</v>
      </c>
      <c r="BU526" s="2" t="s">
        <v>736</v>
      </c>
      <c r="BV526" s="2"/>
      <c r="BW526" s="2"/>
      <c r="BX526" s="2"/>
      <c r="BY526" s="2">
        <v>18966.53</v>
      </c>
      <c r="BZ526" s="2" t="s">
        <v>27</v>
      </c>
      <c r="CA526" s="2"/>
      <c r="CB526" s="2"/>
      <c r="CC526" s="2" t="s">
        <v>324</v>
      </c>
      <c r="CD526" s="2">
        <v>9301</v>
      </c>
      <c r="CE526" s="2" t="s">
        <v>257</v>
      </c>
      <c r="CF526" s="5">
        <v>42650</v>
      </c>
      <c r="CG526" s="2"/>
      <c r="CH526" s="2"/>
      <c r="CI526" s="2">
        <v>0</v>
      </c>
      <c r="CJ526" s="2">
        <v>0</v>
      </c>
      <c r="CK526" s="2">
        <v>21</v>
      </c>
      <c r="CL526" s="2" t="s">
        <v>88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"FES1162504439"</f>
        <v>FES1162504439</v>
      </c>
      <c r="F527" s="3">
        <v>42647</v>
      </c>
      <c r="G527" s="2">
        <v>201704</v>
      </c>
      <c r="H527" s="2" t="s">
        <v>74</v>
      </c>
      <c r="I527" s="2" t="s">
        <v>75</v>
      </c>
      <c r="J527" s="2" t="s">
        <v>76</v>
      </c>
      <c r="K527" s="2" t="s">
        <v>77</v>
      </c>
      <c r="L527" s="2" t="s">
        <v>160</v>
      </c>
      <c r="M527" s="2" t="s">
        <v>161</v>
      </c>
      <c r="N527" s="2" t="s">
        <v>176</v>
      </c>
      <c r="O527" s="2" t="s">
        <v>96</v>
      </c>
      <c r="P527" s="2" t="str">
        <f>"2170528158                    "</f>
        <v xml:space="preserve">2170528158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3.03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1</v>
      </c>
      <c r="BJ527" s="2">
        <v>0.2</v>
      </c>
      <c r="BK527" s="2">
        <v>1</v>
      </c>
      <c r="BL527" s="2">
        <v>40.47</v>
      </c>
      <c r="BM527" s="2">
        <v>5.67</v>
      </c>
      <c r="BN527" s="2">
        <v>46.14</v>
      </c>
      <c r="BO527" s="2">
        <v>46.14</v>
      </c>
      <c r="BP527" s="2"/>
      <c r="BQ527" s="2" t="s">
        <v>258</v>
      </c>
      <c r="BR527" s="2" t="s">
        <v>83</v>
      </c>
      <c r="BS527" s="3">
        <v>42648</v>
      </c>
      <c r="BT527" s="4">
        <v>0.41666666666666669</v>
      </c>
      <c r="BU527" s="2" t="s">
        <v>911</v>
      </c>
      <c r="BV527" s="2" t="s">
        <v>85</v>
      </c>
      <c r="BW527" s="2"/>
      <c r="BX527" s="2"/>
      <c r="BY527" s="2">
        <v>1200</v>
      </c>
      <c r="BZ527" s="2" t="s">
        <v>27</v>
      </c>
      <c r="CA527" s="2" t="s">
        <v>129</v>
      </c>
      <c r="CB527" s="2"/>
      <c r="CC527" s="2" t="s">
        <v>161</v>
      </c>
      <c r="CD527" s="2">
        <v>7405</v>
      </c>
      <c r="CE527" s="2" t="s">
        <v>103</v>
      </c>
      <c r="CF527" s="5">
        <v>42649</v>
      </c>
      <c r="CG527" s="2"/>
      <c r="CH527" s="2"/>
      <c r="CI527" s="2">
        <v>1</v>
      </c>
      <c r="CJ527" s="2">
        <v>1</v>
      </c>
      <c r="CK527" s="2">
        <v>21</v>
      </c>
      <c r="CL527" s="2" t="s">
        <v>88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"FES1162504573"</f>
        <v>FES1162504573</v>
      </c>
      <c r="F528" s="3">
        <v>42648</v>
      </c>
      <c r="G528" s="2">
        <v>201704</v>
      </c>
      <c r="H528" s="2" t="s">
        <v>74</v>
      </c>
      <c r="I528" s="2" t="s">
        <v>75</v>
      </c>
      <c r="J528" s="2" t="s">
        <v>76</v>
      </c>
      <c r="K528" s="2" t="s">
        <v>77</v>
      </c>
      <c r="L528" s="2" t="s">
        <v>98</v>
      </c>
      <c r="M528" s="2" t="s">
        <v>99</v>
      </c>
      <c r="N528" s="2" t="s">
        <v>934</v>
      </c>
      <c r="O528" s="2" t="s">
        <v>96</v>
      </c>
      <c r="P528" s="2" t="str">
        <f>"2170525619                    "</f>
        <v xml:space="preserve">2170525619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8.2899999999999991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4.9000000000000004</v>
      </c>
      <c r="BJ528" s="2">
        <v>1.7</v>
      </c>
      <c r="BK528" s="2">
        <v>5</v>
      </c>
      <c r="BL528" s="2">
        <v>101.89</v>
      </c>
      <c r="BM528" s="2">
        <v>14.26</v>
      </c>
      <c r="BN528" s="2">
        <v>116.15</v>
      </c>
      <c r="BO528" s="2">
        <v>116.15</v>
      </c>
      <c r="BP528" s="2"/>
      <c r="BQ528" s="2" t="s">
        <v>935</v>
      </c>
      <c r="BR528" s="2" t="s">
        <v>83</v>
      </c>
      <c r="BS528" s="6" t="s">
        <v>679</v>
      </c>
      <c r="BT528" s="2"/>
      <c r="BU528" s="2"/>
      <c r="BV528" s="2"/>
      <c r="BW528" s="2"/>
      <c r="BX528" s="2"/>
      <c r="BY528" s="2">
        <v>8261.19</v>
      </c>
      <c r="BZ528" s="2" t="s">
        <v>27</v>
      </c>
      <c r="CA528" s="2"/>
      <c r="CB528" s="2"/>
      <c r="CC528" s="2" t="s">
        <v>99</v>
      </c>
      <c r="CD528" s="2">
        <v>6001</v>
      </c>
      <c r="CE528" s="2" t="s">
        <v>86</v>
      </c>
      <c r="CF528" s="2"/>
      <c r="CG528" s="2"/>
      <c r="CH528" s="2"/>
      <c r="CI528" s="2">
        <v>1</v>
      </c>
      <c r="CJ528" s="2" t="s">
        <v>679</v>
      </c>
      <c r="CK528" s="2">
        <v>21</v>
      </c>
      <c r="CL528" s="2" t="s">
        <v>88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"FES1162504479"</f>
        <v>FES1162504479</v>
      </c>
      <c r="F529" s="3">
        <v>42647</v>
      </c>
      <c r="G529" s="2">
        <v>201704</v>
      </c>
      <c r="H529" s="2" t="s">
        <v>74</v>
      </c>
      <c r="I529" s="2" t="s">
        <v>75</v>
      </c>
      <c r="J529" s="2" t="s">
        <v>76</v>
      </c>
      <c r="K529" s="2" t="s">
        <v>77</v>
      </c>
      <c r="L529" s="2" t="s">
        <v>143</v>
      </c>
      <c r="M529" s="2" t="s">
        <v>144</v>
      </c>
      <c r="N529" s="2" t="s">
        <v>216</v>
      </c>
      <c r="O529" s="2" t="s">
        <v>96</v>
      </c>
      <c r="P529" s="2" t="str">
        <f>"2170523704                    "</f>
        <v xml:space="preserve">2170523704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5.31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1</v>
      </c>
      <c r="BI529" s="2">
        <v>3.5</v>
      </c>
      <c r="BJ529" s="2">
        <v>2.4</v>
      </c>
      <c r="BK529" s="2">
        <v>3.5</v>
      </c>
      <c r="BL529" s="2">
        <v>70.83</v>
      </c>
      <c r="BM529" s="2">
        <v>9.92</v>
      </c>
      <c r="BN529" s="2">
        <v>80.75</v>
      </c>
      <c r="BO529" s="2">
        <v>80.75</v>
      </c>
      <c r="BP529" s="2"/>
      <c r="BQ529" s="2" t="s">
        <v>91</v>
      </c>
      <c r="BR529" s="2" t="s">
        <v>83</v>
      </c>
      <c r="BS529" s="3">
        <v>42648</v>
      </c>
      <c r="BT529" s="4">
        <v>0.41666666666666669</v>
      </c>
      <c r="BU529" s="2" t="s">
        <v>276</v>
      </c>
      <c r="BV529" s="2" t="s">
        <v>85</v>
      </c>
      <c r="BW529" s="2"/>
      <c r="BX529" s="2"/>
      <c r="BY529" s="2">
        <v>12141.02</v>
      </c>
      <c r="BZ529" s="2" t="s">
        <v>27</v>
      </c>
      <c r="CA529" s="2"/>
      <c r="CB529" s="2"/>
      <c r="CC529" s="2" t="s">
        <v>144</v>
      </c>
      <c r="CD529" s="2">
        <v>5201</v>
      </c>
      <c r="CE529" s="2" t="s">
        <v>103</v>
      </c>
      <c r="CF529" s="5">
        <v>42649</v>
      </c>
      <c r="CG529" s="2"/>
      <c r="CH529" s="2"/>
      <c r="CI529" s="2">
        <v>1</v>
      </c>
      <c r="CJ529" s="2">
        <v>1</v>
      </c>
      <c r="CK529" s="2">
        <v>21</v>
      </c>
      <c r="CL529" s="2" t="s">
        <v>88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"FES1162504632"</f>
        <v>FES1162504632</v>
      </c>
      <c r="F530" s="3">
        <v>42648</v>
      </c>
      <c r="G530" s="2">
        <v>201704</v>
      </c>
      <c r="H530" s="2" t="s">
        <v>74</v>
      </c>
      <c r="I530" s="2" t="s">
        <v>75</v>
      </c>
      <c r="J530" s="2" t="s">
        <v>76</v>
      </c>
      <c r="K530" s="2" t="s">
        <v>77</v>
      </c>
      <c r="L530" s="2" t="s">
        <v>171</v>
      </c>
      <c r="M530" s="2" t="s">
        <v>172</v>
      </c>
      <c r="N530" s="2" t="s">
        <v>429</v>
      </c>
      <c r="O530" s="2" t="s">
        <v>96</v>
      </c>
      <c r="P530" s="2" t="str">
        <f>"2170526546                    "</f>
        <v xml:space="preserve">2170526546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14.93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8.6999999999999993</v>
      </c>
      <c r="BJ530" s="2">
        <v>9</v>
      </c>
      <c r="BK530" s="2">
        <v>9</v>
      </c>
      <c r="BL530" s="2">
        <v>183.41</v>
      </c>
      <c r="BM530" s="2">
        <v>25.68</v>
      </c>
      <c r="BN530" s="2">
        <v>209.09</v>
      </c>
      <c r="BO530" s="2">
        <v>209.09</v>
      </c>
      <c r="BP530" s="2"/>
      <c r="BQ530" s="2" t="s">
        <v>430</v>
      </c>
      <c r="BR530" s="2" t="s">
        <v>83</v>
      </c>
      <c r="BS530" s="3">
        <v>42649</v>
      </c>
      <c r="BT530" s="4">
        <v>0.3298611111111111</v>
      </c>
      <c r="BU530" s="2" t="s">
        <v>920</v>
      </c>
      <c r="BV530" s="2" t="s">
        <v>85</v>
      </c>
      <c r="BW530" s="2"/>
      <c r="BX530" s="2"/>
      <c r="BY530" s="2">
        <v>44898.75</v>
      </c>
      <c r="BZ530" s="2" t="s">
        <v>27</v>
      </c>
      <c r="CA530" s="2"/>
      <c r="CB530" s="2"/>
      <c r="CC530" s="2" t="s">
        <v>172</v>
      </c>
      <c r="CD530" s="2">
        <v>6220</v>
      </c>
      <c r="CE530" s="2" t="s">
        <v>257</v>
      </c>
      <c r="CF530" s="5">
        <v>42650</v>
      </c>
      <c r="CG530" s="2"/>
      <c r="CH530" s="2"/>
      <c r="CI530" s="2">
        <v>1</v>
      </c>
      <c r="CJ530" s="2">
        <v>1</v>
      </c>
      <c r="CK530" s="2">
        <v>21</v>
      </c>
      <c r="CL530" s="2" t="s">
        <v>88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"FES1162504434"</f>
        <v>FES1162504434</v>
      </c>
      <c r="F531" s="3">
        <v>42647</v>
      </c>
      <c r="G531" s="2">
        <v>201704</v>
      </c>
      <c r="H531" s="2" t="s">
        <v>74</v>
      </c>
      <c r="I531" s="2" t="s">
        <v>75</v>
      </c>
      <c r="J531" s="2" t="s">
        <v>76</v>
      </c>
      <c r="K531" s="2" t="s">
        <v>77</v>
      </c>
      <c r="L531" s="2" t="s">
        <v>160</v>
      </c>
      <c r="M531" s="2" t="s">
        <v>161</v>
      </c>
      <c r="N531" s="2" t="s">
        <v>334</v>
      </c>
      <c r="O531" s="2" t="s">
        <v>96</v>
      </c>
      <c r="P531" s="2" t="str">
        <f>"2170528151                    "</f>
        <v xml:space="preserve">2170528151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3.03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</v>
      </c>
      <c r="BJ531" s="2">
        <v>0.2</v>
      </c>
      <c r="BK531" s="2">
        <v>1</v>
      </c>
      <c r="BL531" s="2">
        <v>40.47</v>
      </c>
      <c r="BM531" s="2">
        <v>5.67</v>
      </c>
      <c r="BN531" s="2">
        <v>46.14</v>
      </c>
      <c r="BO531" s="2">
        <v>46.14</v>
      </c>
      <c r="BP531" s="2"/>
      <c r="BQ531" s="2" t="s">
        <v>168</v>
      </c>
      <c r="BR531" s="2" t="s">
        <v>83</v>
      </c>
      <c r="BS531" s="3">
        <v>42648</v>
      </c>
      <c r="BT531" s="4">
        <v>0.45833333333333331</v>
      </c>
      <c r="BU531" s="2" t="s">
        <v>936</v>
      </c>
      <c r="BV531" s="2" t="s">
        <v>85</v>
      </c>
      <c r="BW531" s="2"/>
      <c r="BX531" s="2"/>
      <c r="BY531" s="2">
        <v>1200</v>
      </c>
      <c r="BZ531" s="2" t="s">
        <v>27</v>
      </c>
      <c r="CA531" s="2"/>
      <c r="CB531" s="2"/>
      <c r="CC531" s="2" t="s">
        <v>161</v>
      </c>
      <c r="CD531" s="2">
        <v>7945</v>
      </c>
      <c r="CE531" s="2" t="s">
        <v>103</v>
      </c>
      <c r="CF531" s="5">
        <v>42649</v>
      </c>
      <c r="CG531" s="2"/>
      <c r="CH531" s="2"/>
      <c r="CI531" s="2">
        <v>1</v>
      </c>
      <c r="CJ531" s="2">
        <v>1</v>
      </c>
      <c r="CK531" s="2">
        <v>21</v>
      </c>
      <c r="CL531" s="2" t="s">
        <v>88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"FES1162504603"</f>
        <v>FES1162504603</v>
      </c>
      <c r="F532" s="3">
        <v>42648</v>
      </c>
      <c r="G532" s="2">
        <v>201704</v>
      </c>
      <c r="H532" s="2" t="s">
        <v>74</v>
      </c>
      <c r="I532" s="2" t="s">
        <v>75</v>
      </c>
      <c r="J532" s="2" t="s">
        <v>76</v>
      </c>
      <c r="K532" s="2" t="s">
        <v>77</v>
      </c>
      <c r="L532" s="2" t="s">
        <v>98</v>
      </c>
      <c r="M532" s="2" t="s">
        <v>99</v>
      </c>
      <c r="N532" s="2" t="s">
        <v>551</v>
      </c>
      <c r="O532" s="2" t="s">
        <v>96</v>
      </c>
      <c r="P532" s="2" t="str">
        <f>"2170527158                    "</f>
        <v xml:space="preserve">2170527158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12.44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1</v>
      </c>
      <c r="BI532" s="2">
        <v>7.1</v>
      </c>
      <c r="BJ532" s="2">
        <v>4</v>
      </c>
      <c r="BK532" s="2">
        <v>7.5</v>
      </c>
      <c r="BL532" s="2">
        <v>152.84</v>
      </c>
      <c r="BM532" s="2">
        <v>21.4</v>
      </c>
      <c r="BN532" s="2">
        <v>174.24</v>
      </c>
      <c r="BO532" s="2">
        <v>174.24</v>
      </c>
      <c r="BP532" s="2"/>
      <c r="BQ532" s="2" t="s">
        <v>552</v>
      </c>
      <c r="BR532" s="2" t="s">
        <v>83</v>
      </c>
      <c r="BS532" s="3">
        <v>42649</v>
      </c>
      <c r="BT532" s="4">
        <v>0.41319444444444442</v>
      </c>
      <c r="BU532" s="2" t="s">
        <v>431</v>
      </c>
      <c r="BV532" s="2" t="s">
        <v>85</v>
      </c>
      <c r="BW532" s="2"/>
      <c r="BX532" s="2"/>
      <c r="BY532" s="2">
        <v>20132.54</v>
      </c>
      <c r="BZ532" s="2" t="s">
        <v>27</v>
      </c>
      <c r="CA532" s="2"/>
      <c r="CB532" s="2"/>
      <c r="CC532" s="2" t="s">
        <v>99</v>
      </c>
      <c r="CD532" s="2">
        <v>6001</v>
      </c>
      <c r="CE532" s="2" t="s">
        <v>257</v>
      </c>
      <c r="CF532" s="5">
        <v>42650</v>
      </c>
      <c r="CG532" s="2"/>
      <c r="CH532" s="2"/>
      <c r="CI532" s="2">
        <v>1</v>
      </c>
      <c r="CJ532" s="2">
        <v>1</v>
      </c>
      <c r="CK532" s="2">
        <v>21</v>
      </c>
      <c r="CL532" s="2" t="s">
        <v>88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"FES1162504245"</f>
        <v>FES1162504245</v>
      </c>
      <c r="F533" s="3">
        <v>42647</v>
      </c>
      <c r="G533" s="2">
        <v>201704</v>
      </c>
      <c r="H533" s="2" t="s">
        <v>74</v>
      </c>
      <c r="I533" s="2" t="s">
        <v>75</v>
      </c>
      <c r="J533" s="2" t="s">
        <v>76</v>
      </c>
      <c r="K533" s="2" t="s">
        <v>77</v>
      </c>
      <c r="L533" s="2" t="s">
        <v>160</v>
      </c>
      <c r="M533" s="2" t="s">
        <v>161</v>
      </c>
      <c r="N533" s="2" t="s">
        <v>227</v>
      </c>
      <c r="O533" s="2" t="s">
        <v>96</v>
      </c>
      <c r="P533" s="2" t="str">
        <f>"2170526725                    "</f>
        <v xml:space="preserve">2170526725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3.03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0.5</v>
      </c>
      <c r="BJ533" s="2">
        <v>1.3</v>
      </c>
      <c r="BK533" s="2">
        <v>1.5</v>
      </c>
      <c r="BL533" s="2">
        <v>40.47</v>
      </c>
      <c r="BM533" s="2">
        <v>5.67</v>
      </c>
      <c r="BN533" s="2">
        <v>46.14</v>
      </c>
      <c r="BO533" s="2">
        <v>46.14</v>
      </c>
      <c r="BP533" s="2"/>
      <c r="BQ533" s="2" t="s">
        <v>91</v>
      </c>
      <c r="BR533" s="2" t="s">
        <v>83</v>
      </c>
      <c r="BS533" s="3">
        <v>42648</v>
      </c>
      <c r="BT533" s="4">
        <v>0.35555555555555557</v>
      </c>
      <c r="BU533" s="2" t="s">
        <v>937</v>
      </c>
      <c r="BV533" s="2" t="s">
        <v>85</v>
      </c>
      <c r="BW533" s="2"/>
      <c r="BX533" s="2"/>
      <c r="BY533" s="2">
        <v>6681</v>
      </c>
      <c r="BZ533" s="2" t="s">
        <v>27</v>
      </c>
      <c r="CA533" s="2" t="s">
        <v>933</v>
      </c>
      <c r="CB533" s="2"/>
      <c r="CC533" s="2" t="s">
        <v>161</v>
      </c>
      <c r="CD533" s="2">
        <v>7460</v>
      </c>
      <c r="CE533" s="2" t="s">
        <v>108</v>
      </c>
      <c r="CF533" s="5">
        <v>42648</v>
      </c>
      <c r="CG533" s="2"/>
      <c r="CH533" s="2"/>
      <c r="CI533" s="2">
        <v>1</v>
      </c>
      <c r="CJ533" s="2">
        <v>1</v>
      </c>
      <c r="CK533" s="2">
        <v>21</v>
      </c>
      <c r="CL533" s="2" t="s">
        <v>88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"FES1162504555"</f>
        <v>FES1162504555</v>
      </c>
      <c r="F534" s="3">
        <v>42648</v>
      </c>
      <c r="G534" s="2">
        <v>201704</v>
      </c>
      <c r="H534" s="2" t="s">
        <v>74</v>
      </c>
      <c r="I534" s="2" t="s">
        <v>75</v>
      </c>
      <c r="J534" s="2" t="s">
        <v>76</v>
      </c>
      <c r="K534" s="2" t="s">
        <v>77</v>
      </c>
      <c r="L534" s="2" t="s">
        <v>938</v>
      </c>
      <c r="M534" s="2" t="s">
        <v>939</v>
      </c>
      <c r="N534" s="2" t="s">
        <v>940</v>
      </c>
      <c r="O534" s="2" t="s">
        <v>96</v>
      </c>
      <c r="P534" s="2" t="str">
        <f>"2170528273                    "</f>
        <v xml:space="preserve">2170528273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6.43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1</v>
      </c>
      <c r="BJ534" s="2">
        <v>0.2</v>
      </c>
      <c r="BK534" s="2">
        <v>1</v>
      </c>
      <c r="BL534" s="2">
        <v>78.97</v>
      </c>
      <c r="BM534" s="2">
        <v>11.06</v>
      </c>
      <c r="BN534" s="2">
        <v>90.03</v>
      </c>
      <c r="BO534" s="2">
        <v>90.03</v>
      </c>
      <c r="BP534" s="2"/>
      <c r="BQ534" s="2" t="s">
        <v>941</v>
      </c>
      <c r="BR534" s="2" t="s">
        <v>83</v>
      </c>
      <c r="BS534" s="3">
        <v>42650</v>
      </c>
      <c r="BT534" s="4">
        <v>0</v>
      </c>
      <c r="BU534" s="2" t="s">
        <v>942</v>
      </c>
      <c r="BV534" s="2" t="s">
        <v>85</v>
      </c>
      <c r="BW534" s="2"/>
      <c r="BX534" s="2"/>
      <c r="BY534" s="2">
        <v>1200</v>
      </c>
      <c r="BZ534" s="2" t="s">
        <v>27</v>
      </c>
      <c r="CA534" s="2"/>
      <c r="CB534" s="2"/>
      <c r="CC534" s="2" t="s">
        <v>939</v>
      </c>
      <c r="CD534" s="2">
        <v>5319</v>
      </c>
      <c r="CE534" s="2" t="s">
        <v>108</v>
      </c>
      <c r="CF534" s="5">
        <v>42654</v>
      </c>
      <c r="CG534" s="2"/>
      <c r="CH534" s="2"/>
      <c r="CI534" s="2">
        <v>4</v>
      </c>
      <c r="CJ534" s="2">
        <v>2</v>
      </c>
      <c r="CK534" s="2">
        <v>23</v>
      </c>
      <c r="CL534" s="2" t="s">
        <v>88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"FES1162504222"</f>
        <v>FES1162504222</v>
      </c>
      <c r="F535" s="3">
        <v>42647</v>
      </c>
      <c r="G535" s="2">
        <v>201704</v>
      </c>
      <c r="H535" s="2" t="s">
        <v>74</v>
      </c>
      <c r="I535" s="2" t="s">
        <v>75</v>
      </c>
      <c r="J535" s="2" t="s">
        <v>76</v>
      </c>
      <c r="K535" s="2" t="s">
        <v>77</v>
      </c>
      <c r="L535" s="2" t="s">
        <v>156</v>
      </c>
      <c r="M535" s="2" t="s">
        <v>157</v>
      </c>
      <c r="N535" s="2" t="s">
        <v>158</v>
      </c>
      <c r="O535" s="2" t="s">
        <v>96</v>
      </c>
      <c r="P535" s="2" t="str">
        <f>"2170526015                    "</f>
        <v xml:space="preserve">2170526015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3.03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1</v>
      </c>
      <c r="BJ535" s="2">
        <v>0.2</v>
      </c>
      <c r="BK535" s="2">
        <v>1</v>
      </c>
      <c r="BL535" s="2">
        <v>40.47</v>
      </c>
      <c r="BM535" s="2">
        <v>5.67</v>
      </c>
      <c r="BN535" s="2">
        <v>46.14</v>
      </c>
      <c r="BO535" s="2">
        <v>46.14</v>
      </c>
      <c r="BP535" s="2"/>
      <c r="BQ535" s="2" t="s">
        <v>91</v>
      </c>
      <c r="BR535" s="2" t="s">
        <v>83</v>
      </c>
      <c r="BS535" s="3">
        <v>42648</v>
      </c>
      <c r="BT535" s="4">
        <v>0.3840277777777778</v>
      </c>
      <c r="BU535" s="2" t="s">
        <v>943</v>
      </c>
      <c r="BV535" s="2" t="s">
        <v>85</v>
      </c>
      <c r="BW535" s="2"/>
      <c r="BX535" s="2"/>
      <c r="BY535" s="2">
        <v>1200</v>
      </c>
      <c r="BZ535" s="2" t="s">
        <v>27</v>
      </c>
      <c r="CA535" s="2"/>
      <c r="CB535" s="2"/>
      <c r="CC535" s="2" t="s">
        <v>157</v>
      </c>
      <c r="CD535" s="2">
        <v>7130</v>
      </c>
      <c r="CE535" s="2" t="s">
        <v>103</v>
      </c>
      <c r="CF535" s="5">
        <v>42649</v>
      </c>
      <c r="CG535" s="2"/>
      <c r="CH535" s="2"/>
      <c r="CI535" s="2">
        <v>1</v>
      </c>
      <c r="CJ535" s="2">
        <v>1</v>
      </c>
      <c r="CK535" s="2">
        <v>21</v>
      </c>
      <c r="CL535" s="2" t="s">
        <v>88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"FES1162504587"</f>
        <v>FES1162504587</v>
      </c>
      <c r="F536" s="3">
        <v>42648</v>
      </c>
      <c r="G536" s="2">
        <v>201704</v>
      </c>
      <c r="H536" s="2" t="s">
        <v>74</v>
      </c>
      <c r="I536" s="2" t="s">
        <v>75</v>
      </c>
      <c r="J536" s="2" t="s">
        <v>76</v>
      </c>
      <c r="K536" s="2" t="s">
        <v>77</v>
      </c>
      <c r="L536" s="2" t="s">
        <v>98</v>
      </c>
      <c r="M536" s="2" t="s">
        <v>99</v>
      </c>
      <c r="N536" s="2" t="s">
        <v>109</v>
      </c>
      <c r="O536" s="2" t="s">
        <v>96</v>
      </c>
      <c r="P536" s="2" t="str">
        <f>"2170526076                    "</f>
        <v xml:space="preserve">2170526076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3.32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1</v>
      </c>
      <c r="BJ536" s="2">
        <v>0.2</v>
      </c>
      <c r="BK536" s="2">
        <v>1</v>
      </c>
      <c r="BL536" s="2">
        <v>40.76</v>
      </c>
      <c r="BM536" s="2">
        <v>5.71</v>
      </c>
      <c r="BN536" s="2">
        <v>46.47</v>
      </c>
      <c r="BO536" s="2">
        <v>46.47</v>
      </c>
      <c r="BP536" s="2"/>
      <c r="BQ536" s="2" t="s">
        <v>110</v>
      </c>
      <c r="BR536" s="2" t="s">
        <v>83</v>
      </c>
      <c r="BS536" s="3">
        <v>42649</v>
      </c>
      <c r="BT536" s="4">
        <v>0.36458333333333331</v>
      </c>
      <c r="BU536" s="2" t="s">
        <v>629</v>
      </c>
      <c r="BV536" s="2" t="s">
        <v>85</v>
      </c>
      <c r="BW536" s="2"/>
      <c r="BX536" s="2"/>
      <c r="BY536" s="2">
        <v>1200</v>
      </c>
      <c r="BZ536" s="2" t="s">
        <v>27</v>
      </c>
      <c r="CA536" s="2"/>
      <c r="CB536" s="2"/>
      <c r="CC536" s="2" t="s">
        <v>99</v>
      </c>
      <c r="CD536" s="2">
        <v>6001</v>
      </c>
      <c r="CE536" s="2" t="s">
        <v>103</v>
      </c>
      <c r="CF536" s="5">
        <v>42650</v>
      </c>
      <c r="CG536" s="2"/>
      <c r="CH536" s="2"/>
      <c r="CI536" s="2">
        <v>1</v>
      </c>
      <c r="CJ536" s="2">
        <v>1</v>
      </c>
      <c r="CK536" s="2">
        <v>21</v>
      </c>
      <c r="CL536" s="2" t="s">
        <v>88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"FES1162504239"</f>
        <v>FES1162504239</v>
      </c>
      <c r="F537" s="3">
        <v>42647</v>
      </c>
      <c r="G537" s="2">
        <v>201704</v>
      </c>
      <c r="H537" s="2" t="s">
        <v>74</v>
      </c>
      <c r="I537" s="2" t="s">
        <v>75</v>
      </c>
      <c r="J537" s="2" t="s">
        <v>76</v>
      </c>
      <c r="K537" s="2" t="s">
        <v>77</v>
      </c>
      <c r="L537" s="2" t="s">
        <v>160</v>
      </c>
      <c r="M537" s="2" t="s">
        <v>161</v>
      </c>
      <c r="N537" s="2" t="s">
        <v>452</v>
      </c>
      <c r="O537" s="2" t="s">
        <v>96</v>
      </c>
      <c r="P537" s="2" t="str">
        <f>"2170526580                    "</f>
        <v xml:space="preserve">2170526580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3.03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1</v>
      </c>
      <c r="BJ537" s="2">
        <v>0.2</v>
      </c>
      <c r="BK537" s="2">
        <v>1</v>
      </c>
      <c r="BL537" s="2">
        <v>40.47</v>
      </c>
      <c r="BM537" s="2">
        <v>5.67</v>
      </c>
      <c r="BN537" s="2">
        <v>46.14</v>
      </c>
      <c r="BO537" s="2">
        <v>46.14</v>
      </c>
      <c r="BP537" s="2"/>
      <c r="BQ537" s="2" t="s">
        <v>453</v>
      </c>
      <c r="BR537" s="2" t="s">
        <v>83</v>
      </c>
      <c r="BS537" s="3">
        <v>42648</v>
      </c>
      <c r="BT537" s="4">
        <v>0.44305555555555554</v>
      </c>
      <c r="BU537" s="2" t="s">
        <v>944</v>
      </c>
      <c r="BV537" s="2" t="s">
        <v>85</v>
      </c>
      <c r="BW537" s="2"/>
      <c r="BX537" s="2"/>
      <c r="BY537" s="2">
        <v>1200</v>
      </c>
      <c r="BZ537" s="2" t="s">
        <v>27</v>
      </c>
      <c r="CA537" s="2"/>
      <c r="CB537" s="2"/>
      <c r="CC537" s="2" t="s">
        <v>161</v>
      </c>
      <c r="CD537" s="2">
        <v>7530</v>
      </c>
      <c r="CE537" s="2" t="s">
        <v>103</v>
      </c>
      <c r="CF537" s="5">
        <v>42649</v>
      </c>
      <c r="CG537" s="2"/>
      <c r="CH537" s="2"/>
      <c r="CI537" s="2">
        <v>1</v>
      </c>
      <c r="CJ537" s="2">
        <v>1</v>
      </c>
      <c r="CK537" s="2">
        <v>21</v>
      </c>
      <c r="CL537" s="2" t="s">
        <v>88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"FES1162504155"</f>
        <v>FES1162504155</v>
      </c>
      <c r="F538" s="3">
        <v>42647</v>
      </c>
      <c r="G538" s="2">
        <v>201704</v>
      </c>
      <c r="H538" s="2" t="s">
        <v>74</v>
      </c>
      <c r="I538" s="2" t="s">
        <v>75</v>
      </c>
      <c r="J538" s="2" t="s">
        <v>76</v>
      </c>
      <c r="K538" s="2" t="s">
        <v>77</v>
      </c>
      <c r="L538" s="2" t="s">
        <v>148</v>
      </c>
      <c r="M538" s="2" t="s">
        <v>149</v>
      </c>
      <c r="N538" s="2" t="s">
        <v>293</v>
      </c>
      <c r="O538" s="2" t="s">
        <v>96</v>
      </c>
      <c r="P538" s="2" t="str">
        <f>"2170527958                    "</f>
        <v xml:space="preserve">2170527958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3.03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</v>
      </c>
      <c r="BJ538" s="2">
        <v>0.2</v>
      </c>
      <c r="BK538" s="2">
        <v>1</v>
      </c>
      <c r="BL538" s="2">
        <v>40.47</v>
      </c>
      <c r="BM538" s="2">
        <v>5.67</v>
      </c>
      <c r="BN538" s="2">
        <v>46.14</v>
      </c>
      <c r="BO538" s="2">
        <v>46.14</v>
      </c>
      <c r="BP538" s="2"/>
      <c r="BQ538" s="2" t="s">
        <v>294</v>
      </c>
      <c r="BR538" s="2" t="s">
        <v>83</v>
      </c>
      <c r="BS538" s="3">
        <v>42648</v>
      </c>
      <c r="BT538" s="4">
        <v>0.4375</v>
      </c>
      <c r="BU538" s="2" t="s">
        <v>945</v>
      </c>
      <c r="BV538" s="2" t="s">
        <v>85</v>
      </c>
      <c r="BW538" s="2"/>
      <c r="BX538" s="2"/>
      <c r="BY538" s="2">
        <v>1200</v>
      </c>
      <c r="BZ538" s="2" t="s">
        <v>27</v>
      </c>
      <c r="CA538" s="2"/>
      <c r="CB538" s="2"/>
      <c r="CC538" s="2" t="s">
        <v>149</v>
      </c>
      <c r="CD538" s="2">
        <v>4051</v>
      </c>
      <c r="CE538" s="2" t="s">
        <v>103</v>
      </c>
      <c r="CF538" s="5">
        <v>42649</v>
      </c>
      <c r="CG538" s="2"/>
      <c r="CH538" s="2"/>
      <c r="CI538" s="2">
        <v>1</v>
      </c>
      <c r="CJ538" s="2">
        <v>1</v>
      </c>
      <c r="CK538" s="2">
        <v>21</v>
      </c>
      <c r="CL538" s="2" t="s">
        <v>88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"FES1162504622"</f>
        <v>FES1162504622</v>
      </c>
      <c r="F539" s="3">
        <v>42648</v>
      </c>
      <c r="G539" s="2">
        <v>201704</v>
      </c>
      <c r="H539" s="2" t="s">
        <v>74</v>
      </c>
      <c r="I539" s="2" t="s">
        <v>75</v>
      </c>
      <c r="J539" s="2" t="s">
        <v>76</v>
      </c>
      <c r="K539" s="2" t="s">
        <v>77</v>
      </c>
      <c r="L539" s="2" t="s">
        <v>171</v>
      </c>
      <c r="M539" s="2" t="s">
        <v>172</v>
      </c>
      <c r="N539" s="2" t="s">
        <v>429</v>
      </c>
      <c r="O539" s="2" t="s">
        <v>96</v>
      </c>
      <c r="P539" s="2" t="str">
        <f>"2170527709                    "</f>
        <v xml:space="preserve">2170527709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3.32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1.2</v>
      </c>
      <c r="BJ539" s="2">
        <v>0.2</v>
      </c>
      <c r="BK539" s="2">
        <v>1.5</v>
      </c>
      <c r="BL539" s="2">
        <v>40.76</v>
      </c>
      <c r="BM539" s="2">
        <v>5.71</v>
      </c>
      <c r="BN539" s="2">
        <v>46.47</v>
      </c>
      <c r="BO539" s="2">
        <v>46.47</v>
      </c>
      <c r="BP539" s="2"/>
      <c r="BQ539" s="2" t="s">
        <v>430</v>
      </c>
      <c r="BR539" s="2" t="s">
        <v>83</v>
      </c>
      <c r="BS539" s="3">
        <v>42649</v>
      </c>
      <c r="BT539" s="4">
        <v>0.42291666666666666</v>
      </c>
      <c r="BU539" s="2" t="s">
        <v>920</v>
      </c>
      <c r="BV539" s="2" t="s">
        <v>85</v>
      </c>
      <c r="BW539" s="2"/>
      <c r="BX539" s="2"/>
      <c r="BY539" s="2">
        <v>1200</v>
      </c>
      <c r="BZ539" s="2" t="s">
        <v>27</v>
      </c>
      <c r="CA539" s="2"/>
      <c r="CB539" s="2"/>
      <c r="CC539" s="2" t="s">
        <v>172</v>
      </c>
      <c r="CD539" s="2">
        <v>6220</v>
      </c>
      <c r="CE539" s="2" t="s">
        <v>103</v>
      </c>
      <c r="CF539" s="5">
        <v>42650</v>
      </c>
      <c r="CG539" s="2"/>
      <c r="CH539" s="2"/>
      <c r="CI539" s="2">
        <v>1</v>
      </c>
      <c r="CJ539" s="2">
        <v>1</v>
      </c>
      <c r="CK539" s="2">
        <v>21</v>
      </c>
      <c r="CL539" s="2" t="s">
        <v>88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"FES1162504435"</f>
        <v>FES1162504435</v>
      </c>
      <c r="F540" s="3">
        <v>42647</v>
      </c>
      <c r="G540" s="2">
        <v>201704</v>
      </c>
      <c r="H540" s="2" t="s">
        <v>74</v>
      </c>
      <c r="I540" s="2" t="s">
        <v>75</v>
      </c>
      <c r="J540" s="2" t="s">
        <v>76</v>
      </c>
      <c r="K540" s="2" t="s">
        <v>77</v>
      </c>
      <c r="L540" s="2" t="s">
        <v>153</v>
      </c>
      <c r="M540" s="2" t="s">
        <v>153</v>
      </c>
      <c r="N540" s="2" t="s">
        <v>200</v>
      </c>
      <c r="O540" s="2" t="s">
        <v>96</v>
      </c>
      <c r="P540" s="2" t="str">
        <f>"2170528152                    "</f>
        <v xml:space="preserve">2170528152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7.58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5</v>
      </c>
      <c r="BJ540" s="2">
        <v>4.0999999999999996</v>
      </c>
      <c r="BK540" s="2">
        <v>5</v>
      </c>
      <c r="BL540" s="2">
        <v>101.18</v>
      </c>
      <c r="BM540" s="2">
        <v>14.17</v>
      </c>
      <c r="BN540" s="2">
        <v>115.35</v>
      </c>
      <c r="BO540" s="2">
        <v>115.35</v>
      </c>
      <c r="BP540" s="2"/>
      <c r="BQ540" s="2" t="s">
        <v>201</v>
      </c>
      <c r="BR540" s="2" t="s">
        <v>83</v>
      </c>
      <c r="BS540" s="3">
        <v>42648</v>
      </c>
      <c r="BT540" s="4">
        <v>0.48541666666666666</v>
      </c>
      <c r="BU540" s="2" t="s">
        <v>818</v>
      </c>
      <c r="BV540" s="2" t="s">
        <v>85</v>
      </c>
      <c r="BW540" s="2"/>
      <c r="BX540" s="2"/>
      <c r="BY540" s="2">
        <v>20358</v>
      </c>
      <c r="BZ540" s="2" t="s">
        <v>27</v>
      </c>
      <c r="CA540" s="2" t="s">
        <v>129</v>
      </c>
      <c r="CB540" s="2"/>
      <c r="CC540" s="2" t="s">
        <v>153</v>
      </c>
      <c r="CD540" s="2">
        <v>7646</v>
      </c>
      <c r="CE540" s="2" t="s">
        <v>257</v>
      </c>
      <c r="CF540" s="5">
        <v>42649</v>
      </c>
      <c r="CG540" s="2"/>
      <c r="CH540" s="2"/>
      <c r="CI540" s="2">
        <v>1</v>
      </c>
      <c r="CJ540" s="2">
        <v>1</v>
      </c>
      <c r="CK540" s="2">
        <v>21</v>
      </c>
      <c r="CL540" s="2" t="s">
        <v>88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"FES1162504586"</f>
        <v>FES1162504586</v>
      </c>
      <c r="F541" s="3">
        <v>42648</v>
      </c>
      <c r="G541" s="2">
        <v>201704</v>
      </c>
      <c r="H541" s="2" t="s">
        <v>74</v>
      </c>
      <c r="I541" s="2" t="s">
        <v>75</v>
      </c>
      <c r="J541" s="2" t="s">
        <v>76</v>
      </c>
      <c r="K541" s="2" t="s">
        <v>77</v>
      </c>
      <c r="L541" s="2" t="s">
        <v>98</v>
      </c>
      <c r="M541" s="2" t="s">
        <v>99</v>
      </c>
      <c r="N541" s="2" t="s">
        <v>109</v>
      </c>
      <c r="O541" s="2" t="s">
        <v>96</v>
      </c>
      <c r="P541" s="2" t="str">
        <f>"2170526074                    "</f>
        <v xml:space="preserve">2170526074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3.32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1</v>
      </c>
      <c r="BJ541" s="2">
        <v>0.2</v>
      </c>
      <c r="BK541" s="2">
        <v>1</v>
      </c>
      <c r="BL541" s="2">
        <v>40.76</v>
      </c>
      <c r="BM541" s="2">
        <v>5.71</v>
      </c>
      <c r="BN541" s="2">
        <v>46.47</v>
      </c>
      <c r="BO541" s="2">
        <v>46.47</v>
      </c>
      <c r="BP541" s="2"/>
      <c r="BQ541" s="2" t="s">
        <v>110</v>
      </c>
      <c r="BR541" s="2" t="s">
        <v>83</v>
      </c>
      <c r="BS541" s="3">
        <v>42649</v>
      </c>
      <c r="BT541" s="4">
        <v>0.36458333333333331</v>
      </c>
      <c r="BU541" s="2" t="s">
        <v>629</v>
      </c>
      <c r="BV541" s="2" t="s">
        <v>85</v>
      </c>
      <c r="BW541" s="2"/>
      <c r="BX541" s="2"/>
      <c r="BY541" s="2">
        <v>1200</v>
      </c>
      <c r="BZ541" s="2" t="s">
        <v>27</v>
      </c>
      <c r="CA541" s="2"/>
      <c r="CB541" s="2"/>
      <c r="CC541" s="2" t="s">
        <v>99</v>
      </c>
      <c r="CD541" s="2">
        <v>6001</v>
      </c>
      <c r="CE541" s="2" t="s">
        <v>103</v>
      </c>
      <c r="CF541" s="5">
        <v>42650</v>
      </c>
      <c r="CG541" s="2"/>
      <c r="CH541" s="2"/>
      <c r="CI541" s="2">
        <v>1</v>
      </c>
      <c r="CJ541" s="2">
        <v>1</v>
      </c>
      <c r="CK541" s="2">
        <v>21</v>
      </c>
      <c r="CL541" s="2" t="s">
        <v>88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"FES1162504358"</f>
        <v>FES1162504358</v>
      </c>
      <c r="F542" s="3">
        <v>42647</v>
      </c>
      <c r="G542" s="2">
        <v>201704</v>
      </c>
      <c r="H542" s="2" t="s">
        <v>74</v>
      </c>
      <c r="I542" s="2" t="s">
        <v>75</v>
      </c>
      <c r="J542" s="2" t="s">
        <v>76</v>
      </c>
      <c r="K542" s="2" t="s">
        <v>77</v>
      </c>
      <c r="L542" s="2" t="s">
        <v>160</v>
      </c>
      <c r="M542" s="2" t="s">
        <v>161</v>
      </c>
      <c r="N542" s="2" t="s">
        <v>179</v>
      </c>
      <c r="O542" s="2" t="s">
        <v>96</v>
      </c>
      <c r="P542" s="2" t="str">
        <f>"2170528071                    "</f>
        <v xml:space="preserve">2170528071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3.03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1.3</v>
      </c>
      <c r="BJ542" s="2">
        <v>1.7</v>
      </c>
      <c r="BK542" s="2">
        <v>2</v>
      </c>
      <c r="BL542" s="2">
        <v>40.47</v>
      </c>
      <c r="BM542" s="2">
        <v>5.67</v>
      </c>
      <c r="BN542" s="2">
        <v>46.14</v>
      </c>
      <c r="BO542" s="2">
        <v>46.14</v>
      </c>
      <c r="BP542" s="2"/>
      <c r="BQ542" s="2" t="s">
        <v>180</v>
      </c>
      <c r="BR542" s="2" t="s">
        <v>83</v>
      </c>
      <c r="BS542" s="3">
        <v>42648</v>
      </c>
      <c r="BT542" s="4">
        <v>0.41666666666666669</v>
      </c>
      <c r="BU542" s="2" t="s">
        <v>835</v>
      </c>
      <c r="BV542" s="2" t="s">
        <v>85</v>
      </c>
      <c r="BW542" s="2"/>
      <c r="BX542" s="2"/>
      <c r="BY542" s="2">
        <v>8487.36</v>
      </c>
      <c r="BZ542" s="2" t="s">
        <v>27</v>
      </c>
      <c r="CA542" s="2" t="s">
        <v>129</v>
      </c>
      <c r="CB542" s="2"/>
      <c r="CC542" s="2" t="s">
        <v>161</v>
      </c>
      <c r="CD542" s="2">
        <v>7405</v>
      </c>
      <c r="CE542" s="2" t="s">
        <v>103</v>
      </c>
      <c r="CF542" s="5">
        <v>42649</v>
      </c>
      <c r="CG542" s="2"/>
      <c r="CH542" s="2"/>
      <c r="CI542" s="2">
        <v>1</v>
      </c>
      <c r="CJ542" s="2">
        <v>1</v>
      </c>
      <c r="CK542" s="2">
        <v>21</v>
      </c>
      <c r="CL542" s="2" t="s">
        <v>88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"FES1162504569"</f>
        <v>FES1162504569</v>
      </c>
      <c r="F543" s="3">
        <v>42648</v>
      </c>
      <c r="G543" s="2">
        <v>201704</v>
      </c>
      <c r="H543" s="2" t="s">
        <v>74</v>
      </c>
      <c r="I543" s="2" t="s">
        <v>75</v>
      </c>
      <c r="J543" s="2" t="s">
        <v>76</v>
      </c>
      <c r="K543" s="2" t="s">
        <v>77</v>
      </c>
      <c r="L543" s="2" t="s">
        <v>98</v>
      </c>
      <c r="M543" s="2" t="s">
        <v>99</v>
      </c>
      <c r="N543" s="2" t="s">
        <v>109</v>
      </c>
      <c r="O543" s="2" t="s">
        <v>96</v>
      </c>
      <c r="P543" s="2" t="str">
        <f>"2170525459                    "</f>
        <v xml:space="preserve">2170525459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3.32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</v>
      </c>
      <c r="BJ543" s="2">
        <v>0.2</v>
      </c>
      <c r="BK543" s="2">
        <v>1</v>
      </c>
      <c r="BL543" s="2">
        <v>40.76</v>
      </c>
      <c r="BM543" s="2">
        <v>5.71</v>
      </c>
      <c r="BN543" s="2">
        <v>46.47</v>
      </c>
      <c r="BO543" s="2">
        <v>46.47</v>
      </c>
      <c r="BP543" s="2"/>
      <c r="BQ543" s="2" t="s">
        <v>110</v>
      </c>
      <c r="BR543" s="2" t="s">
        <v>83</v>
      </c>
      <c r="BS543" s="3">
        <v>42649</v>
      </c>
      <c r="BT543" s="4">
        <v>0.36458333333333331</v>
      </c>
      <c r="BU543" s="2" t="s">
        <v>629</v>
      </c>
      <c r="BV543" s="2" t="s">
        <v>85</v>
      </c>
      <c r="BW543" s="2"/>
      <c r="BX543" s="2"/>
      <c r="BY543" s="2">
        <v>1200</v>
      </c>
      <c r="BZ543" s="2" t="s">
        <v>27</v>
      </c>
      <c r="CA543" s="2"/>
      <c r="CB543" s="2"/>
      <c r="CC543" s="2" t="s">
        <v>99</v>
      </c>
      <c r="CD543" s="2">
        <v>6001</v>
      </c>
      <c r="CE543" s="2" t="s">
        <v>103</v>
      </c>
      <c r="CF543" s="5">
        <v>42650</v>
      </c>
      <c r="CG543" s="2"/>
      <c r="CH543" s="2"/>
      <c r="CI543" s="2">
        <v>1</v>
      </c>
      <c r="CJ543" s="2">
        <v>1</v>
      </c>
      <c r="CK543" s="2">
        <v>21</v>
      </c>
      <c r="CL543" s="2" t="s">
        <v>88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"FES1162504535"</f>
        <v>FES1162504535</v>
      </c>
      <c r="F544" s="3">
        <v>42647</v>
      </c>
      <c r="G544" s="2">
        <v>201704</v>
      </c>
      <c r="H544" s="2" t="s">
        <v>74</v>
      </c>
      <c r="I544" s="2" t="s">
        <v>75</v>
      </c>
      <c r="J544" s="2" t="s">
        <v>76</v>
      </c>
      <c r="K544" s="2" t="s">
        <v>77</v>
      </c>
      <c r="L544" s="2" t="s">
        <v>269</v>
      </c>
      <c r="M544" s="2" t="s">
        <v>270</v>
      </c>
      <c r="N544" s="2" t="s">
        <v>946</v>
      </c>
      <c r="O544" s="2" t="s">
        <v>96</v>
      </c>
      <c r="P544" s="2" t="str">
        <f>"2170528255                    "</f>
        <v xml:space="preserve">2170528255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3.03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1</v>
      </c>
      <c r="BJ544" s="2">
        <v>0.2</v>
      </c>
      <c r="BK544" s="2">
        <v>1</v>
      </c>
      <c r="BL544" s="2">
        <v>40.47</v>
      </c>
      <c r="BM544" s="2">
        <v>5.67</v>
      </c>
      <c r="BN544" s="2">
        <v>46.14</v>
      </c>
      <c r="BO544" s="2">
        <v>46.14</v>
      </c>
      <c r="BP544" s="2"/>
      <c r="BQ544" s="2" t="s">
        <v>91</v>
      </c>
      <c r="BR544" s="2" t="s">
        <v>83</v>
      </c>
      <c r="BS544" s="3">
        <v>42648</v>
      </c>
      <c r="BT544" s="4">
        <v>0.39305555555555555</v>
      </c>
      <c r="BU544" s="2" t="s">
        <v>947</v>
      </c>
      <c r="BV544" s="2" t="s">
        <v>85</v>
      </c>
      <c r="BW544" s="2"/>
      <c r="BX544" s="2"/>
      <c r="BY544" s="2">
        <v>1200</v>
      </c>
      <c r="BZ544" s="2" t="s">
        <v>27</v>
      </c>
      <c r="CA544" s="2"/>
      <c r="CB544" s="2"/>
      <c r="CC544" s="2" t="s">
        <v>270</v>
      </c>
      <c r="CD544" s="2">
        <v>3610</v>
      </c>
      <c r="CE544" s="2" t="s">
        <v>103</v>
      </c>
      <c r="CF544" s="5">
        <v>42648</v>
      </c>
      <c r="CG544" s="2"/>
      <c r="CH544" s="2"/>
      <c r="CI544" s="2">
        <v>1</v>
      </c>
      <c r="CJ544" s="2">
        <v>1</v>
      </c>
      <c r="CK544" s="2">
        <v>21</v>
      </c>
      <c r="CL544" s="2" t="s">
        <v>88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"FES1162504590"</f>
        <v>FES1162504590</v>
      </c>
      <c r="F545" s="3">
        <v>42648</v>
      </c>
      <c r="G545" s="2">
        <v>201704</v>
      </c>
      <c r="H545" s="2" t="s">
        <v>74</v>
      </c>
      <c r="I545" s="2" t="s">
        <v>75</v>
      </c>
      <c r="J545" s="2" t="s">
        <v>76</v>
      </c>
      <c r="K545" s="2" t="s">
        <v>77</v>
      </c>
      <c r="L545" s="2" t="s">
        <v>119</v>
      </c>
      <c r="M545" s="2" t="s">
        <v>120</v>
      </c>
      <c r="N545" s="2" t="s">
        <v>948</v>
      </c>
      <c r="O545" s="2" t="s">
        <v>96</v>
      </c>
      <c r="P545" s="2" t="str">
        <f>"2170526175                    "</f>
        <v xml:space="preserve">2170526175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3.32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</v>
      </c>
      <c r="BJ545" s="2">
        <v>0.2</v>
      </c>
      <c r="BK545" s="2">
        <v>1</v>
      </c>
      <c r="BL545" s="2">
        <v>40.76</v>
      </c>
      <c r="BM545" s="2">
        <v>5.71</v>
      </c>
      <c r="BN545" s="2">
        <v>46.47</v>
      </c>
      <c r="BO545" s="2">
        <v>46.47</v>
      </c>
      <c r="BP545" s="2"/>
      <c r="BQ545" s="2" t="s">
        <v>949</v>
      </c>
      <c r="BR545" s="2" t="s">
        <v>83</v>
      </c>
      <c r="BS545" s="3">
        <v>42649</v>
      </c>
      <c r="BT545" s="4">
        <v>0.32361111111111113</v>
      </c>
      <c r="BU545" s="2" t="s">
        <v>950</v>
      </c>
      <c r="BV545" s="2" t="s">
        <v>85</v>
      </c>
      <c r="BW545" s="2"/>
      <c r="BX545" s="2"/>
      <c r="BY545" s="2">
        <v>1200</v>
      </c>
      <c r="BZ545" s="2" t="s">
        <v>27</v>
      </c>
      <c r="CA545" s="2"/>
      <c r="CB545" s="2"/>
      <c r="CC545" s="2" t="s">
        <v>120</v>
      </c>
      <c r="CD545" s="2">
        <v>6229</v>
      </c>
      <c r="CE545" s="2" t="s">
        <v>103</v>
      </c>
      <c r="CF545" s="5">
        <v>42650</v>
      </c>
      <c r="CG545" s="2"/>
      <c r="CH545" s="2"/>
      <c r="CI545" s="2">
        <v>1</v>
      </c>
      <c r="CJ545" s="2">
        <v>1</v>
      </c>
      <c r="CK545" s="2">
        <v>21</v>
      </c>
      <c r="CL545" s="2" t="s">
        <v>88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"FES1162504484"</f>
        <v>FES1162504484</v>
      </c>
      <c r="F546" s="3">
        <v>42647</v>
      </c>
      <c r="G546" s="2">
        <v>201704</v>
      </c>
      <c r="H546" s="2" t="s">
        <v>74</v>
      </c>
      <c r="I546" s="2" t="s">
        <v>75</v>
      </c>
      <c r="J546" s="2" t="s">
        <v>76</v>
      </c>
      <c r="K546" s="2" t="s">
        <v>77</v>
      </c>
      <c r="L546" s="2" t="s">
        <v>98</v>
      </c>
      <c r="M546" s="2" t="s">
        <v>99</v>
      </c>
      <c r="N546" s="2" t="s">
        <v>951</v>
      </c>
      <c r="O546" s="2" t="s">
        <v>96</v>
      </c>
      <c r="P546" s="2" t="str">
        <f>"2170528198                    "</f>
        <v xml:space="preserve">2170528198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3.03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1</v>
      </c>
      <c r="BJ546" s="2">
        <v>0.2</v>
      </c>
      <c r="BK546" s="2">
        <v>1</v>
      </c>
      <c r="BL546" s="2">
        <v>40.47</v>
      </c>
      <c r="BM546" s="2">
        <v>5.67</v>
      </c>
      <c r="BN546" s="2">
        <v>46.14</v>
      </c>
      <c r="BO546" s="2">
        <v>46.14</v>
      </c>
      <c r="BP546" s="2"/>
      <c r="BQ546" s="2" t="s">
        <v>91</v>
      </c>
      <c r="BR546" s="2" t="s">
        <v>83</v>
      </c>
      <c r="BS546" s="3">
        <v>42648</v>
      </c>
      <c r="BT546" s="4">
        <v>0.3125</v>
      </c>
      <c r="BU546" s="2" t="s">
        <v>952</v>
      </c>
      <c r="BV546" s="2" t="s">
        <v>85</v>
      </c>
      <c r="BW546" s="2"/>
      <c r="BX546" s="2"/>
      <c r="BY546" s="2">
        <v>1200</v>
      </c>
      <c r="BZ546" s="2" t="s">
        <v>27</v>
      </c>
      <c r="CA546" s="2"/>
      <c r="CB546" s="2"/>
      <c r="CC546" s="2" t="s">
        <v>99</v>
      </c>
      <c r="CD546" s="2">
        <v>6001</v>
      </c>
      <c r="CE546" s="2" t="s">
        <v>103</v>
      </c>
      <c r="CF546" s="5">
        <v>42649</v>
      </c>
      <c r="CG546" s="2"/>
      <c r="CH546" s="2"/>
      <c r="CI546" s="2">
        <v>1</v>
      </c>
      <c r="CJ546" s="2">
        <v>1</v>
      </c>
      <c r="CK546" s="2">
        <v>21</v>
      </c>
      <c r="CL546" s="2" t="s">
        <v>88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"FES1162504560"</f>
        <v>FES1162504560</v>
      </c>
      <c r="F547" s="3">
        <v>42648</v>
      </c>
      <c r="G547" s="2">
        <v>201704</v>
      </c>
      <c r="H547" s="2" t="s">
        <v>74</v>
      </c>
      <c r="I547" s="2" t="s">
        <v>75</v>
      </c>
      <c r="J547" s="2" t="s">
        <v>76</v>
      </c>
      <c r="K547" s="2" t="s">
        <v>77</v>
      </c>
      <c r="L547" s="2" t="s">
        <v>143</v>
      </c>
      <c r="M547" s="2" t="s">
        <v>144</v>
      </c>
      <c r="N547" s="2" t="s">
        <v>216</v>
      </c>
      <c r="O547" s="2" t="s">
        <v>96</v>
      </c>
      <c r="P547" s="2" t="str">
        <f>"2170521850                    "</f>
        <v xml:space="preserve">2170521850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3.32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1</v>
      </c>
      <c r="BJ547" s="2">
        <v>0.2</v>
      </c>
      <c r="BK547" s="2">
        <v>1</v>
      </c>
      <c r="BL547" s="2">
        <v>40.76</v>
      </c>
      <c r="BM547" s="2">
        <v>5.71</v>
      </c>
      <c r="BN547" s="2">
        <v>46.47</v>
      </c>
      <c r="BO547" s="2">
        <v>46.47</v>
      </c>
      <c r="BP547" s="2"/>
      <c r="BQ547" s="2" t="s">
        <v>91</v>
      </c>
      <c r="BR547" s="2" t="s">
        <v>83</v>
      </c>
      <c r="BS547" s="3">
        <v>42649</v>
      </c>
      <c r="BT547" s="4">
        <v>0.41666666666666669</v>
      </c>
      <c r="BU547" s="2" t="s">
        <v>572</v>
      </c>
      <c r="BV547" s="2" t="s">
        <v>85</v>
      </c>
      <c r="BW547" s="2"/>
      <c r="BX547" s="2"/>
      <c r="BY547" s="2">
        <v>1200</v>
      </c>
      <c r="BZ547" s="2" t="s">
        <v>27</v>
      </c>
      <c r="CA547" s="2"/>
      <c r="CB547" s="2"/>
      <c r="CC547" s="2" t="s">
        <v>144</v>
      </c>
      <c r="CD547" s="2">
        <v>5201</v>
      </c>
      <c r="CE547" s="2" t="s">
        <v>103</v>
      </c>
      <c r="CF547" s="5">
        <v>42653</v>
      </c>
      <c r="CG547" s="2"/>
      <c r="CH547" s="2"/>
      <c r="CI547" s="2">
        <v>1</v>
      </c>
      <c r="CJ547" s="2">
        <v>1</v>
      </c>
      <c r="CK547" s="2">
        <v>21</v>
      </c>
      <c r="CL547" s="2" t="s">
        <v>88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"FES1162504491"</f>
        <v>FES1162504491</v>
      </c>
      <c r="F548" s="3">
        <v>42647</v>
      </c>
      <c r="G548" s="2">
        <v>201704</v>
      </c>
      <c r="H548" s="2" t="s">
        <v>74</v>
      </c>
      <c r="I548" s="2" t="s">
        <v>75</v>
      </c>
      <c r="J548" s="2" t="s">
        <v>76</v>
      </c>
      <c r="K548" s="2" t="s">
        <v>77</v>
      </c>
      <c r="L548" s="2" t="s">
        <v>153</v>
      </c>
      <c r="M548" s="2" t="s">
        <v>153</v>
      </c>
      <c r="N548" s="2" t="s">
        <v>757</v>
      </c>
      <c r="O548" s="2" t="s">
        <v>96</v>
      </c>
      <c r="P548" s="2" t="str">
        <f>"2170528212                    "</f>
        <v xml:space="preserve">2170528212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3.03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2</v>
      </c>
      <c r="BJ548" s="2">
        <v>0.2</v>
      </c>
      <c r="BK548" s="2">
        <v>2</v>
      </c>
      <c r="BL548" s="2">
        <v>40.47</v>
      </c>
      <c r="BM548" s="2">
        <v>5.67</v>
      </c>
      <c r="BN548" s="2">
        <v>46.14</v>
      </c>
      <c r="BO548" s="2">
        <v>46.14</v>
      </c>
      <c r="BP548" s="2"/>
      <c r="BQ548" s="2" t="s">
        <v>91</v>
      </c>
      <c r="BR548" s="2" t="s">
        <v>83</v>
      </c>
      <c r="BS548" s="3">
        <v>42648</v>
      </c>
      <c r="BT548" s="4">
        <v>0.49861111111111112</v>
      </c>
      <c r="BU548" s="2" t="s">
        <v>953</v>
      </c>
      <c r="BV548" s="2" t="s">
        <v>85</v>
      </c>
      <c r="BW548" s="2"/>
      <c r="BX548" s="2"/>
      <c r="BY548" s="2">
        <v>1200</v>
      </c>
      <c r="BZ548" s="2" t="s">
        <v>27</v>
      </c>
      <c r="CA548" s="2" t="s">
        <v>129</v>
      </c>
      <c r="CB548" s="2"/>
      <c r="CC548" s="2" t="s">
        <v>153</v>
      </c>
      <c r="CD548" s="2">
        <v>7646</v>
      </c>
      <c r="CE548" s="2" t="s">
        <v>103</v>
      </c>
      <c r="CF548" s="5">
        <v>42649</v>
      </c>
      <c r="CG548" s="2"/>
      <c r="CH548" s="2"/>
      <c r="CI548" s="2">
        <v>1</v>
      </c>
      <c r="CJ548" s="2">
        <v>1</v>
      </c>
      <c r="CK548" s="2">
        <v>21</v>
      </c>
      <c r="CL548" s="2" t="s">
        <v>88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"FES1162504759"</f>
        <v>FES1162504759</v>
      </c>
      <c r="F549" s="3">
        <v>42648</v>
      </c>
      <c r="G549" s="2">
        <v>201704</v>
      </c>
      <c r="H549" s="2" t="s">
        <v>74</v>
      </c>
      <c r="I549" s="2" t="s">
        <v>75</v>
      </c>
      <c r="J549" s="2" t="s">
        <v>76</v>
      </c>
      <c r="K549" s="2" t="s">
        <v>77</v>
      </c>
      <c r="L549" s="2" t="s">
        <v>160</v>
      </c>
      <c r="M549" s="2" t="s">
        <v>161</v>
      </c>
      <c r="N549" s="2" t="s">
        <v>954</v>
      </c>
      <c r="O549" s="2" t="s">
        <v>96</v>
      </c>
      <c r="P549" s="2" t="str">
        <f>"2170528419                    "</f>
        <v xml:space="preserve">2170528419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3.32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1</v>
      </c>
      <c r="BJ549" s="2">
        <v>0.2</v>
      </c>
      <c r="BK549" s="2">
        <v>1</v>
      </c>
      <c r="BL549" s="2">
        <v>40.76</v>
      </c>
      <c r="BM549" s="2">
        <v>5.71</v>
      </c>
      <c r="BN549" s="2">
        <v>46.47</v>
      </c>
      <c r="BO549" s="2">
        <v>46.47</v>
      </c>
      <c r="BP549" s="2"/>
      <c r="BQ549" s="2" t="s">
        <v>91</v>
      </c>
      <c r="BR549" s="2" t="s">
        <v>83</v>
      </c>
      <c r="BS549" s="3">
        <v>42649</v>
      </c>
      <c r="BT549" s="4">
        <v>0.4236111111111111</v>
      </c>
      <c r="BU549" s="2" t="s">
        <v>955</v>
      </c>
      <c r="BV549" s="2" t="s">
        <v>85</v>
      </c>
      <c r="BW549" s="2"/>
      <c r="BX549" s="2"/>
      <c r="BY549" s="2">
        <v>1200</v>
      </c>
      <c r="BZ549" s="2" t="s">
        <v>27</v>
      </c>
      <c r="CA549" s="2"/>
      <c r="CB549" s="2"/>
      <c r="CC549" s="2" t="s">
        <v>161</v>
      </c>
      <c r="CD549" s="2">
        <v>7405</v>
      </c>
      <c r="CE549" s="2" t="s">
        <v>103</v>
      </c>
      <c r="CF549" s="5">
        <v>42650</v>
      </c>
      <c r="CG549" s="2"/>
      <c r="CH549" s="2"/>
      <c r="CI549" s="2">
        <v>1</v>
      </c>
      <c r="CJ549" s="2">
        <v>1</v>
      </c>
      <c r="CK549" s="2">
        <v>21</v>
      </c>
      <c r="CL549" s="2" t="s">
        <v>88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"FES1162504488"</f>
        <v>FES1162504488</v>
      </c>
      <c r="F550" s="3">
        <v>42647</v>
      </c>
      <c r="G550" s="2">
        <v>201704</v>
      </c>
      <c r="H550" s="2" t="s">
        <v>74</v>
      </c>
      <c r="I550" s="2" t="s">
        <v>75</v>
      </c>
      <c r="J550" s="2" t="s">
        <v>76</v>
      </c>
      <c r="K550" s="2" t="s">
        <v>77</v>
      </c>
      <c r="L550" s="2" t="s">
        <v>98</v>
      </c>
      <c r="M550" s="2" t="s">
        <v>99</v>
      </c>
      <c r="N550" s="2" t="s">
        <v>934</v>
      </c>
      <c r="O550" s="2" t="s">
        <v>96</v>
      </c>
      <c r="P550" s="2" t="str">
        <f>"2170528205                    "</f>
        <v xml:space="preserve">2170528205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3.03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</v>
      </c>
      <c r="BJ550" s="2">
        <v>0.2</v>
      </c>
      <c r="BK550" s="2">
        <v>1</v>
      </c>
      <c r="BL550" s="2">
        <v>40.47</v>
      </c>
      <c r="BM550" s="2">
        <v>5.67</v>
      </c>
      <c r="BN550" s="2">
        <v>46.14</v>
      </c>
      <c r="BO550" s="2">
        <v>46.14</v>
      </c>
      <c r="BP550" s="2"/>
      <c r="BQ550" s="2" t="s">
        <v>935</v>
      </c>
      <c r="BR550" s="2" t="s">
        <v>83</v>
      </c>
      <c r="BS550" s="3">
        <v>42648</v>
      </c>
      <c r="BT550" s="4">
        <v>0.41666666666666669</v>
      </c>
      <c r="BU550" s="2" t="s">
        <v>956</v>
      </c>
      <c r="BV550" s="2" t="s">
        <v>85</v>
      </c>
      <c r="BW550" s="2"/>
      <c r="BX550" s="2"/>
      <c r="BY550" s="2">
        <v>1200</v>
      </c>
      <c r="BZ550" s="2" t="s">
        <v>27</v>
      </c>
      <c r="CA550" s="2" t="s">
        <v>129</v>
      </c>
      <c r="CB550" s="2"/>
      <c r="CC550" s="2" t="s">
        <v>99</v>
      </c>
      <c r="CD550" s="2">
        <v>6001</v>
      </c>
      <c r="CE550" s="2" t="s">
        <v>103</v>
      </c>
      <c r="CF550" s="5">
        <v>42649</v>
      </c>
      <c r="CG550" s="2"/>
      <c r="CH550" s="2"/>
      <c r="CI550" s="2">
        <v>1</v>
      </c>
      <c r="CJ550" s="2">
        <v>1</v>
      </c>
      <c r="CK550" s="2">
        <v>21</v>
      </c>
      <c r="CL550" s="2" t="s">
        <v>88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"FES1162504558"</f>
        <v>FES1162504558</v>
      </c>
      <c r="F551" s="3">
        <v>42648</v>
      </c>
      <c r="G551" s="2">
        <v>201704</v>
      </c>
      <c r="H551" s="2" t="s">
        <v>74</v>
      </c>
      <c r="I551" s="2" t="s">
        <v>75</v>
      </c>
      <c r="J551" s="2" t="s">
        <v>76</v>
      </c>
      <c r="K551" s="2" t="s">
        <v>77</v>
      </c>
      <c r="L551" s="2" t="s">
        <v>160</v>
      </c>
      <c r="M551" s="2" t="s">
        <v>161</v>
      </c>
      <c r="N551" s="2" t="s">
        <v>441</v>
      </c>
      <c r="O551" s="2" t="s">
        <v>96</v>
      </c>
      <c r="P551" s="2" t="str">
        <f>"2170520478                    "</f>
        <v xml:space="preserve">2170520478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15.76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9.3000000000000007</v>
      </c>
      <c r="BJ551" s="2">
        <v>4.5999999999999996</v>
      </c>
      <c r="BK551" s="2">
        <v>9.5</v>
      </c>
      <c r="BL551" s="2">
        <v>193.6</v>
      </c>
      <c r="BM551" s="2">
        <v>27.1</v>
      </c>
      <c r="BN551" s="2">
        <v>220.7</v>
      </c>
      <c r="BO551" s="2">
        <v>220.7</v>
      </c>
      <c r="BP551" s="2"/>
      <c r="BQ551" s="2" t="s">
        <v>168</v>
      </c>
      <c r="BR551" s="2" t="s">
        <v>83</v>
      </c>
      <c r="BS551" s="3">
        <v>42649</v>
      </c>
      <c r="BT551" s="4">
        <v>0.42708333333333331</v>
      </c>
      <c r="BU551" s="2" t="s">
        <v>957</v>
      </c>
      <c r="BV551" s="2" t="s">
        <v>85</v>
      </c>
      <c r="BW551" s="2"/>
      <c r="BX551" s="2"/>
      <c r="BY551" s="2">
        <v>22822.42</v>
      </c>
      <c r="BZ551" s="2" t="s">
        <v>27</v>
      </c>
      <c r="CA551" s="2" t="s">
        <v>129</v>
      </c>
      <c r="CB551" s="2"/>
      <c r="CC551" s="2" t="s">
        <v>161</v>
      </c>
      <c r="CD551" s="2">
        <v>7580</v>
      </c>
      <c r="CE551" s="2" t="s">
        <v>257</v>
      </c>
      <c r="CF551" s="5">
        <v>42650</v>
      </c>
      <c r="CG551" s="2"/>
      <c r="CH551" s="2"/>
      <c r="CI551" s="2">
        <v>1</v>
      </c>
      <c r="CJ551" s="2">
        <v>1</v>
      </c>
      <c r="CK551" s="2">
        <v>21</v>
      </c>
      <c r="CL551" s="2" t="s">
        <v>88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"FES1162504354"</f>
        <v>FES1162504354</v>
      </c>
      <c r="F552" s="3">
        <v>42647</v>
      </c>
      <c r="G552" s="2">
        <v>201704</v>
      </c>
      <c r="H552" s="2" t="s">
        <v>74</v>
      </c>
      <c r="I552" s="2" t="s">
        <v>75</v>
      </c>
      <c r="J552" s="2" t="s">
        <v>76</v>
      </c>
      <c r="K552" s="2" t="s">
        <v>77</v>
      </c>
      <c r="L552" s="2" t="s">
        <v>160</v>
      </c>
      <c r="M552" s="2" t="s">
        <v>161</v>
      </c>
      <c r="N552" s="2" t="s">
        <v>759</v>
      </c>
      <c r="O552" s="2" t="s">
        <v>96</v>
      </c>
      <c r="P552" s="2" t="str">
        <f>"2170528057                    "</f>
        <v xml:space="preserve">2170528057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3.03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1</v>
      </c>
      <c r="BJ552" s="2">
        <v>0.2</v>
      </c>
      <c r="BK552" s="2">
        <v>1</v>
      </c>
      <c r="BL552" s="2">
        <v>40.47</v>
      </c>
      <c r="BM552" s="2">
        <v>5.67</v>
      </c>
      <c r="BN552" s="2">
        <v>46.14</v>
      </c>
      <c r="BO552" s="2">
        <v>46.14</v>
      </c>
      <c r="BP552" s="2"/>
      <c r="BQ552" s="2" t="s">
        <v>760</v>
      </c>
      <c r="BR552" s="2" t="s">
        <v>83</v>
      </c>
      <c r="BS552" s="3">
        <v>42648</v>
      </c>
      <c r="BT552" s="4">
        <v>0.41666666666666669</v>
      </c>
      <c r="BU552" s="2" t="s">
        <v>958</v>
      </c>
      <c r="BV552" s="2" t="s">
        <v>85</v>
      </c>
      <c r="BW552" s="2"/>
      <c r="BX552" s="2"/>
      <c r="BY552" s="2">
        <v>1200</v>
      </c>
      <c r="BZ552" s="2" t="s">
        <v>27</v>
      </c>
      <c r="CA552" s="2"/>
      <c r="CB552" s="2"/>
      <c r="CC552" s="2" t="s">
        <v>161</v>
      </c>
      <c r="CD552" s="2">
        <v>7925</v>
      </c>
      <c r="CE552" s="2" t="s">
        <v>103</v>
      </c>
      <c r="CF552" s="5">
        <v>42649</v>
      </c>
      <c r="CG552" s="2"/>
      <c r="CH552" s="2"/>
      <c r="CI552" s="2">
        <v>1</v>
      </c>
      <c r="CJ552" s="2">
        <v>1</v>
      </c>
      <c r="CK552" s="2">
        <v>21</v>
      </c>
      <c r="CL552" s="2" t="s">
        <v>88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"FES1162504760"</f>
        <v>FES1162504760</v>
      </c>
      <c r="F553" s="3">
        <v>42648</v>
      </c>
      <c r="G553" s="2">
        <v>201704</v>
      </c>
      <c r="H553" s="2" t="s">
        <v>74</v>
      </c>
      <c r="I553" s="2" t="s">
        <v>75</v>
      </c>
      <c r="J553" s="2" t="s">
        <v>76</v>
      </c>
      <c r="K553" s="2" t="s">
        <v>77</v>
      </c>
      <c r="L553" s="2" t="s">
        <v>148</v>
      </c>
      <c r="M553" s="2" t="s">
        <v>149</v>
      </c>
      <c r="N553" s="2" t="s">
        <v>726</v>
      </c>
      <c r="O553" s="2" t="s">
        <v>96</v>
      </c>
      <c r="P553" s="2" t="str">
        <f>"2170528420                    "</f>
        <v xml:space="preserve">2170528420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8.2899999999999991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3.3</v>
      </c>
      <c r="BJ553" s="2">
        <v>4.9000000000000004</v>
      </c>
      <c r="BK553" s="2">
        <v>5</v>
      </c>
      <c r="BL553" s="2">
        <v>101.89</v>
      </c>
      <c r="BM553" s="2">
        <v>14.26</v>
      </c>
      <c r="BN553" s="2">
        <v>116.15</v>
      </c>
      <c r="BO553" s="2">
        <v>116.15</v>
      </c>
      <c r="BP553" s="2"/>
      <c r="BQ553" s="2" t="s">
        <v>117</v>
      </c>
      <c r="BR553" s="2" t="s">
        <v>83</v>
      </c>
      <c r="BS553" s="3">
        <v>42649</v>
      </c>
      <c r="BT553" s="4">
        <v>0.4375</v>
      </c>
      <c r="BU553" s="2" t="s">
        <v>727</v>
      </c>
      <c r="BV553" s="2" t="s">
        <v>85</v>
      </c>
      <c r="BW553" s="2"/>
      <c r="BX553" s="2"/>
      <c r="BY553" s="2">
        <v>24540.67</v>
      </c>
      <c r="BZ553" s="2" t="s">
        <v>27</v>
      </c>
      <c r="CA553" s="2"/>
      <c r="CB553" s="2"/>
      <c r="CC553" s="2" t="s">
        <v>149</v>
      </c>
      <c r="CD553" s="2">
        <v>4070</v>
      </c>
      <c r="CE553" s="2" t="s">
        <v>257</v>
      </c>
      <c r="CF553" s="5">
        <v>42649</v>
      </c>
      <c r="CG553" s="2"/>
      <c r="CH553" s="2"/>
      <c r="CI553" s="2">
        <v>1</v>
      </c>
      <c r="CJ553" s="2">
        <v>1</v>
      </c>
      <c r="CK553" s="2">
        <v>21</v>
      </c>
      <c r="CL553" s="2" t="s">
        <v>88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"FES1162504236"</f>
        <v>FES1162504236</v>
      </c>
      <c r="F554" s="3">
        <v>42647</v>
      </c>
      <c r="G554" s="2">
        <v>201704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959</v>
      </c>
      <c r="M554" s="2" t="s">
        <v>960</v>
      </c>
      <c r="N554" s="2" t="s">
        <v>961</v>
      </c>
      <c r="O554" s="2" t="s">
        <v>96</v>
      </c>
      <c r="P554" s="2" t="str">
        <f>"2170526474                    "</f>
        <v xml:space="preserve">2170526474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3.79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1</v>
      </c>
      <c r="BJ554" s="2">
        <v>2.2000000000000002</v>
      </c>
      <c r="BK554" s="2">
        <v>2.5</v>
      </c>
      <c r="BL554" s="2">
        <v>50.59</v>
      </c>
      <c r="BM554" s="2">
        <v>7.08</v>
      </c>
      <c r="BN554" s="2">
        <v>57.67</v>
      </c>
      <c r="BO554" s="2">
        <v>57.67</v>
      </c>
      <c r="BP554" s="2"/>
      <c r="BQ554" s="2" t="s">
        <v>117</v>
      </c>
      <c r="BR554" s="2" t="s">
        <v>83</v>
      </c>
      <c r="BS554" s="3">
        <v>42649</v>
      </c>
      <c r="BT554" s="4">
        <v>0.4513888888888889</v>
      </c>
      <c r="BU554" s="2" t="s">
        <v>962</v>
      </c>
      <c r="BV554" s="2" t="s">
        <v>85</v>
      </c>
      <c r="BW554" s="2"/>
      <c r="BX554" s="2"/>
      <c r="BY554" s="2">
        <v>10938.23</v>
      </c>
      <c r="BZ554" s="2" t="s">
        <v>27</v>
      </c>
      <c r="CA554" s="2"/>
      <c r="CB554" s="2"/>
      <c r="CC554" s="2" t="s">
        <v>960</v>
      </c>
      <c r="CD554" s="2">
        <v>6715</v>
      </c>
      <c r="CE554" s="2" t="s">
        <v>103</v>
      </c>
      <c r="CF554" s="5">
        <v>42650</v>
      </c>
      <c r="CG554" s="2"/>
      <c r="CH554" s="2"/>
      <c r="CI554" s="2">
        <v>3</v>
      </c>
      <c r="CJ554" s="2">
        <v>2</v>
      </c>
      <c r="CK554" s="2">
        <v>21</v>
      </c>
      <c r="CL554" s="2" t="s">
        <v>88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"FES1162504650"</f>
        <v>FES1162504650</v>
      </c>
      <c r="F555" s="3">
        <v>42648</v>
      </c>
      <c r="G555" s="2">
        <v>201704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218</v>
      </c>
      <c r="M555" s="2" t="s">
        <v>219</v>
      </c>
      <c r="N555" s="2" t="s">
        <v>220</v>
      </c>
      <c r="O555" s="2" t="s">
        <v>96</v>
      </c>
      <c r="P555" s="2" t="str">
        <f>"2170525152                    "</f>
        <v xml:space="preserve">2170525152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15.76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9.1</v>
      </c>
      <c r="BJ555" s="2">
        <v>9.3000000000000007</v>
      </c>
      <c r="BK555" s="2">
        <v>9.5</v>
      </c>
      <c r="BL555" s="2">
        <v>193.6</v>
      </c>
      <c r="BM555" s="2">
        <v>27.1</v>
      </c>
      <c r="BN555" s="2">
        <v>220.7</v>
      </c>
      <c r="BO555" s="2">
        <v>220.7</v>
      </c>
      <c r="BP555" s="2"/>
      <c r="BQ555" s="2" t="s">
        <v>91</v>
      </c>
      <c r="BR555" s="2" t="s">
        <v>83</v>
      </c>
      <c r="BS555" s="3">
        <v>42649</v>
      </c>
      <c r="BT555" s="4">
        <v>0.36944444444444446</v>
      </c>
      <c r="BU555" s="2" t="s">
        <v>963</v>
      </c>
      <c r="BV555" s="2" t="s">
        <v>85</v>
      </c>
      <c r="BW555" s="2"/>
      <c r="BX555" s="2"/>
      <c r="BY555" s="2">
        <v>46485.32</v>
      </c>
      <c r="BZ555" s="2" t="s">
        <v>27</v>
      </c>
      <c r="CA555" s="2" t="s">
        <v>129</v>
      </c>
      <c r="CB555" s="2"/>
      <c r="CC555" s="2" t="s">
        <v>219</v>
      </c>
      <c r="CD555" s="2">
        <v>7600</v>
      </c>
      <c r="CE555" s="2" t="s">
        <v>257</v>
      </c>
      <c r="CF555" s="5">
        <v>42650</v>
      </c>
      <c r="CG555" s="2"/>
      <c r="CH555" s="2"/>
      <c r="CI555" s="2">
        <v>1</v>
      </c>
      <c r="CJ555" s="2">
        <v>1</v>
      </c>
      <c r="CK555" s="2">
        <v>21</v>
      </c>
      <c r="CL555" s="2" t="s">
        <v>88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"FES1162504521"</f>
        <v>FES1162504521</v>
      </c>
      <c r="F556" s="3">
        <v>42647</v>
      </c>
      <c r="G556" s="2">
        <v>201704</v>
      </c>
      <c r="H556" s="2" t="s">
        <v>74</v>
      </c>
      <c r="I556" s="2" t="s">
        <v>75</v>
      </c>
      <c r="J556" s="2" t="s">
        <v>76</v>
      </c>
      <c r="K556" s="2" t="s">
        <v>77</v>
      </c>
      <c r="L556" s="2" t="s">
        <v>137</v>
      </c>
      <c r="M556" s="2" t="s">
        <v>138</v>
      </c>
      <c r="N556" s="2" t="s">
        <v>964</v>
      </c>
      <c r="O556" s="2" t="s">
        <v>96</v>
      </c>
      <c r="P556" s="2" t="str">
        <f>"2170528237                    "</f>
        <v xml:space="preserve">2170528237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3.03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1</v>
      </c>
      <c r="BJ556" s="2">
        <v>0.2</v>
      </c>
      <c r="BK556" s="2">
        <v>1</v>
      </c>
      <c r="BL556" s="2">
        <v>40.47</v>
      </c>
      <c r="BM556" s="2">
        <v>5.67</v>
      </c>
      <c r="BN556" s="2">
        <v>46.14</v>
      </c>
      <c r="BO556" s="2">
        <v>46.14</v>
      </c>
      <c r="BP556" s="2"/>
      <c r="BQ556" s="2" t="s">
        <v>965</v>
      </c>
      <c r="BR556" s="2" t="s">
        <v>83</v>
      </c>
      <c r="BS556" s="3">
        <v>42648</v>
      </c>
      <c r="BT556" s="4">
        <v>0.36458333333333331</v>
      </c>
      <c r="BU556" s="2" t="s">
        <v>966</v>
      </c>
      <c r="BV556" s="2"/>
      <c r="BW556" s="2"/>
      <c r="BX556" s="2"/>
      <c r="BY556" s="2">
        <v>1200</v>
      </c>
      <c r="BZ556" s="2" t="s">
        <v>27</v>
      </c>
      <c r="CA556" s="2" t="s">
        <v>142</v>
      </c>
      <c r="CB556" s="2"/>
      <c r="CC556" s="2" t="s">
        <v>138</v>
      </c>
      <c r="CD556" s="2">
        <v>3201</v>
      </c>
      <c r="CE556" s="2" t="s">
        <v>103</v>
      </c>
      <c r="CF556" s="5">
        <v>42648</v>
      </c>
      <c r="CG556" s="2"/>
      <c r="CH556" s="2"/>
      <c r="CI556" s="2">
        <v>0</v>
      </c>
      <c r="CJ556" s="2">
        <v>0</v>
      </c>
      <c r="CK556" s="2">
        <v>21</v>
      </c>
      <c r="CL556" s="2" t="s">
        <v>88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"009932186805"</f>
        <v>009932186805</v>
      </c>
      <c r="F557" s="3">
        <v>42648</v>
      </c>
      <c r="G557" s="2">
        <v>201704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98</v>
      </c>
      <c r="M557" s="2" t="s">
        <v>99</v>
      </c>
      <c r="N557" s="2" t="s">
        <v>330</v>
      </c>
      <c r="O557" s="2" t="s">
        <v>96</v>
      </c>
      <c r="P557" s="2" t="str">
        <f>"1162500984                    "</f>
        <v xml:space="preserve">1162500984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3.32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</v>
      </c>
      <c r="BJ557" s="2">
        <v>0.2</v>
      </c>
      <c r="BK557" s="2">
        <v>1</v>
      </c>
      <c r="BL557" s="2">
        <v>40.76</v>
      </c>
      <c r="BM557" s="2">
        <v>5.71</v>
      </c>
      <c r="BN557" s="2">
        <v>46.47</v>
      </c>
      <c r="BO557" s="2">
        <v>46.47</v>
      </c>
      <c r="BP557" s="2" t="s">
        <v>967</v>
      </c>
      <c r="BQ557" s="2" t="s">
        <v>331</v>
      </c>
      <c r="BR557" s="2" t="s">
        <v>83</v>
      </c>
      <c r="BS557" s="3">
        <v>42649</v>
      </c>
      <c r="BT557" s="4">
        <v>0.38541666666666669</v>
      </c>
      <c r="BU557" s="2" t="s">
        <v>467</v>
      </c>
      <c r="BV557" s="2" t="s">
        <v>85</v>
      </c>
      <c r="BW557" s="2"/>
      <c r="BX557" s="2"/>
      <c r="BY557" s="2">
        <v>1200</v>
      </c>
      <c r="BZ557" s="2" t="s">
        <v>27</v>
      </c>
      <c r="CA557" s="2" t="s">
        <v>468</v>
      </c>
      <c r="CB557" s="2"/>
      <c r="CC557" s="2" t="s">
        <v>99</v>
      </c>
      <c r="CD557" s="2">
        <v>6070</v>
      </c>
      <c r="CE557" s="2" t="s">
        <v>103</v>
      </c>
      <c r="CF557" s="5">
        <v>42650</v>
      </c>
      <c r="CG557" s="2"/>
      <c r="CH557" s="2"/>
      <c r="CI557" s="2">
        <v>1</v>
      </c>
      <c r="CJ557" s="2">
        <v>1</v>
      </c>
      <c r="CK557" s="2">
        <v>21</v>
      </c>
      <c r="CL557" s="2" t="s">
        <v>88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"FES1162504238"</f>
        <v>FES1162504238</v>
      </c>
      <c r="F558" s="3">
        <v>42647</v>
      </c>
      <c r="G558" s="2">
        <v>201704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160</v>
      </c>
      <c r="M558" s="2" t="s">
        <v>161</v>
      </c>
      <c r="N558" s="2" t="s">
        <v>176</v>
      </c>
      <c r="O558" s="2" t="s">
        <v>96</v>
      </c>
      <c r="P558" s="2" t="str">
        <f>"2170526579                    "</f>
        <v xml:space="preserve">2170526579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3.03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</v>
      </c>
      <c r="BJ558" s="2">
        <v>0.2</v>
      </c>
      <c r="BK558" s="2">
        <v>1</v>
      </c>
      <c r="BL558" s="2">
        <v>40.47</v>
      </c>
      <c r="BM558" s="2">
        <v>5.67</v>
      </c>
      <c r="BN558" s="2">
        <v>46.14</v>
      </c>
      <c r="BO558" s="2">
        <v>46.14</v>
      </c>
      <c r="BP558" s="2"/>
      <c r="BQ558" s="2" t="s">
        <v>258</v>
      </c>
      <c r="BR558" s="2" t="s">
        <v>83</v>
      </c>
      <c r="BS558" s="3">
        <v>42648</v>
      </c>
      <c r="BT558" s="4">
        <v>0.41666666666666669</v>
      </c>
      <c r="BU558" s="2" t="s">
        <v>911</v>
      </c>
      <c r="BV558" s="2" t="s">
        <v>85</v>
      </c>
      <c r="BW558" s="2"/>
      <c r="BX558" s="2"/>
      <c r="BY558" s="2">
        <v>1200</v>
      </c>
      <c r="BZ558" s="2" t="s">
        <v>27</v>
      </c>
      <c r="CA558" s="2" t="s">
        <v>129</v>
      </c>
      <c r="CB558" s="2"/>
      <c r="CC558" s="2" t="s">
        <v>161</v>
      </c>
      <c r="CD558" s="2">
        <v>7405</v>
      </c>
      <c r="CE558" s="2" t="s">
        <v>103</v>
      </c>
      <c r="CF558" s="5">
        <v>42649</v>
      </c>
      <c r="CG558" s="2"/>
      <c r="CH558" s="2"/>
      <c r="CI558" s="2">
        <v>1</v>
      </c>
      <c r="CJ558" s="2">
        <v>1</v>
      </c>
      <c r="CK558" s="2">
        <v>21</v>
      </c>
      <c r="CL558" s="2" t="s">
        <v>88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"009932186806"</f>
        <v>009932186806</v>
      </c>
      <c r="F559" s="3">
        <v>42648</v>
      </c>
      <c r="G559" s="2">
        <v>201704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160</v>
      </c>
      <c r="M559" s="2" t="s">
        <v>161</v>
      </c>
      <c r="N559" s="2" t="s">
        <v>968</v>
      </c>
      <c r="O559" s="2" t="s">
        <v>96</v>
      </c>
      <c r="P559" s="2" t="str">
        <f>"420004903                     "</f>
        <v xml:space="preserve">420004903 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3.32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1</v>
      </c>
      <c r="BJ559" s="2">
        <v>0.2</v>
      </c>
      <c r="BK559" s="2">
        <v>1</v>
      </c>
      <c r="BL559" s="2">
        <v>40.76</v>
      </c>
      <c r="BM559" s="2">
        <v>5.71</v>
      </c>
      <c r="BN559" s="2">
        <v>46.47</v>
      </c>
      <c r="BO559" s="2">
        <v>46.47</v>
      </c>
      <c r="BP559" s="2">
        <v>1162504663</v>
      </c>
      <c r="BQ559" s="2" t="s">
        <v>168</v>
      </c>
      <c r="BR559" s="2" t="s">
        <v>83</v>
      </c>
      <c r="BS559" s="3">
        <v>42649</v>
      </c>
      <c r="BT559" s="4">
        <v>0.34375</v>
      </c>
      <c r="BU559" s="2" t="s">
        <v>382</v>
      </c>
      <c r="BV559" s="2" t="s">
        <v>85</v>
      </c>
      <c r="BW559" s="2"/>
      <c r="BX559" s="2"/>
      <c r="BY559" s="2">
        <v>1200</v>
      </c>
      <c r="BZ559" s="2" t="s">
        <v>27</v>
      </c>
      <c r="CA559" s="2"/>
      <c r="CB559" s="2"/>
      <c r="CC559" s="2" t="s">
        <v>161</v>
      </c>
      <c r="CD559" s="2">
        <v>7530</v>
      </c>
      <c r="CE559" s="2" t="s">
        <v>103</v>
      </c>
      <c r="CF559" s="5">
        <v>42650</v>
      </c>
      <c r="CG559" s="2"/>
      <c r="CH559" s="2"/>
      <c r="CI559" s="2">
        <v>1</v>
      </c>
      <c r="CJ559" s="2">
        <v>1</v>
      </c>
      <c r="CK559" s="2">
        <v>21</v>
      </c>
      <c r="CL559" s="2" t="s">
        <v>88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"FES1162504268"</f>
        <v>FES1162504268</v>
      </c>
      <c r="F560" s="3">
        <v>42647</v>
      </c>
      <c r="G560" s="2">
        <v>201704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160</v>
      </c>
      <c r="M560" s="2" t="s">
        <v>161</v>
      </c>
      <c r="N560" s="2" t="s">
        <v>969</v>
      </c>
      <c r="O560" s="2" t="s">
        <v>96</v>
      </c>
      <c r="P560" s="2" t="str">
        <f>"2170527583                    "</f>
        <v xml:space="preserve">2170527583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3.03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</v>
      </c>
      <c r="BJ560" s="2">
        <v>0.2</v>
      </c>
      <c r="BK560" s="2">
        <v>1</v>
      </c>
      <c r="BL560" s="2">
        <v>40.47</v>
      </c>
      <c r="BM560" s="2">
        <v>5.67</v>
      </c>
      <c r="BN560" s="2">
        <v>46.14</v>
      </c>
      <c r="BO560" s="2">
        <v>46.14</v>
      </c>
      <c r="BP560" s="2"/>
      <c r="BQ560" s="2" t="s">
        <v>82</v>
      </c>
      <c r="BR560" s="2" t="s">
        <v>83</v>
      </c>
      <c r="BS560" s="3">
        <v>42648</v>
      </c>
      <c r="BT560" s="4">
        <v>0.36944444444444446</v>
      </c>
      <c r="BU560" s="2" t="s">
        <v>970</v>
      </c>
      <c r="BV560" s="2" t="s">
        <v>85</v>
      </c>
      <c r="BW560" s="2"/>
      <c r="BX560" s="2"/>
      <c r="BY560" s="2">
        <v>1200</v>
      </c>
      <c r="BZ560" s="2" t="s">
        <v>27</v>
      </c>
      <c r="CA560" s="2" t="s">
        <v>933</v>
      </c>
      <c r="CB560" s="2"/>
      <c r="CC560" s="2" t="s">
        <v>161</v>
      </c>
      <c r="CD560" s="2">
        <v>7460</v>
      </c>
      <c r="CE560" s="2" t="s">
        <v>108</v>
      </c>
      <c r="CF560" s="5">
        <v>42648</v>
      </c>
      <c r="CG560" s="2"/>
      <c r="CH560" s="2"/>
      <c r="CI560" s="2">
        <v>1</v>
      </c>
      <c r="CJ560" s="2">
        <v>1</v>
      </c>
      <c r="CK560" s="2">
        <v>21</v>
      </c>
      <c r="CL560" s="2" t="s">
        <v>88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"FES1162504578"</f>
        <v>FES1162504578</v>
      </c>
      <c r="F561" s="3">
        <v>42648</v>
      </c>
      <c r="G561" s="2">
        <v>201704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98</v>
      </c>
      <c r="M561" s="2" t="s">
        <v>99</v>
      </c>
      <c r="N561" s="2" t="s">
        <v>109</v>
      </c>
      <c r="O561" s="2" t="s">
        <v>96</v>
      </c>
      <c r="P561" s="2" t="str">
        <f>"2170525718                    "</f>
        <v xml:space="preserve">2170525718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34.83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2</v>
      </c>
      <c r="BI561" s="2">
        <v>21</v>
      </c>
      <c r="BJ561" s="2">
        <v>11.9</v>
      </c>
      <c r="BK561" s="2">
        <v>21</v>
      </c>
      <c r="BL561" s="2">
        <v>427.95</v>
      </c>
      <c r="BM561" s="2">
        <v>59.91</v>
      </c>
      <c r="BN561" s="2">
        <v>487.86</v>
      </c>
      <c r="BO561" s="2">
        <v>487.86</v>
      </c>
      <c r="BP561" s="2"/>
      <c r="BQ561" s="2" t="s">
        <v>110</v>
      </c>
      <c r="BR561" s="2" t="s">
        <v>83</v>
      </c>
      <c r="BS561" s="3">
        <v>42649</v>
      </c>
      <c r="BT561" s="4">
        <v>0.36458333333333331</v>
      </c>
      <c r="BU561" s="2" t="s">
        <v>629</v>
      </c>
      <c r="BV561" s="2" t="s">
        <v>85</v>
      </c>
      <c r="BW561" s="2"/>
      <c r="BX561" s="2"/>
      <c r="BY561" s="2">
        <v>59476.44</v>
      </c>
      <c r="BZ561" s="2" t="s">
        <v>27</v>
      </c>
      <c r="CA561" s="2"/>
      <c r="CB561" s="2"/>
      <c r="CC561" s="2" t="s">
        <v>99</v>
      </c>
      <c r="CD561" s="2">
        <v>6001</v>
      </c>
      <c r="CE561" s="2" t="s">
        <v>904</v>
      </c>
      <c r="CF561" s="5">
        <v>42650</v>
      </c>
      <c r="CG561" s="2"/>
      <c r="CH561" s="2"/>
      <c r="CI561" s="2">
        <v>1</v>
      </c>
      <c r="CJ561" s="2">
        <v>1</v>
      </c>
      <c r="CK561" s="2">
        <v>21</v>
      </c>
      <c r="CL561" s="2" t="s">
        <v>88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"FES1162504267"</f>
        <v>FES1162504267</v>
      </c>
      <c r="F562" s="3">
        <v>42647</v>
      </c>
      <c r="G562" s="2">
        <v>201704</v>
      </c>
      <c r="H562" s="2" t="s">
        <v>74</v>
      </c>
      <c r="I562" s="2" t="s">
        <v>75</v>
      </c>
      <c r="J562" s="2" t="s">
        <v>76</v>
      </c>
      <c r="K562" s="2" t="s">
        <v>77</v>
      </c>
      <c r="L562" s="2" t="s">
        <v>160</v>
      </c>
      <c r="M562" s="2" t="s">
        <v>161</v>
      </c>
      <c r="N562" s="2" t="s">
        <v>179</v>
      </c>
      <c r="O562" s="2" t="s">
        <v>96</v>
      </c>
      <c r="P562" s="2" t="str">
        <f>"2170527581                    "</f>
        <v xml:space="preserve">2170527581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3.03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</v>
      </c>
      <c r="BJ562" s="2">
        <v>0.2</v>
      </c>
      <c r="BK562" s="2">
        <v>1</v>
      </c>
      <c r="BL562" s="2">
        <v>40.47</v>
      </c>
      <c r="BM562" s="2">
        <v>5.67</v>
      </c>
      <c r="BN562" s="2">
        <v>46.14</v>
      </c>
      <c r="BO562" s="2">
        <v>46.14</v>
      </c>
      <c r="BP562" s="2"/>
      <c r="BQ562" s="2" t="s">
        <v>180</v>
      </c>
      <c r="BR562" s="2" t="s">
        <v>83</v>
      </c>
      <c r="BS562" s="3">
        <v>42648</v>
      </c>
      <c r="BT562" s="4">
        <v>0.41666666666666669</v>
      </c>
      <c r="BU562" s="2" t="s">
        <v>835</v>
      </c>
      <c r="BV562" s="2" t="s">
        <v>85</v>
      </c>
      <c r="BW562" s="2"/>
      <c r="BX562" s="2"/>
      <c r="BY562" s="2">
        <v>1200</v>
      </c>
      <c r="BZ562" s="2" t="s">
        <v>27</v>
      </c>
      <c r="CA562" s="2" t="s">
        <v>129</v>
      </c>
      <c r="CB562" s="2"/>
      <c r="CC562" s="2" t="s">
        <v>161</v>
      </c>
      <c r="CD562" s="2">
        <v>7405</v>
      </c>
      <c r="CE562" s="2" t="s">
        <v>103</v>
      </c>
      <c r="CF562" s="5">
        <v>42649</v>
      </c>
      <c r="CG562" s="2"/>
      <c r="CH562" s="2"/>
      <c r="CI562" s="2">
        <v>1</v>
      </c>
      <c r="CJ562" s="2">
        <v>1</v>
      </c>
      <c r="CK562" s="2">
        <v>21</v>
      </c>
      <c r="CL562" s="2" t="s">
        <v>88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"FES1162504739"</f>
        <v>FES1162504739</v>
      </c>
      <c r="F563" s="3">
        <v>42648</v>
      </c>
      <c r="G563" s="2">
        <v>201704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148</v>
      </c>
      <c r="M563" s="2" t="s">
        <v>149</v>
      </c>
      <c r="N563" s="2" t="s">
        <v>809</v>
      </c>
      <c r="O563" s="2" t="s">
        <v>96</v>
      </c>
      <c r="P563" s="2" t="str">
        <f>"2170528363                    "</f>
        <v xml:space="preserve">2170528363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15.76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6</v>
      </c>
      <c r="BJ563" s="2">
        <v>9.5</v>
      </c>
      <c r="BK563" s="2">
        <v>9.5</v>
      </c>
      <c r="BL563" s="2">
        <v>193.6</v>
      </c>
      <c r="BM563" s="2">
        <v>27.1</v>
      </c>
      <c r="BN563" s="2">
        <v>220.7</v>
      </c>
      <c r="BO563" s="2">
        <v>220.7</v>
      </c>
      <c r="BP563" s="2"/>
      <c r="BQ563" s="2" t="s">
        <v>91</v>
      </c>
      <c r="BR563" s="2" t="s">
        <v>83</v>
      </c>
      <c r="BS563" s="3">
        <v>42649</v>
      </c>
      <c r="BT563" s="4">
        <v>0.31597222222222221</v>
      </c>
      <c r="BU563" s="2" t="s">
        <v>810</v>
      </c>
      <c r="BV563" s="2" t="s">
        <v>85</v>
      </c>
      <c r="BW563" s="2"/>
      <c r="BX563" s="2"/>
      <c r="BY563" s="2">
        <v>47600</v>
      </c>
      <c r="BZ563" s="2" t="s">
        <v>27</v>
      </c>
      <c r="CA563" s="2" t="s">
        <v>129</v>
      </c>
      <c r="CB563" s="2"/>
      <c r="CC563" s="2" t="s">
        <v>149</v>
      </c>
      <c r="CD563" s="2">
        <v>4094</v>
      </c>
      <c r="CE563" s="2" t="s">
        <v>257</v>
      </c>
      <c r="CF563" s="5">
        <v>42650</v>
      </c>
      <c r="CG563" s="2"/>
      <c r="CH563" s="2"/>
      <c r="CI563" s="2">
        <v>1</v>
      </c>
      <c r="CJ563" s="2">
        <v>1</v>
      </c>
      <c r="CK563" s="2">
        <v>21</v>
      </c>
      <c r="CL563" s="2" t="s">
        <v>88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"FES1162504169"</f>
        <v>FES1162504169</v>
      </c>
      <c r="F564" s="3">
        <v>42647</v>
      </c>
      <c r="G564" s="2">
        <v>201704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959</v>
      </c>
      <c r="M564" s="2" t="s">
        <v>960</v>
      </c>
      <c r="N564" s="2" t="s">
        <v>961</v>
      </c>
      <c r="O564" s="2" t="s">
        <v>96</v>
      </c>
      <c r="P564" s="2" t="str">
        <f>"2170517672                    "</f>
        <v xml:space="preserve">2170517672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3.03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40.47</v>
      </c>
      <c r="BM564" s="2">
        <v>5.67</v>
      </c>
      <c r="BN564" s="2">
        <v>46.14</v>
      </c>
      <c r="BO564" s="2">
        <v>46.14</v>
      </c>
      <c r="BP564" s="2"/>
      <c r="BQ564" s="2" t="s">
        <v>117</v>
      </c>
      <c r="BR564" s="2" t="s">
        <v>83</v>
      </c>
      <c r="BS564" s="3">
        <v>42649</v>
      </c>
      <c r="BT564" s="4">
        <v>0.4513888888888889</v>
      </c>
      <c r="BU564" s="2" t="s">
        <v>962</v>
      </c>
      <c r="BV564" s="2" t="s">
        <v>85</v>
      </c>
      <c r="BW564" s="2"/>
      <c r="BX564" s="2"/>
      <c r="BY564" s="2">
        <v>1200</v>
      </c>
      <c r="BZ564" s="2" t="s">
        <v>27</v>
      </c>
      <c r="CA564" s="2"/>
      <c r="CB564" s="2"/>
      <c r="CC564" s="2" t="s">
        <v>960</v>
      </c>
      <c r="CD564" s="2">
        <v>6715</v>
      </c>
      <c r="CE564" s="2" t="s">
        <v>103</v>
      </c>
      <c r="CF564" s="5">
        <v>42650</v>
      </c>
      <c r="CG564" s="2"/>
      <c r="CH564" s="2"/>
      <c r="CI564" s="2">
        <v>3</v>
      </c>
      <c r="CJ564" s="2">
        <v>2</v>
      </c>
      <c r="CK564" s="2">
        <v>21</v>
      </c>
      <c r="CL564" s="2" t="s">
        <v>88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"FES1162504609"</f>
        <v>FES1162504609</v>
      </c>
      <c r="F565" s="3">
        <v>42648</v>
      </c>
      <c r="G565" s="2">
        <v>201704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260</v>
      </c>
      <c r="M565" s="2" t="s">
        <v>261</v>
      </c>
      <c r="N565" s="2" t="s">
        <v>347</v>
      </c>
      <c r="O565" s="2" t="s">
        <v>96</v>
      </c>
      <c r="P565" s="2" t="str">
        <f>"2170527783                    "</f>
        <v xml:space="preserve">2170527783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11.61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7</v>
      </c>
      <c r="BJ565" s="2">
        <v>4.0999999999999996</v>
      </c>
      <c r="BK565" s="2">
        <v>7</v>
      </c>
      <c r="BL565" s="2">
        <v>142.65</v>
      </c>
      <c r="BM565" s="2">
        <v>19.97</v>
      </c>
      <c r="BN565" s="2">
        <v>162.62</v>
      </c>
      <c r="BO565" s="2">
        <v>162.62</v>
      </c>
      <c r="BP565" s="2"/>
      <c r="BQ565" s="2" t="s">
        <v>91</v>
      </c>
      <c r="BR565" s="2" t="s">
        <v>83</v>
      </c>
      <c r="BS565" s="3">
        <v>42649</v>
      </c>
      <c r="BT565" s="4">
        <v>0.41666666666666669</v>
      </c>
      <c r="BU565" s="2" t="s">
        <v>971</v>
      </c>
      <c r="BV565" s="2" t="s">
        <v>85</v>
      </c>
      <c r="BW565" s="2"/>
      <c r="BX565" s="2"/>
      <c r="BY565" s="2">
        <v>20358</v>
      </c>
      <c r="BZ565" s="2" t="s">
        <v>27</v>
      </c>
      <c r="CA565" s="2"/>
      <c r="CB565" s="2"/>
      <c r="CC565" s="2" t="s">
        <v>261</v>
      </c>
      <c r="CD565" s="2">
        <v>6850</v>
      </c>
      <c r="CE565" s="2" t="s">
        <v>257</v>
      </c>
      <c r="CF565" s="5">
        <v>42650</v>
      </c>
      <c r="CG565" s="2"/>
      <c r="CH565" s="2"/>
      <c r="CI565" s="2">
        <v>3</v>
      </c>
      <c r="CJ565" s="2">
        <v>1</v>
      </c>
      <c r="CK565" s="2">
        <v>21</v>
      </c>
      <c r="CL565" s="2" t="s">
        <v>88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"FES1162504349"</f>
        <v>FES1162504349</v>
      </c>
      <c r="F566" s="3">
        <v>42647</v>
      </c>
      <c r="G566" s="2">
        <v>201704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160</v>
      </c>
      <c r="M566" s="2" t="s">
        <v>161</v>
      </c>
      <c r="N566" s="2" t="s">
        <v>972</v>
      </c>
      <c r="O566" s="2" t="s">
        <v>96</v>
      </c>
      <c r="P566" s="2" t="str">
        <f>"2170528063                    "</f>
        <v xml:space="preserve">2170528063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3.03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1.3</v>
      </c>
      <c r="BJ566" s="2">
        <v>1.5</v>
      </c>
      <c r="BK566" s="2">
        <v>1.5</v>
      </c>
      <c r="BL566" s="2">
        <v>40.47</v>
      </c>
      <c r="BM566" s="2">
        <v>5.67</v>
      </c>
      <c r="BN566" s="2">
        <v>46.14</v>
      </c>
      <c r="BO566" s="2">
        <v>46.14</v>
      </c>
      <c r="BP566" s="2"/>
      <c r="BQ566" s="2" t="s">
        <v>91</v>
      </c>
      <c r="BR566" s="2" t="s">
        <v>83</v>
      </c>
      <c r="BS566" s="3">
        <v>42648</v>
      </c>
      <c r="BT566" s="4">
        <v>0.41666666666666669</v>
      </c>
      <c r="BU566" s="2" t="s">
        <v>973</v>
      </c>
      <c r="BV566" s="2"/>
      <c r="BW566" s="2"/>
      <c r="BX566" s="2"/>
      <c r="BY566" s="2">
        <v>7690.65</v>
      </c>
      <c r="BZ566" s="2" t="s">
        <v>27</v>
      </c>
      <c r="CA566" s="2"/>
      <c r="CB566" s="2"/>
      <c r="CC566" s="2" t="s">
        <v>161</v>
      </c>
      <c r="CD566" s="2">
        <v>8001</v>
      </c>
      <c r="CE566" s="2" t="s">
        <v>103</v>
      </c>
      <c r="CF566" s="5">
        <v>42649</v>
      </c>
      <c r="CG566" s="2"/>
      <c r="CH566" s="2"/>
      <c r="CI566" s="2">
        <v>0</v>
      </c>
      <c r="CJ566" s="2">
        <v>0</v>
      </c>
      <c r="CK566" s="2">
        <v>21</v>
      </c>
      <c r="CL566" s="2" t="s">
        <v>88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"FES1162504659"</f>
        <v>FES1162504659</v>
      </c>
      <c r="F567" s="3">
        <v>42648</v>
      </c>
      <c r="G567" s="2">
        <v>201704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253</v>
      </c>
      <c r="M567" s="2" t="s">
        <v>254</v>
      </c>
      <c r="N567" s="2" t="s">
        <v>255</v>
      </c>
      <c r="O567" s="2" t="s">
        <v>96</v>
      </c>
      <c r="P567" s="2" t="str">
        <f>"2170528310                    "</f>
        <v xml:space="preserve">2170528310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10.78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2.2999999999999998</v>
      </c>
      <c r="BJ567" s="2">
        <v>3.3</v>
      </c>
      <c r="BK567" s="2">
        <v>3.5</v>
      </c>
      <c r="BL567" s="2">
        <v>132.46</v>
      </c>
      <c r="BM567" s="2">
        <v>18.54</v>
      </c>
      <c r="BN567" s="2">
        <v>151</v>
      </c>
      <c r="BO567" s="2">
        <v>151</v>
      </c>
      <c r="BP567" s="2"/>
      <c r="BQ567" s="2" t="s">
        <v>117</v>
      </c>
      <c r="BR567" s="2" t="s">
        <v>83</v>
      </c>
      <c r="BS567" s="3">
        <v>42649</v>
      </c>
      <c r="BT567" s="4">
        <v>0.59722222222222221</v>
      </c>
      <c r="BU567" s="2" t="s">
        <v>974</v>
      </c>
      <c r="BV567" s="2" t="s">
        <v>85</v>
      </c>
      <c r="BW567" s="2"/>
      <c r="BX567" s="2"/>
      <c r="BY567" s="2">
        <v>16602.47</v>
      </c>
      <c r="BZ567" s="2" t="s">
        <v>27</v>
      </c>
      <c r="CA567" s="2"/>
      <c r="CB567" s="2"/>
      <c r="CC567" s="2" t="s">
        <v>254</v>
      </c>
      <c r="CD567" s="2">
        <v>3370</v>
      </c>
      <c r="CE567" s="2" t="s">
        <v>257</v>
      </c>
      <c r="CF567" s="5">
        <v>42653</v>
      </c>
      <c r="CG567" s="2"/>
      <c r="CH567" s="2"/>
      <c r="CI567" s="2">
        <v>3</v>
      </c>
      <c r="CJ567" s="2">
        <v>1</v>
      </c>
      <c r="CK567" s="2">
        <v>23</v>
      </c>
      <c r="CL567" s="2" t="s">
        <v>88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"FES1162504279"</f>
        <v>FES1162504279</v>
      </c>
      <c r="F568" s="3">
        <v>42647</v>
      </c>
      <c r="G568" s="2">
        <v>201704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160</v>
      </c>
      <c r="M568" s="2" t="s">
        <v>161</v>
      </c>
      <c r="N568" s="2" t="s">
        <v>619</v>
      </c>
      <c r="O568" s="2" t="s">
        <v>96</v>
      </c>
      <c r="P568" s="2" t="str">
        <f>"2170520641                    "</f>
        <v xml:space="preserve">2170520641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3.03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</v>
      </c>
      <c r="BJ568" s="2">
        <v>1.4</v>
      </c>
      <c r="BK568" s="2">
        <v>1.5</v>
      </c>
      <c r="BL568" s="2">
        <v>40.47</v>
      </c>
      <c r="BM568" s="2">
        <v>5.67</v>
      </c>
      <c r="BN568" s="2">
        <v>46.14</v>
      </c>
      <c r="BO568" s="2">
        <v>46.14</v>
      </c>
      <c r="BP568" s="2"/>
      <c r="BQ568" s="2" t="s">
        <v>91</v>
      </c>
      <c r="BR568" s="2" t="s">
        <v>83</v>
      </c>
      <c r="BS568" s="3">
        <v>42648</v>
      </c>
      <c r="BT568" s="4">
        <v>0.36805555555555558</v>
      </c>
      <c r="BU568" s="2" t="s">
        <v>975</v>
      </c>
      <c r="BV568" s="2" t="s">
        <v>85</v>
      </c>
      <c r="BW568" s="2"/>
      <c r="BX568" s="2"/>
      <c r="BY568" s="2">
        <v>7111.31</v>
      </c>
      <c r="BZ568" s="2" t="s">
        <v>27</v>
      </c>
      <c r="CA568" s="2"/>
      <c r="CB568" s="2"/>
      <c r="CC568" s="2" t="s">
        <v>161</v>
      </c>
      <c r="CD568" s="2">
        <v>7499</v>
      </c>
      <c r="CE568" s="2" t="s">
        <v>103</v>
      </c>
      <c r="CF568" s="5">
        <v>42648</v>
      </c>
      <c r="CG568" s="2"/>
      <c r="CH568" s="2"/>
      <c r="CI568" s="2">
        <v>1</v>
      </c>
      <c r="CJ568" s="2">
        <v>1</v>
      </c>
      <c r="CK568" s="2">
        <v>21</v>
      </c>
      <c r="CL568" s="2" t="s">
        <v>88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"FES1162504741"</f>
        <v>FES1162504741</v>
      </c>
      <c r="F569" s="3">
        <v>42648</v>
      </c>
      <c r="G569" s="2">
        <v>201704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137</v>
      </c>
      <c r="M569" s="2" t="s">
        <v>138</v>
      </c>
      <c r="N569" s="2" t="s">
        <v>420</v>
      </c>
      <c r="O569" s="2" t="s">
        <v>96</v>
      </c>
      <c r="P569" s="2" t="str">
        <f>"2170528382                    "</f>
        <v xml:space="preserve">2170528382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15.76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3</v>
      </c>
      <c r="BJ569" s="2">
        <v>9.1</v>
      </c>
      <c r="BK569" s="2">
        <v>9.5</v>
      </c>
      <c r="BL569" s="2">
        <v>193.6</v>
      </c>
      <c r="BM569" s="2">
        <v>27.1</v>
      </c>
      <c r="BN569" s="2">
        <v>220.7</v>
      </c>
      <c r="BO569" s="2">
        <v>220.7</v>
      </c>
      <c r="BP569" s="2"/>
      <c r="BQ569" s="2" t="s">
        <v>117</v>
      </c>
      <c r="BR569" s="2" t="s">
        <v>83</v>
      </c>
      <c r="BS569" s="3">
        <v>42649</v>
      </c>
      <c r="BT569" s="4">
        <v>0.38541666666666669</v>
      </c>
      <c r="BU569" s="2" t="s">
        <v>976</v>
      </c>
      <c r="BV569" s="2" t="s">
        <v>85</v>
      </c>
      <c r="BW569" s="2"/>
      <c r="BX569" s="2"/>
      <c r="BY569" s="2">
        <v>45632</v>
      </c>
      <c r="BZ569" s="2" t="s">
        <v>27</v>
      </c>
      <c r="CA569" s="2"/>
      <c r="CB569" s="2"/>
      <c r="CC569" s="2" t="s">
        <v>138</v>
      </c>
      <c r="CD569" s="2">
        <v>3201</v>
      </c>
      <c r="CE569" s="2" t="s">
        <v>257</v>
      </c>
      <c r="CF569" s="5">
        <v>42650</v>
      </c>
      <c r="CG569" s="2"/>
      <c r="CH569" s="2"/>
      <c r="CI569" s="2">
        <v>1</v>
      </c>
      <c r="CJ569" s="2">
        <v>1</v>
      </c>
      <c r="CK569" s="2">
        <v>21</v>
      </c>
      <c r="CL569" s="2" t="s">
        <v>88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"FES1162504467"</f>
        <v>FES1162504467</v>
      </c>
      <c r="F570" s="3">
        <v>42647</v>
      </c>
      <c r="G570" s="2">
        <v>201704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377</v>
      </c>
      <c r="M570" s="2" t="s">
        <v>378</v>
      </c>
      <c r="N570" s="2" t="s">
        <v>379</v>
      </c>
      <c r="O570" s="2" t="s">
        <v>96</v>
      </c>
      <c r="P570" s="2" t="str">
        <f>"2170528192                    "</f>
        <v xml:space="preserve">2170528192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3.03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1</v>
      </c>
      <c r="BJ570" s="2">
        <v>0.2</v>
      </c>
      <c r="BK570" s="2">
        <v>1</v>
      </c>
      <c r="BL570" s="2">
        <v>40.47</v>
      </c>
      <c r="BM570" s="2">
        <v>5.67</v>
      </c>
      <c r="BN570" s="2">
        <v>46.14</v>
      </c>
      <c r="BO570" s="2">
        <v>46.14</v>
      </c>
      <c r="BP570" s="2"/>
      <c r="BQ570" s="2" t="s">
        <v>168</v>
      </c>
      <c r="BR570" s="2" t="s">
        <v>83</v>
      </c>
      <c r="BS570" s="3">
        <v>42648</v>
      </c>
      <c r="BT570" s="4">
        <v>0.39930555555555558</v>
      </c>
      <c r="BU570" s="2" t="s">
        <v>977</v>
      </c>
      <c r="BV570" s="2" t="s">
        <v>85</v>
      </c>
      <c r="BW570" s="2"/>
      <c r="BX570" s="2"/>
      <c r="BY570" s="2">
        <v>1200</v>
      </c>
      <c r="BZ570" s="2" t="s">
        <v>27</v>
      </c>
      <c r="CA570" s="2"/>
      <c r="CB570" s="2"/>
      <c r="CC570" s="2" t="s">
        <v>378</v>
      </c>
      <c r="CD570" s="2">
        <v>6536</v>
      </c>
      <c r="CE570" s="2" t="s">
        <v>103</v>
      </c>
      <c r="CF570" s="5">
        <v>42650</v>
      </c>
      <c r="CG570" s="2"/>
      <c r="CH570" s="2"/>
      <c r="CI570" s="2">
        <v>1</v>
      </c>
      <c r="CJ570" s="2">
        <v>1</v>
      </c>
      <c r="CK570" s="2">
        <v>21</v>
      </c>
      <c r="CL570" s="2" t="s">
        <v>88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"FES1162504576"</f>
        <v>FES1162504576</v>
      </c>
      <c r="F571" s="3">
        <v>42648</v>
      </c>
      <c r="G571" s="2">
        <v>201704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156</v>
      </c>
      <c r="M571" s="2" t="s">
        <v>157</v>
      </c>
      <c r="N571" s="2" t="s">
        <v>158</v>
      </c>
      <c r="O571" s="2" t="s">
        <v>96</v>
      </c>
      <c r="P571" s="2" t="str">
        <f>"2170525657                    "</f>
        <v xml:space="preserve">2170525657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3.32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2</v>
      </c>
      <c r="BJ571" s="2">
        <v>1</v>
      </c>
      <c r="BK571" s="2">
        <v>2</v>
      </c>
      <c r="BL571" s="2">
        <v>40.76</v>
      </c>
      <c r="BM571" s="2">
        <v>5.71</v>
      </c>
      <c r="BN571" s="2">
        <v>46.47</v>
      </c>
      <c r="BO571" s="2">
        <v>46.47</v>
      </c>
      <c r="BP571" s="2"/>
      <c r="BQ571" s="2" t="s">
        <v>91</v>
      </c>
      <c r="BR571" s="2" t="s">
        <v>83</v>
      </c>
      <c r="BS571" s="3">
        <v>42649</v>
      </c>
      <c r="BT571" s="4">
        <v>0.41666666666666669</v>
      </c>
      <c r="BU571" s="2" t="s">
        <v>978</v>
      </c>
      <c r="BV571" s="2" t="s">
        <v>85</v>
      </c>
      <c r="BW571" s="2"/>
      <c r="BX571" s="2"/>
      <c r="BY571" s="2">
        <v>5159.7</v>
      </c>
      <c r="BZ571" s="2" t="s">
        <v>27</v>
      </c>
      <c r="CA571" s="2"/>
      <c r="CB571" s="2"/>
      <c r="CC571" s="2" t="s">
        <v>157</v>
      </c>
      <c r="CD571" s="2">
        <v>7130</v>
      </c>
      <c r="CE571" s="2" t="s">
        <v>257</v>
      </c>
      <c r="CF571" s="5">
        <v>42650</v>
      </c>
      <c r="CG571" s="2"/>
      <c r="CH571" s="2"/>
      <c r="CI571" s="2">
        <v>1</v>
      </c>
      <c r="CJ571" s="2">
        <v>1</v>
      </c>
      <c r="CK571" s="2">
        <v>21</v>
      </c>
      <c r="CL571" s="2" t="s">
        <v>88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"FES1162504465"</f>
        <v>FES1162504465</v>
      </c>
      <c r="F572" s="3">
        <v>42647</v>
      </c>
      <c r="G572" s="2">
        <v>201704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503</v>
      </c>
      <c r="M572" s="2" t="s">
        <v>504</v>
      </c>
      <c r="N572" s="2" t="s">
        <v>505</v>
      </c>
      <c r="O572" s="2" t="s">
        <v>96</v>
      </c>
      <c r="P572" s="2" t="str">
        <f>"2170528190                    "</f>
        <v xml:space="preserve">2170528190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5.88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1</v>
      </c>
      <c r="BJ572" s="2">
        <v>1.7</v>
      </c>
      <c r="BK572" s="2">
        <v>2</v>
      </c>
      <c r="BL572" s="2">
        <v>78.42</v>
      </c>
      <c r="BM572" s="2">
        <v>10.98</v>
      </c>
      <c r="BN572" s="2">
        <v>89.4</v>
      </c>
      <c r="BO572" s="2">
        <v>89.4</v>
      </c>
      <c r="BP572" s="2"/>
      <c r="BQ572" s="2" t="s">
        <v>91</v>
      </c>
      <c r="BR572" s="2" t="s">
        <v>83</v>
      </c>
      <c r="BS572" s="3">
        <v>42648</v>
      </c>
      <c r="BT572" s="4">
        <v>0.41666666666666669</v>
      </c>
      <c r="BU572" s="2" t="s">
        <v>506</v>
      </c>
      <c r="BV572" s="2" t="s">
        <v>85</v>
      </c>
      <c r="BW572" s="2"/>
      <c r="BX572" s="2"/>
      <c r="BY572" s="2">
        <v>8416.7999999999993</v>
      </c>
      <c r="BZ572" s="2" t="s">
        <v>27</v>
      </c>
      <c r="CA572" s="2" t="s">
        <v>979</v>
      </c>
      <c r="CB572" s="2"/>
      <c r="CC572" s="2" t="s">
        <v>504</v>
      </c>
      <c r="CD572" s="2">
        <v>7349</v>
      </c>
      <c r="CE572" s="2" t="s">
        <v>103</v>
      </c>
      <c r="CF572" s="5">
        <v>42649</v>
      </c>
      <c r="CG572" s="2"/>
      <c r="CH572" s="2"/>
      <c r="CI572" s="2">
        <v>1</v>
      </c>
      <c r="CJ572" s="2">
        <v>1</v>
      </c>
      <c r="CK572" s="2">
        <v>23</v>
      </c>
      <c r="CL572" s="2" t="s">
        <v>88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"FES1162504637"</f>
        <v>FES1162504637</v>
      </c>
      <c r="F573" s="3">
        <v>42648</v>
      </c>
      <c r="G573" s="2">
        <v>201704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98</v>
      </c>
      <c r="M573" s="2" t="s">
        <v>99</v>
      </c>
      <c r="N573" s="2" t="s">
        <v>109</v>
      </c>
      <c r="O573" s="2" t="s">
        <v>96</v>
      </c>
      <c r="P573" s="2" t="str">
        <f>"2170525644                    "</f>
        <v xml:space="preserve">2170525644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7.46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3.4</v>
      </c>
      <c r="BJ573" s="2">
        <v>4.4000000000000004</v>
      </c>
      <c r="BK573" s="2">
        <v>4.5</v>
      </c>
      <c r="BL573" s="2">
        <v>91.7</v>
      </c>
      <c r="BM573" s="2">
        <v>12.84</v>
      </c>
      <c r="BN573" s="2">
        <v>104.54</v>
      </c>
      <c r="BO573" s="2">
        <v>104.54</v>
      </c>
      <c r="BP573" s="2"/>
      <c r="BQ573" s="2" t="s">
        <v>110</v>
      </c>
      <c r="BR573" s="2" t="s">
        <v>83</v>
      </c>
      <c r="BS573" s="3">
        <v>42649</v>
      </c>
      <c r="BT573" s="4">
        <v>0.36458333333333331</v>
      </c>
      <c r="BU573" s="2" t="s">
        <v>629</v>
      </c>
      <c r="BV573" s="2" t="s">
        <v>85</v>
      </c>
      <c r="BW573" s="2"/>
      <c r="BX573" s="2"/>
      <c r="BY573" s="2">
        <v>22015.73</v>
      </c>
      <c r="BZ573" s="2" t="s">
        <v>27</v>
      </c>
      <c r="CA573" s="2"/>
      <c r="CB573" s="2"/>
      <c r="CC573" s="2" t="s">
        <v>99</v>
      </c>
      <c r="CD573" s="2">
        <v>6001</v>
      </c>
      <c r="CE573" s="2" t="s">
        <v>257</v>
      </c>
      <c r="CF573" s="5">
        <v>42650</v>
      </c>
      <c r="CG573" s="2"/>
      <c r="CH573" s="2"/>
      <c r="CI573" s="2">
        <v>1</v>
      </c>
      <c r="CJ573" s="2">
        <v>1</v>
      </c>
      <c r="CK573" s="2">
        <v>21</v>
      </c>
      <c r="CL573" s="2" t="s">
        <v>88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"FES1162504451"</f>
        <v>FES1162504451</v>
      </c>
      <c r="F574" s="3">
        <v>42647</v>
      </c>
      <c r="G574" s="2">
        <v>201704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160</v>
      </c>
      <c r="M574" s="2" t="s">
        <v>161</v>
      </c>
      <c r="N574" s="2" t="s">
        <v>334</v>
      </c>
      <c r="O574" s="2" t="s">
        <v>96</v>
      </c>
      <c r="P574" s="2" t="str">
        <f>"2170528173                    "</f>
        <v xml:space="preserve">2170528173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3.03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1</v>
      </c>
      <c r="BJ574" s="2">
        <v>0.2</v>
      </c>
      <c r="BK574" s="2">
        <v>1</v>
      </c>
      <c r="BL574" s="2">
        <v>40.47</v>
      </c>
      <c r="BM574" s="2">
        <v>5.67</v>
      </c>
      <c r="BN574" s="2">
        <v>46.14</v>
      </c>
      <c r="BO574" s="2">
        <v>46.14</v>
      </c>
      <c r="BP574" s="2"/>
      <c r="BQ574" s="2" t="s">
        <v>168</v>
      </c>
      <c r="BR574" s="2" t="s">
        <v>83</v>
      </c>
      <c r="BS574" s="3">
        <v>42648</v>
      </c>
      <c r="BT574" s="4">
        <v>0.45833333333333331</v>
      </c>
      <c r="BU574" s="2" t="s">
        <v>936</v>
      </c>
      <c r="BV574" s="2" t="s">
        <v>85</v>
      </c>
      <c r="BW574" s="2"/>
      <c r="BX574" s="2"/>
      <c r="BY574" s="2">
        <v>1200</v>
      </c>
      <c r="BZ574" s="2" t="s">
        <v>27</v>
      </c>
      <c r="CA574" s="2"/>
      <c r="CB574" s="2"/>
      <c r="CC574" s="2" t="s">
        <v>161</v>
      </c>
      <c r="CD574" s="2">
        <v>7945</v>
      </c>
      <c r="CE574" s="2" t="s">
        <v>103</v>
      </c>
      <c r="CF574" s="5">
        <v>42649</v>
      </c>
      <c r="CG574" s="2"/>
      <c r="CH574" s="2"/>
      <c r="CI574" s="2">
        <v>1</v>
      </c>
      <c r="CJ574" s="2">
        <v>1</v>
      </c>
      <c r="CK574" s="2">
        <v>21</v>
      </c>
      <c r="CL574" s="2" t="s">
        <v>88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"FES1162504505"</f>
        <v>FES1162504505</v>
      </c>
      <c r="F575" s="3">
        <v>42647</v>
      </c>
      <c r="G575" s="2">
        <v>201704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160</v>
      </c>
      <c r="M575" s="2" t="s">
        <v>161</v>
      </c>
      <c r="N575" s="2" t="s">
        <v>980</v>
      </c>
      <c r="O575" s="2" t="s">
        <v>96</v>
      </c>
      <c r="P575" s="2" t="str">
        <f>"2170528218                    "</f>
        <v xml:space="preserve">2170528218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3.03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1</v>
      </c>
      <c r="BJ575" s="2">
        <v>0.2</v>
      </c>
      <c r="BK575" s="2">
        <v>1</v>
      </c>
      <c r="BL575" s="2">
        <v>40.47</v>
      </c>
      <c r="BM575" s="2">
        <v>5.67</v>
      </c>
      <c r="BN575" s="2">
        <v>46.14</v>
      </c>
      <c r="BO575" s="2">
        <v>46.14</v>
      </c>
      <c r="BP575" s="2"/>
      <c r="BQ575" s="2" t="s">
        <v>117</v>
      </c>
      <c r="BR575" s="2" t="s">
        <v>83</v>
      </c>
      <c r="BS575" s="3">
        <v>42648</v>
      </c>
      <c r="BT575" s="4">
        <v>0.34652777777777777</v>
      </c>
      <c r="BU575" s="2" t="s">
        <v>981</v>
      </c>
      <c r="BV575" s="2" t="s">
        <v>85</v>
      </c>
      <c r="BW575" s="2"/>
      <c r="BX575" s="2"/>
      <c r="BY575" s="2">
        <v>1200</v>
      </c>
      <c r="BZ575" s="2" t="s">
        <v>27</v>
      </c>
      <c r="CA575" s="2"/>
      <c r="CB575" s="2"/>
      <c r="CC575" s="2" t="s">
        <v>161</v>
      </c>
      <c r="CD575" s="2">
        <v>7530</v>
      </c>
      <c r="CE575" s="2" t="s">
        <v>103</v>
      </c>
      <c r="CF575" s="5">
        <v>42649</v>
      </c>
      <c r="CG575" s="2"/>
      <c r="CH575" s="2"/>
      <c r="CI575" s="2">
        <v>1</v>
      </c>
      <c r="CJ575" s="2">
        <v>1</v>
      </c>
      <c r="CK575" s="2">
        <v>21</v>
      </c>
      <c r="CL575" s="2" t="s">
        <v>88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"FES1162504497"</f>
        <v>FES1162504497</v>
      </c>
      <c r="F576" s="3">
        <v>42647</v>
      </c>
      <c r="G576" s="2">
        <v>201704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156</v>
      </c>
      <c r="M576" s="2" t="s">
        <v>157</v>
      </c>
      <c r="N576" s="2" t="s">
        <v>507</v>
      </c>
      <c r="O576" s="2" t="s">
        <v>96</v>
      </c>
      <c r="P576" s="2" t="str">
        <f>"2170528216                    "</f>
        <v xml:space="preserve">2170528216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12.13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7.6</v>
      </c>
      <c r="BJ576" s="2">
        <v>3.4</v>
      </c>
      <c r="BK576" s="2">
        <v>8</v>
      </c>
      <c r="BL576" s="2">
        <v>161.88999999999999</v>
      </c>
      <c r="BM576" s="2">
        <v>22.66</v>
      </c>
      <c r="BN576" s="2">
        <v>184.55</v>
      </c>
      <c r="BO576" s="2">
        <v>184.55</v>
      </c>
      <c r="BP576" s="2"/>
      <c r="BQ576" s="2" t="s">
        <v>508</v>
      </c>
      <c r="BR576" s="2" t="s">
        <v>83</v>
      </c>
      <c r="BS576" s="3">
        <v>42648</v>
      </c>
      <c r="BT576" s="4">
        <v>0.35069444444444442</v>
      </c>
      <c r="BU576" s="2" t="s">
        <v>926</v>
      </c>
      <c r="BV576" s="2" t="s">
        <v>85</v>
      </c>
      <c r="BW576" s="2"/>
      <c r="BX576" s="2"/>
      <c r="BY576" s="2">
        <v>17165.68</v>
      </c>
      <c r="BZ576" s="2" t="s">
        <v>27</v>
      </c>
      <c r="CA576" s="2"/>
      <c r="CB576" s="2"/>
      <c r="CC576" s="2" t="s">
        <v>157</v>
      </c>
      <c r="CD576" s="2">
        <v>7130</v>
      </c>
      <c r="CE576" s="2" t="s">
        <v>257</v>
      </c>
      <c r="CF576" s="5">
        <v>42649</v>
      </c>
      <c r="CG576" s="2"/>
      <c r="CH576" s="2"/>
      <c r="CI576" s="2">
        <v>1</v>
      </c>
      <c r="CJ576" s="2">
        <v>1</v>
      </c>
      <c r="CK576" s="2">
        <v>21</v>
      </c>
      <c r="CL576" s="2" t="s">
        <v>88</v>
      </c>
      <c r="CM576" s="2"/>
    </row>
    <row r="577" spans="1:91">
      <c r="A577" s="2" t="s">
        <v>71</v>
      </c>
      <c r="B577" s="2" t="s">
        <v>72</v>
      </c>
      <c r="C577" s="2" t="s">
        <v>73</v>
      </c>
      <c r="D577" s="2"/>
      <c r="E577" s="2" t="str">
        <f>"Rfes1162504221"</f>
        <v>Rfes1162504221</v>
      </c>
      <c r="F577" s="3">
        <v>42648</v>
      </c>
      <c r="G577" s="2">
        <v>201704</v>
      </c>
      <c r="H577" s="2" t="s">
        <v>98</v>
      </c>
      <c r="I577" s="2" t="s">
        <v>99</v>
      </c>
      <c r="J577" s="2" t="s">
        <v>100</v>
      </c>
      <c r="K577" s="2" t="s">
        <v>77</v>
      </c>
      <c r="L577" s="2" t="s">
        <v>74</v>
      </c>
      <c r="M577" s="2" t="s">
        <v>75</v>
      </c>
      <c r="N577" s="2" t="s">
        <v>76</v>
      </c>
      <c r="O577" s="2" t="s">
        <v>96</v>
      </c>
      <c r="P577" s="2" t="str">
        <f>"2170525876                    "</f>
        <v xml:space="preserve">2170525876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3.32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40.76</v>
      </c>
      <c r="BM577" s="2">
        <v>5.71</v>
      </c>
      <c r="BN577" s="2">
        <v>46.47</v>
      </c>
      <c r="BO577" s="2">
        <v>46.47</v>
      </c>
      <c r="BP577" s="2"/>
      <c r="BQ577" s="2" t="s">
        <v>83</v>
      </c>
      <c r="BR577" s="2" t="s">
        <v>82</v>
      </c>
      <c r="BS577" s="3">
        <v>42649</v>
      </c>
      <c r="BT577" s="4">
        <v>0.36805555555555558</v>
      </c>
      <c r="BU577" s="2" t="s">
        <v>777</v>
      </c>
      <c r="BV577" s="2" t="s">
        <v>85</v>
      </c>
      <c r="BW577" s="2"/>
      <c r="BX577" s="2"/>
      <c r="BY577" s="2">
        <v>1200</v>
      </c>
      <c r="BZ577" s="2" t="s">
        <v>27</v>
      </c>
      <c r="CA577" s="2" t="s">
        <v>129</v>
      </c>
      <c r="CB577" s="2"/>
      <c r="CC577" s="2" t="s">
        <v>75</v>
      </c>
      <c r="CD577" s="2">
        <v>1600</v>
      </c>
      <c r="CE577" s="2" t="s">
        <v>782</v>
      </c>
      <c r="CF577" s="5">
        <v>42656</v>
      </c>
      <c r="CG577" s="2"/>
      <c r="CH577" s="2"/>
      <c r="CI577" s="2">
        <v>1</v>
      </c>
      <c r="CJ577" s="2">
        <v>1</v>
      </c>
      <c r="CK577" s="2">
        <v>21</v>
      </c>
      <c r="CL577" s="2" t="s">
        <v>88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"FES1162504534"</f>
        <v>FES1162504534</v>
      </c>
      <c r="F578" s="3">
        <v>42647</v>
      </c>
      <c r="G578" s="2">
        <v>201704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510</v>
      </c>
      <c r="M578" s="2" t="s">
        <v>511</v>
      </c>
      <c r="N578" s="2" t="s">
        <v>982</v>
      </c>
      <c r="O578" s="2" t="s">
        <v>96</v>
      </c>
      <c r="P578" s="2" t="str">
        <f>"2170528258                    "</f>
        <v xml:space="preserve">2170528258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3.03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1</v>
      </c>
      <c r="BJ578" s="2">
        <v>1.4</v>
      </c>
      <c r="BK578" s="2">
        <v>1.5</v>
      </c>
      <c r="BL578" s="2">
        <v>40.47</v>
      </c>
      <c r="BM578" s="2">
        <v>5.67</v>
      </c>
      <c r="BN578" s="2">
        <v>46.14</v>
      </c>
      <c r="BO578" s="2">
        <v>46.14</v>
      </c>
      <c r="BP578" s="2"/>
      <c r="BQ578" s="2" t="s">
        <v>983</v>
      </c>
      <c r="BR578" s="2" t="s">
        <v>83</v>
      </c>
      <c r="BS578" s="3">
        <v>42648</v>
      </c>
      <c r="BT578" s="4">
        <v>0.4375</v>
      </c>
      <c r="BU578" s="2" t="s">
        <v>984</v>
      </c>
      <c r="BV578" s="2" t="s">
        <v>85</v>
      </c>
      <c r="BW578" s="2"/>
      <c r="BX578" s="2"/>
      <c r="BY578" s="2">
        <v>7215.48</v>
      </c>
      <c r="BZ578" s="2" t="s">
        <v>27</v>
      </c>
      <c r="CA578" s="2"/>
      <c r="CB578" s="2"/>
      <c r="CC578" s="2" t="s">
        <v>511</v>
      </c>
      <c r="CD578" s="2">
        <v>3290</v>
      </c>
      <c r="CE578" s="2" t="s">
        <v>103</v>
      </c>
      <c r="CF578" s="5">
        <v>42650</v>
      </c>
      <c r="CG578" s="2"/>
      <c r="CH578" s="2"/>
      <c r="CI578" s="2">
        <v>1</v>
      </c>
      <c r="CJ578" s="2">
        <v>1</v>
      </c>
      <c r="CK578" s="2">
        <v>21</v>
      </c>
      <c r="CL578" s="2" t="s">
        <v>88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"FES1162504582"</f>
        <v>FES1162504582</v>
      </c>
      <c r="F579" s="3">
        <v>42648</v>
      </c>
      <c r="G579" s="2">
        <v>201704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160</v>
      </c>
      <c r="M579" s="2" t="s">
        <v>161</v>
      </c>
      <c r="N579" s="2" t="s">
        <v>985</v>
      </c>
      <c r="O579" s="2" t="s">
        <v>96</v>
      </c>
      <c r="P579" s="2" t="str">
        <f>"2170525900                    "</f>
        <v xml:space="preserve">2170525900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3.32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1</v>
      </c>
      <c r="BJ579" s="2">
        <v>0.2</v>
      </c>
      <c r="BK579" s="2">
        <v>1</v>
      </c>
      <c r="BL579" s="2">
        <v>40.76</v>
      </c>
      <c r="BM579" s="2">
        <v>5.71</v>
      </c>
      <c r="BN579" s="2">
        <v>46.47</v>
      </c>
      <c r="BO579" s="2">
        <v>46.47</v>
      </c>
      <c r="BP579" s="2"/>
      <c r="BQ579" s="2" t="s">
        <v>986</v>
      </c>
      <c r="BR579" s="2" t="s">
        <v>83</v>
      </c>
      <c r="BS579" s="3">
        <v>42649</v>
      </c>
      <c r="BT579" s="4">
        <v>0.41666666666666669</v>
      </c>
      <c r="BU579" s="2" t="s">
        <v>987</v>
      </c>
      <c r="BV579" s="2" t="s">
        <v>85</v>
      </c>
      <c r="BW579" s="2"/>
      <c r="BX579" s="2"/>
      <c r="BY579" s="2">
        <v>1200</v>
      </c>
      <c r="BZ579" s="2" t="s">
        <v>27</v>
      </c>
      <c r="CA579" s="2" t="s">
        <v>129</v>
      </c>
      <c r="CB579" s="2"/>
      <c r="CC579" s="2" t="s">
        <v>161</v>
      </c>
      <c r="CD579" s="2">
        <v>7405</v>
      </c>
      <c r="CE579" s="2" t="s">
        <v>103</v>
      </c>
      <c r="CF579" s="5">
        <v>42650</v>
      </c>
      <c r="CG579" s="2"/>
      <c r="CH579" s="2"/>
      <c r="CI579" s="2">
        <v>1</v>
      </c>
      <c r="CJ579" s="2">
        <v>1</v>
      </c>
      <c r="CK579" s="2">
        <v>21</v>
      </c>
      <c r="CL579" s="2" t="s">
        <v>88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"FES1162504513"</f>
        <v>FES1162504513</v>
      </c>
      <c r="F580" s="3">
        <v>42647</v>
      </c>
      <c r="G580" s="2">
        <v>201704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269</v>
      </c>
      <c r="M580" s="2" t="s">
        <v>270</v>
      </c>
      <c r="N580" s="2" t="s">
        <v>804</v>
      </c>
      <c r="O580" s="2" t="s">
        <v>96</v>
      </c>
      <c r="P580" s="2" t="str">
        <f>"2170528225                    "</f>
        <v xml:space="preserve">2170528225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6.07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4</v>
      </c>
      <c r="BJ580" s="2">
        <v>1.5</v>
      </c>
      <c r="BK580" s="2">
        <v>4</v>
      </c>
      <c r="BL580" s="2">
        <v>80.95</v>
      </c>
      <c r="BM580" s="2">
        <v>11.33</v>
      </c>
      <c r="BN580" s="2">
        <v>92.28</v>
      </c>
      <c r="BO580" s="2">
        <v>92.28</v>
      </c>
      <c r="BP580" s="2"/>
      <c r="BQ580" s="2" t="s">
        <v>805</v>
      </c>
      <c r="BR580" s="2" t="s">
        <v>83</v>
      </c>
      <c r="BS580" s="3">
        <v>42648</v>
      </c>
      <c r="BT580" s="4">
        <v>0.31805555555555554</v>
      </c>
      <c r="BU580" s="2" t="s">
        <v>806</v>
      </c>
      <c r="BV580" s="2" t="s">
        <v>85</v>
      </c>
      <c r="BW580" s="2"/>
      <c r="BX580" s="2"/>
      <c r="BY580" s="2">
        <v>7540</v>
      </c>
      <c r="BZ580" s="2" t="s">
        <v>27</v>
      </c>
      <c r="CA580" s="2"/>
      <c r="CB580" s="2"/>
      <c r="CC580" s="2" t="s">
        <v>270</v>
      </c>
      <c r="CD580" s="2">
        <v>3610</v>
      </c>
      <c r="CE580" s="2" t="s">
        <v>257</v>
      </c>
      <c r="CF580" s="5">
        <v>42648</v>
      </c>
      <c r="CG580" s="2"/>
      <c r="CH580" s="2"/>
      <c r="CI580" s="2">
        <v>1</v>
      </c>
      <c r="CJ580" s="2">
        <v>1</v>
      </c>
      <c r="CK580" s="2">
        <v>21</v>
      </c>
      <c r="CL580" s="2" t="s">
        <v>88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"FES1162504602"</f>
        <v>FES1162504602</v>
      </c>
      <c r="F581" s="3">
        <v>42648</v>
      </c>
      <c r="G581" s="2">
        <v>201704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160</v>
      </c>
      <c r="M581" s="2" t="s">
        <v>161</v>
      </c>
      <c r="N581" s="2" t="s">
        <v>176</v>
      </c>
      <c r="O581" s="2" t="s">
        <v>96</v>
      </c>
      <c r="P581" s="2" t="str">
        <f>"2170526992                    "</f>
        <v xml:space="preserve">2170526992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3.32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</v>
      </c>
      <c r="BJ581" s="2">
        <v>0.2</v>
      </c>
      <c r="BK581" s="2">
        <v>1</v>
      </c>
      <c r="BL581" s="2">
        <v>40.76</v>
      </c>
      <c r="BM581" s="2">
        <v>5.71</v>
      </c>
      <c r="BN581" s="2">
        <v>46.47</v>
      </c>
      <c r="BO581" s="2">
        <v>46.47</v>
      </c>
      <c r="BP581" s="2"/>
      <c r="BQ581" s="2" t="s">
        <v>258</v>
      </c>
      <c r="BR581" s="2" t="s">
        <v>83</v>
      </c>
      <c r="BS581" s="3">
        <v>42649</v>
      </c>
      <c r="BT581" s="4">
        <v>0.41666666666666669</v>
      </c>
      <c r="BU581" s="2" t="s">
        <v>725</v>
      </c>
      <c r="BV581" s="2" t="s">
        <v>85</v>
      </c>
      <c r="BW581" s="2"/>
      <c r="BX581" s="2"/>
      <c r="BY581" s="2">
        <v>1200</v>
      </c>
      <c r="BZ581" s="2" t="s">
        <v>27</v>
      </c>
      <c r="CA581" s="2" t="s">
        <v>129</v>
      </c>
      <c r="CB581" s="2"/>
      <c r="CC581" s="2" t="s">
        <v>161</v>
      </c>
      <c r="CD581" s="2">
        <v>7405</v>
      </c>
      <c r="CE581" s="2" t="s">
        <v>103</v>
      </c>
      <c r="CF581" s="5">
        <v>42650</v>
      </c>
      <c r="CG581" s="2"/>
      <c r="CH581" s="2"/>
      <c r="CI581" s="2">
        <v>1</v>
      </c>
      <c r="CJ581" s="2">
        <v>1</v>
      </c>
      <c r="CK581" s="2">
        <v>21</v>
      </c>
      <c r="CL581" s="2" t="s">
        <v>88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"FES1162504515"</f>
        <v>FES1162504515</v>
      </c>
      <c r="F582" s="3">
        <v>42647</v>
      </c>
      <c r="G582" s="2">
        <v>201704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260</v>
      </c>
      <c r="M582" s="2" t="s">
        <v>261</v>
      </c>
      <c r="N582" s="2" t="s">
        <v>347</v>
      </c>
      <c r="O582" s="2" t="s">
        <v>96</v>
      </c>
      <c r="P582" s="2" t="str">
        <f>"2170528232                    "</f>
        <v xml:space="preserve">2170528232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6.07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4</v>
      </c>
      <c r="BJ582" s="2">
        <v>1.1000000000000001</v>
      </c>
      <c r="BK582" s="2">
        <v>4</v>
      </c>
      <c r="BL582" s="2">
        <v>80.95</v>
      </c>
      <c r="BM582" s="2">
        <v>11.33</v>
      </c>
      <c r="BN582" s="2">
        <v>92.28</v>
      </c>
      <c r="BO582" s="2">
        <v>92.28</v>
      </c>
      <c r="BP582" s="2"/>
      <c r="BQ582" s="2" t="s">
        <v>91</v>
      </c>
      <c r="BR582" s="2" t="s">
        <v>83</v>
      </c>
      <c r="BS582" s="3">
        <v>42648</v>
      </c>
      <c r="BT582" s="4">
        <v>0.42152777777777778</v>
      </c>
      <c r="BU582" s="2" t="s">
        <v>988</v>
      </c>
      <c r="BV582" s="2" t="s">
        <v>85</v>
      </c>
      <c r="BW582" s="2"/>
      <c r="BX582" s="2"/>
      <c r="BY582" s="2">
        <v>5320</v>
      </c>
      <c r="BZ582" s="2" t="s">
        <v>27</v>
      </c>
      <c r="CA582" s="2" t="s">
        <v>264</v>
      </c>
      <c r="CB582" s="2"/>
      <c r="CC582" s="2" t="s">
        <v>261</v>
      </c>
      <c r="CD582" s="2">
        <v>6850</v>
      </c>
      <c r="CE582" s="2" t="s">
        <v>86</v>
      </c>
      <c r="CF582" s="5">
        <v>42648</v>
      </c>
      <c r="CG582" s="2"/>
      <c r="CH582" s="2"/>
      <c r="CI582" s="2">
        <v>3</v>
      </c>
      <c r="CJ582" s="2">
        <v>1</v>
      </c>
      <c r="CK582" s="2">
        <v>21</v>
      </c>
      <c r="CL582" s="2" t="s">
        <v>88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"FES1162504252"</f>
        <v>FES1162504252</v>
      </c>
      <c r="F583" s="3">
        <v>42647</v>
      </c>
      <c r="G583" s="2">
        <v>201704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676</v>
      </c>
      <c r="M583" s="2" t="s">
        <v>677</v>
      </c>
      <c r="N583" s="2" t="s">
        <v>989</v>
      </c>
      <c r="O583" s="2" t="s">
        <v>96</v>
      </c>
      <c r="P583" s="2" t="str">
        <f>"217527044                     "</f>
        <v xml:space="preserve">217527044 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4.26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</v>
      </c>
      <c r="BJ583" s="2">
        <v>0.2</v>
      </c>
      <c r="BK583" s="2">
        <v>1</v>
      </c>
      <c r="BL583" s="2">
        <v>56.91</v>
      </c>
      <c r="BM583" s="2">
        <v>7.97</v>
      </c>
      <c r="BN583" s="2">
        <v>64.88</v>
      </c>
      <c r="BO583" s="2">
        <v>64.88</v>
      </c>
      <c r="BP583" s="2"/>
      <c r="BQ583" s="2" t="s">
        <v>990</v>
      </c>
      <c r="BR583" s="2" t="s">
        <v>83</v>
      </c>
      <c r="BS583" s="3">
        <v>42649</v>
      </c>
      <c r="BT583" s="4">
        <v>0.52083333333333337</v>
      </c>
      <c r="BU583" s="2" t="s">
        <v>433</v>
      </c>
      <c r="BV583" s="2" t="s">
        <v>88</v>
      </c>
      <c r="BW583" s="2" t="s">
        <v>991</v>
      </c>
      <c r="BX583" s="2" t="s">
        <v>992</v>
      </c>
      <c r="BY583" s="2">
        <v>1200</v>
      </c>
      <c r="BZ583" s="2" t="s">
        <v>27</v>
      </c>
      <c r="CA583" s="2"/>
      <c r="CB583" s="2"/>
      <c r="CC583" s="2" t="s">
        <v>677</v>
      </c>
      <c r="CD583" s="2">
        <v>1779</v>
      </c>
      <c r="CE583" s="2" t="s">
        <v>782</v>
      </c>
      <c r="CF583" s="5">
        <v>42650</v>
      </c>
      <c r="CG583" s="2"/>
      <c r="CH583" s="2"/>
      <c r="CI583" s="2">
        <v>1</v>
      </c>
      <c r="CJ583" s="2">
        <v>2</v>
      </c>
      <c r="CK583" s="2">
        <v>24</v>
      </c>
      <c r="CL583" s="2" t="s">
        <v>88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"FES1162504178"</f>
        <v>FES1162504178</v>
      </c>
      <c r="F584" s="3">
        <v>42647</v>
      </c>
      <c r="G584" s="2">
        <v>201704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160</v>
      </c>
      <c r="M584" s="2" t="s">
        <v>161</v>
      </c>
      <c r="N584" s="2" t="s">
        <v>622</v>
      </c>
      <c r="O584" s="2" t="s">
        <v>96</v>
      </c>
      <c r="P584" s="2" t="str">
        <f>"2170523431                    "</f>
        <v xml:space="preserve">2170523431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34.880000000000003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22.6</v>
      </c>
      <c r="BJ584" s="2">
        <v>9.1999999999999993</v>
      </c>
      <c r="BK584" s="2">
        <v>23</v>
      </c>
      <c r="BL584" s="2">
        <v>465.44</v>
      </c>
      <c r="BM584" s="2">
        <v>65.16</v>
      </c>
      <c r="BN584" s="2">
        <v>530.6</v>
      </c>
      <c r="BO584" s="2">
        <v>530.6</v>
      </c>
      <c r="BP584" s="2"/>
      <c r="BQ584" s="2" t="s">
        <v>623</v>
      </c>
      <c r="BR584" s="2" t="s">
        <v>83</v>
      </c>
      <c r="BS584" s="3">
        <v>42648</v>
      </c>
      <c r="BT584" s="4">
        <v>0.44722222222222219</v>
      </c>
      <c r="BU584" s="2" t="s">
        <v>880</v>
      </c>
      <c r="BV584" s="2" t="s">
        <v>85</v>
      </c>
      <c r="BW584" s="2"/>
      <c r="BX584" s="2"/>
      <c r="BY584" s="2">
        <v>45853.08</v>
      </c>
      <c r="BZ584" s="2" t="s">
        <v>27</v>
      </c>
      <c r="CA584" s="2" t="s">
        <v>129</v>
      </c>
      <c r="CB584" s="2"/>
      <c r="CC584" s="2" t="s">
        <v>161</v>
      </c>
      <c r="CD584" s="2">
        <v>7490</v>
      </c>
      <c r="CE584" s="2" t="s">
        <v>257</v>
      </c>
      <c r="CF584" s="5">
        <v>42648</v>
      </c>
      <c r="CG584" s="2"/>
      <c r="CH584" s="2"/>
      <c r="CI584" s="2">
        <v>1</v>
      </c>
      <c r="CJ584" s="2">
        <v>1</v>
      </c>
      <c r="CK584" s="2">
        <v>21</v>
      </c>
      <c r="CL584" s="2" t="s">
        <v>88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"FES1162504294"</f>
        <v>FES1162504294</v>
      </c>
      <c r="F585" s="3">
        <v>42647</v>
      </c>
      <c r="G585" s="2">
        <v>201704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269</v>
      </c>
      <c r="M585" s="2" t="s">
        <v>270</v>
      </c>
      <c r="N585" s="2" t="s">
        <v>496</v>
      </c>
      <c r="O585" s="2" t="s">
        <v>96</v>
      </c>
      <c r="P585" s="2" t="str">
        <f>"2170527970                    "</f>
        <v xml:space="preserve">2170527970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3.03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1</v>
      </c>
      <c r="BJ585" s="2">
        <v>0.2</v>
      </c>
      <c r="BK585" s="2">
        <v>1</v>
      </c>
      <c r="BL585" s="2">
        <v>40.47</v>
      </c>
      <c r="BM585" s="2">
        <v>5.67</v>
      </c>
      <c r="BN585" s="2">
        <v>46.14</v>
      </c>
      <c r="BO585" s="2">
        <v>46.14</v>
      </c>
      <c r="BP585" s="2"/>
      <c r="BQ585" s="2" t="s">
        <v>892</v>
      </c>
      <c r="BR585" s="2" t="s">
        <v>83</v>
      </c>
      <c r="BS585" s="3">
        <v>42648</v>
      </c>
      <c r="BT585" s="4">
        <v>0.4375</v>
      </c>
      <c r="BU585" s="2" t="s">
        <v>993</v>
      </c>
      <c r="BV585" s="2" t="s">
        <v>85</v>
      </c>
      <c r="BW585" s="2"/>
      <c r="BX585" s="2"/>
      <c r="BY585" s="2">
        <v>1200</v>
      </c>
      <c r="BZ585" s="2" t="s">
        <v>27</v>
      </c>
      <c r="CA585" s="2"/>
      <c r="CB585" s="2"/>
      <c r="CC585" s="2" t="s">
        <v>270</v>
      </c>
      <c r="CD585" s="2">
        <v>3610</v>
      </c>
      <c r="CE585" s="2" t="s">
        <v>782</v>
      </c>
      <c r="CF585" s="5">
        <v>42649</v>
      </c>
      <c r="CG585" s="2"/>
      <c r="CH585" s="2"/>
      <c r="CI585" s="2">
        <v>1</v>
      </c>
      <c r="CJ585" s="2">
        <v>1</v>
      </c>
      <c r="CK585" s="2">
        <v>21</v>
      </c>
      <c r="CL585" s="2" t="s">
        <v>88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"FES1162504432"</f>
        <v>FES1162504432</v>
      </c>
      <c r="F586" s="3">
        <v>42647</v>
      </c>
      <c r="G586" s="2">
        <v>201704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160</v>
      </c>
      <c r="M586" s="2" t="s">
        <v>161</v>
      </c>
      <c r="N586" s="2" t="s">
        <v>994</v>
      </c>
      <c r="O586" s="2" t="s">
        <v>96</v>
      </c>
      <c r="P586" s="2" t="str">
        <f>"2170528148                    "</f>
        <v xml:space="preserve">2170528148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5.31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3.4</v>
      </c>
      <c r="BJ586" s="2">
        <v>1.7</v>
      </c>
      <c r="BK586" s="2">
        <v>3.5</v>
      </c>
      <c r="BL586" s="2">
        <v>70.83</v>
      </c>
      <c r="BM586" s="2">
        <v>9.92</v>
      </c>
      <c r="BN586" s="2">
        <v>80.75</v>
      </c>
      <c r="BO586" s="2">
        <v>80.75</v>
      </c>
      <c r="BP586" s="2"/>
      <c r="BQ586" s="2" t="s">
        <v>91</v>
      </c>
      <c r="BR586" s="2" t="s">
        <v>83</v>
      </c>
      <c r="BS586" s="3">
        <v>42656</v>
      </c>
      <c r="BT586" s="4">
        <v>0.4236111111111111</v>
      </c>
      <c r="BU586" s="2" t="s">
        <v>995</v>
      </c>
      <c r="BV586" s="2" t="s">
        <v>88</v>
      </c>
      <c r="BW586" s="2" t="s">
        <v>222</v>
      </c>
      <c r="BX586" s="2" t="s">
        <v>356</v>
      </c>
      <c r="BY586" s="2">
        <v>8533.8799999999992</v>
      </c>
      <c r="BZ586" s="2"/>
      <c r="CA586" s="2"/>
      <c r="CB586" s="2"/>
      <c r="CC586" s="2" t="s">
        <v>161</v>
      </c>
      <c r="CD586" s="2">
        <v>7580</v>
      </c>
      <c r="CE586" s="2" t="s">
        <v>86</v>
      </c>
      <c r="CF586" s="5">
        <v>42657</v>
      </c>
      <c r="CG586" s="2"/>
      <c r="CH586" s="2"/>
      <c r="CI586" s="2">
        <v>1</v>
      </c>
      <c r="CJ586" s="2">
        <v>7</v>
      </c>
      <c r="CK586" s="2">
        <v>21</v>
      </c>
      <c r="CL586" s="2" t="s">
        <v>88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"FES1162504387"</f>
        <v>FES1162504387</v>
      </c>
      <c r="F587" s="3">
        <v>42647</v>
      </c>
      <c r="G587" s="2">
        <v>201704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160</v>
      </c>
      <c r="M587" s="2" t="s">
        <v>161</v>
      </c>
      <c r="N587" s="2" t="s">
        <v>179</v>
      </c>
      <c r="O587" s="2" t="s">
        <v>96</v>
      </c>
      <c r="P587" s="2" t="str">
        <f>"2175028103                    "</f>
        <v xml:space="preserve">2175028103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3.03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1</v>
      </c>
      <c r="BJ587" s="2">
        <v>0.2</v>
      </c>
      <c r="BK587" s="2">
        <v>1</v>
      </c>
      <c r="BL587" s="2">
        <v>40.47</v>
      </c>
      <c r="BM587" s="2">
        <v>5.67</v>
      </c>
      <c r="BN587" s="2">
        <v>46.14</v>
      </c>
      <c r="BO587" s="2">
        <v>46.14</v>
      </c>
      <c r="BP587" s="2"/>
      <c r="BQ587" s="2" t="s">
        <v>180</v>
      </c>
      <c r="BR587" s="2" t="s">
        <v>83</v>
      </c>
      <c r="BS587" s="3">
        <v>42648</v>
      </c>
      <c r="BT587" s="4">
        <v>0.41666666666666669</v>
      </c>
      <c r="BU587" s="2" t="s">
        <v>835</v>
      </c>
      <c r="BV587" s="2" t="s">
        <v>85</v>
      </c>
      <c r="BW587" s="2"/>
      <c r="BX587" s="2"/>
      <c r="BY587" s="2">
        <v>1200</v>
      </c>
      <c r="BZ587" s="2" t="s">
        <v>27</v>
      </c>
      <c r="CA587" s="2" t="s">
        <v>129</v>
      </c>
      <c r="CB587" s="2"/>
      <c r="CC587" s="2" t="s">
        <v>161</v>
      </c>
      <c r="CD587" s="2">
        <v>7405</v>
      </c>
      <c r="CE587" s="2" t="s">
        <v>782</v>
      </c>
      <c r="CF587" s="5">
        <v>42649</v>
      </c>
      <c r="CG587" s="2"/>
      <c r="CH587" s="2"/>
      <c r="CI587" s="2">
        <v>1</v>
      </c>
      <c r="CJ587" s="2">
        <v>1</v>
      </c>
      <c r="CK587" s="2">
        <v>21</v>
      </c>
      <c r="CL587" s="2" t="s">
        <v>88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"FES1162504483"</f>
        <v>FES1162504483</v>
      </c>
      <c r="F588" s="3">
        <v>42647</v>
      </c>
      <c r="G588" s="2">
        <v>201704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137</v>
      </c>
      <c r="M588" s="2" t="s">
        <v>138</v>
      </c>
      <c r="N588" s="2" t="s">
        <v>996</v>
      </c>
      <c r="O588" s="2" t="s">
        <v>96</v>
      </c>
      <c r="P588" s="2" t="str">
        <f>"2170528196                    "</f>
        <v xml:space="preserve">2170528196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6.82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2</v>
      </c>
      <c r="BI588" s="2">
        <v>4.0999999999999996</v>
      </c>
      <c r="BJ588" s="2">
        <v>3.1</v>
      </c>
      <c r="BK588" s="2">
        <v>4.5</v>
      </c>
      <c r="BL588" s="2">
        <v>91.06</v>
      </c>
      <c r="BM588" s="2">
        <v>12.75</v>
      </c>
      <c r="BN588" s="2">
        <v>103.81</v>
      </c>
      <c r="BO588" s="2">
        <v>103.81</v>
      </c>
      <c r="BP588" s="2"/>
      <c r="BQ588" s="2" t="s">
        <v>168</v>
      </c>
      <c r="BR588" s="2" t="s">
        <v>83</v>
      </c>
      <c r="BS588" s="3">
        <v>42648</v>
      </c>
      <c r="BT588" s="4">
        <v>0.38541666666666669</v>
      </c>
      <c r="BU588" s="2" t="s">
        <v>997</v>
      </c>
      <c r="BV588" s="2" t="s">
        <v>85</v>
      </c>
      <c r="BW588" s="2"/>
      <c r="BX588" s="2"/>
      <c r="BY588" s="2">
        <v>15648.84</v>
      </c>
      <c r="BZ588" s="2" t="s">
        <v>27</v>
      </c>
      <c r="CA588" s="2"/>
      <c r="CB588" s="2"/>
      <c r="CC588" s="2" t="s">
        <v>138</v>
      </c>
      <c r="CD588" s="2">
        <v>3212</v>
      </c>
      <c r="CE588" s="2" t="s">
        <v>904</v>
      </c>
      <c r="CF588" s="5">
        <v>42648</v>
      </c>
      <c r="CG588" s="2"/>
      <c r="CH588" s="2"/>
      <c r="CI588" s="2">
        <v>1</v>
      </c>
      <c r="CJ588" s="2">
        <v>1</v>
      </c>
      <c r="CK588" s="2">
        <v>21</v>
      </c>
      <c r="CL588" s="2" t="s">
        <v>88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"FES1162504167"</f>
        <v>FES1162504167</v>
      </c>
      <c r="F589" s="3">
        <v>42647</v>
      </c>
      <c r="G589" s="2">
        <v>201704</v>
      </c>
      <c r="H589" s="2" t="s">
        <v>74</v>
      </c>
      <c r="I589" s="2" t="s">
        <v>75</v>
      </c>
      <c r="J589" s="2" t="s">
        <v>76</v>
      </c>
      <c r="K589" s="2" t="s">
        <v>77</v>
      </c>
      <c r="L589" s="2" t="s">
        <v>153</v>
      </c>
      <c r="M589" s="2" t="s">
        <v>153</v>
      </c>
      <c r="N589" s="2" t="s">
        <v>757</v>
      </c>
      <c r="O589" s="2" t="s">
        <v>96</v>
      </c>
      <c r="P589" s="2" t="str">
        <f>"2170527975                    "</f>
        <v xml:space="preserve">2170527975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3.03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1</v>
      </c>
      <c r="BJ589" s="2">
        <v>0.2</v>
      </c>
      <c r="BK589" s="2">
        <v>1</v>
      </c>
      <c r="BL589" s="2">
        <v>40.47</v>
      </c>
      <c r="BM589" s="2">
        <v>5.67</v>
      </c>
      <c r="BN589" s="2">
        <v>46.14</v>
      </c>
      <c r="BO589" s="2">
        <v>46.14</v>
      </c>
      <c r="BP589" s="2"/>
      <c r="BQ589" s="2" t="s">
        <v>91</v>
      </c>
      <c r="BR589" s="2" t="s">
        <v>83</v>
      </c>
      <c r="BS589" s="3">
        <v>42648</v>
      </c>
      <c r="BT589" s="4">
        <v>0.49861111111111112</v>
      </c>
      <c r="BU589" s="2" t="s">
        <v>998</v>
      </c>
      <c r="BV589" s="2" t="s">
        <v>85</v>
      </c>
      <c r="BW589" s="2"/>
      <c r="BX589" s="2"/>
      <c r="BY589" s="2">
        <v>1200</v>
      </c>
      <c r="BZ589" s="2" t="s">
        <v>27</v>
      </c>
      <c r="CA589" s="2" t="s">
        <v>129</v>
      </c>
      <c r="CB589" s="2"/>
      <c r="CC589" s="2" t="s">
        <v>153</v>
      </c>
      <c r="CD589" s="2">
        <v>7646</v>
      </c>
      <c r="CE589" s="2" t="s">
        <v>782</v>
      </c>
      <c r="CF589" s="5">
        <v>42649</v>
      </c>
      <c r="CG589" s="2"/>
      <c r="CH589" s="2"/>
      <c r="CI589" s="2">
        <v>1</v>
      </c>
      <c r="CJ589" s="2">
        <v>1</v>
      </c>
      <c r="CK589" s="2">
        <v>21</v>
      </c>
      <c r="CL589" s="2" t="s">
        <v>88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"FES1162504216"</f>
        <v>FES1162504216</v>
      </c>
      <c r="F590" s="3">
        <v>42647</v>
      </c>
      <c r="G590" s="2">
        <v>201704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137</v>
      </c>
      <c r="M590" s="2" t="s">
        <v>138</v>
      </c>
      <c r="N590" s="2" t="s">
        <v>928</v>
      </c>
      <c r="O590" s="2" t="s">
        <v>96</v>
      </c>
      <c r="P590" s="2" t="str">
        <f>"2170525804                    "</f>
        <v xml:space="preserve">2170525804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9.86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6.5</v>
      </c>
      <c r="BJ590" s="2">
        <v>4.3</v>
      </c>
      <c r="BK590" s="2">
        <v>6.5</v>
      </c>
      <c r="BL590" s="2">
        <v>131.54</v>
      </c>
      <c r="BM590" s="2">
        <v>18.420000000000002</v>
      </c>
      <c r="BN590" s="2">
        <v>149.96</v>
      </c>
      <c r="BO590" s="2">
        <v>149.96</v>
      </c>
      <c r="BP590" s="2"/>
      <c r="BQ590" s="2" t="s">
        <v>117</v>
      </c>
      <c r="BR590" s="2" t="s">
        <v>83</v>
      </c>
      <c r="BS590" s="3">
        <v>42648</v>
      </c>
      <c r="BT590" s="4">
        <v>0.3611111111111111</v>
      </c>
      <c r="BU590" s="2" t="s">
        <v>929</v>
      </c>
      <c r="BV590" s="2"/>
      <c r="BW590" s="2"/>
      <c r="BX590" s="2"/>
      <c r="BY590" s="2">
        <v>21279.72</v>
      </c>
      <c r="BZ590" s="2" t="s">
        <v>27</v>
      </c>
      <c r="CA590" s="2" t="s">
        <v>613</v>
      </c>
      <c r="CB590" s="2"/>
      <c r="CC590" s="2" t="s">
        <v>138</v>
      </c>
      <c r="CD590" s="2">
        <v>3201</v>
      </c>
      <c r="CE590" s="2" t="s">
        <v>826</v>
      </c>
      <c r="CF590" s="5">
        <v>42648</v>
      </c>
      <c r="CG590" s="2"/>
      <c r="CH590" s="2"/>
      <c r="CI590" s="2">
        <v>0</v>
      </c>
      <c r="CJ590" s="2">
        <v>0</v>
      </c>
      <c r="CK590" s="2">
        <v>21</v>
      </c>
      <c r="CL590" s="2" t="s">
        <v>88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"FES1162504318"</f>
        <v>FES1162504318</v>
      </c>
      <c r="F591" s="3">
        <v>42647</v>
      </c>
      <c r="G591" s="2">
        <v>201704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93</v>
      </c>
      <c r="M591" s="2" t="s">
        <v>94</v>
      </c>
      <c r="N591" s="2" t="s">
        <v>130</v>
      </c>
      <c r="O591" s="2" t="s">
        <v>96</v>
      </c>
      <c r="P591" s="2" t="str">
        <f>"217058013                     "</f>
        <v xml:space="preserve">217058013 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3.03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1</v>
      </c>
      <c r="BJ591" s="2">
        <v>0.2</v>
      </c>
      <c r="BK591" s="2">
        <v>1</v>
      </c>
      <c r="BL591" s="2">
        <v>40.47</v>
      </c>
      <c r="BM591" s="2">
        <v>5.67</v>
      </c>
      <c r="BN591" s="2">
        <v>46.14</v>
      </c>
      <c r="BO591" s="2">
        <v>46.14</v>
      </c>
      <c r="BP591" s="2"/>
      <c r="BQ591" s="2" t="s">
        <v>131</v>
      </c>
      <c r="BR591" s="2" t="s">
        <v>83</v>
      </c>
      <c r="BS591" s="3">
        <v>42648</v>
      </c>
      <c r="BT591" s="4">
        <v>0.33680555555555558</v>
      </c>
      <c r="BU591" s="2" t="s">
        <v>132</v>
      </c>
      <c r="BV591" s="2" t="s">
        <v>85</v>
      </c>
      <c r="BW591" s="2"/>
      <c r="BX591" s="2"/>
      <c r="BY591" s="2">
        <v>1200</v>
      </c>
      <c r="BZ591" s="2" t="s">
        <v>27</v>
      </c>
      <c r="CA591" s="2"/>
      <c r="CB591" s="2"/>
      <c r="CC591" s="2" t="s">
        <v>94</v>
      </c>
      <c r="CD591" s="2">
        <v>4302</v>
      </c>
      <c r="CE591" s="2" t="s">
        <v>782</v>
      </c>
      <c r="CF591" s="5">
        <v>42649</v>
      </c>
      <c r="CG591" s="2"/>
      <c r="CH591" s="2"/>
      <c r="CI591" s="2">
        <v>1</v>
      </c>
      <c r="CJ591" s="2">
        <v>1</v>
      </c>
      <c r="CK591" s="2">
        <v>21</v>
      </c>
      <c r="CL591" s="2" t="s">
        <v>88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"FES1162504297"</f>
        <v>FES1162504297</v>
      </c>
      <c r="F592" s="3">
        <v>42647</v>
      </c>
      <c r="G592" s="2">
        <v>201704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153</v>
      </c>
      <c r="M592" s="2" t="s">
        <v>153</v>
      </c>
      <c r="N592" s="2" t="s">
        <v>757</v>
      </c>
      <c r="O592" s="2" t="s">
        <v>96</v>
      </c>
      <c r="P592" s="2" t="str">
        <f>"2170527987                    "</f>
        <v xml:space="preserve">2170527987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6.07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2</v>
      </c>
      <c r="BJ592" s="2">
        <v>3.9</v>
      </c>
      <c r="BK592" s="2">
        <v>4</v>
      </c>
      <c r="BL592" s="2">
        <v>80.95</v>
      </c>
      <c r="BM592" s="2">
        <v>11.33</v>
      </c>
      <c r="BN592" s="2">
        <v>92.28</v>
      </c>
      <c r="BO592" s="2">
        <v>92.28</v>
      </c>
      <c r="BP592" s="2"/>
      <c r="BQ592" s="2" t="s">
        <v>91</v>
      </c>
      <c r="BR592" s="2" t="s">
        <v>83</v>
      </c>
      <c r="BS592" s="3">
        <v>42648</v>
      </c>
      <c r="BT592" s="4">
        <v>0.49861111111111112</v>
      </c>
      <c r="BU592" s="2" t="s">
        <v>998</v>
      </c>
      <c r="BV592" s="2" t="s">
        <v>85</v>
      </c>
      <c r="BW592" s="2"/>
      <c r="BX592" s="2"/>
      <c r="BY592" s="2">
        <v>19582.75</v>
      </c>
      <c r="BZ592" s="2" t="s">
        <v>27</v>
      </c>
      <c r="CA592" s="2" t="s">
        <v>129</v>
      </c>
      <c r="CB592" s="2"/>
      <c r="CC592" s="2" t="s">
        <v>153</v>
      </c>
      <c r="CD592" s="2">
        <v>7646</v>
      </c>
      <c r="CE592" s="2" t="s">
        <v>836</v>
      </c>
      <c r="CF592" s="5">
        <v>42649</v>
      </c>
      <c r="CG592" s="2"/>
      <c r="CH592" s="2"/>
      <c r="CI592" s="2">
        <v>1</v>
      </c>
      <c r="CJ592" s="2">
        <v>1</v>
      </c>
      <c r="CK592" s="2">
        <v>21</v>
      </c>
      <c r="CL592" s="2" t="s">
        <v>88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"FES1162504229"</f>
        <v>FES1162504229</v>
      </c>
      <c r="F593" s="3">
        <v>42647</v>
      </c>
      <c r="G593" s="2">
        <v>201704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160</v>
      </c>
      <c r="M593" s="2" t="s">
        <v>161</v>
      </c>
      <c r="N593" s="2" t="s">
        <v>999</v>
      </c>
      <c r="O593" s="2" t="s">
        <v>96</v>
      </c>
      <c r="P593" s="2" t="str">
        <f>"2170526270                    "</f>
        <v xml:space="preserve">2170526270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28.05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10</v>
      </c>
      <c r="BJ593" s="2">
        <v>18.399999999999999</v>
      </c>
      <c r="BK593" s="2">
        <v>18.5</v>
      </c>
      <c r="BL593" s="2">
        <v>374.37</v>
      </c>
      <c r="BM593" s="2">
        <v>52.41</v>
      </c>
      <c r="BN593" s="2">
        <v>426.78</v>
      </c>
      <c r="BO593" s="2">
        <v>426.78</v>
      </c>
      <c r="BP593" s="2"/>
      <c r="BQ593" s="2" t="s">
        <v>168</v>
      </c>
      <c r="BR593" s="2" t="s">
        <v>83</v>
      </c>
      <c r="BS593" s="3">
        <v>42648</v>
      </c>
      <c r="BT593" s="4">
        <v>0.41666666666666669</v>
      </c>
      <c r="BU593" s="2" t="s">
        <v>1000</v>
      </c>
      <c r="BV593" s="2" t="s">
        <v>85</v>
      </c>
      <c r="BW593" s="2"/>
      <c r="BX593" s="2"/>
      <c r="BY593" s="2">
        <v>91930.82</v>
      </c>
      <c r="BZ593" s="2" t="s">
        <v>27</v>
      </c>
      <c r="CA593" s="2"/>
      <c r="CB593" s="2"/>
      <c r="CC593" s="2" t="s">
        <v>161</v>
      </c>
      <c r="CD593" s="2">
        <v>7441</v>
      </c>
      <c r="CE593" s="2" t="s">
        <v>826</v>
      </c>
      <c r="CF593" s="5">
        <v>42649</v>
      </c>
      <c r="CG593" s="2"/>
      <c r="CH593" s="2"/>
      <c r="CI593" s="2">
        <v>1</v>
      </c>
      <c r="CJ593" s="2">
        <v>1</v>
      </c>
      <c r="CK593" s="2">
        <v>21</v>
      </c>
      <c r="CL593" s="2" t="s">
        <v>88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"FES1162504445"</f>
        <v>FES1162504445</v>
      </c>
      <c r="F594" s="3">
        <v>42647</v>
      </c>
      <c r="G594" s="2">
        <v>201704</v>
      </c>
      <c r="H594" s="2" t="s">
        <v>74</v>
      </c>
      <c r="I594" s="2" t="s">
        <v>75</v>
      </c>
      <c r="J594" s="2" t="s">
        <v>76</v>
      </c>
      <c r="K594" s="2" t="s">
        <v>77</v>
      </c>
      <c r="L594" s="2" t="s">
        <v>98</v>
      </c>
      <c r="M594" s="2" t="s">
        <v>99</v>
      </c>
      <c r="N594" s="2" t="s">
        <v>350</v>
      </c>
      <c r="O594" s="2" t="s">
        <v>96</v>
      </c>
      <c r="P594" s="2" t="str">
        <f>"2170528168                    "</f>
        <v xml:space="preserve">2170528168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10.61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6</v>
      </c>
      <c r="BJ594" s="2">
        <v>6.7</v>
      </c>
      <c r="BK594" s="2">
        <v>7</v>
      </c>
      <c r="BL594" s="2">
        <v>141.65</v>
      </c>
      <c r="BM594" s="2">
        <v>19.829999999999998</v>
      </c>
      <c r="BN594" s="2">
        <v>161.47999999999999</v>
      </c>
      <c r="BO594" s="2">
        <v>161.47999999999999</v>
      </c>
      <c r="BP594" s="2"/>
      <c r="BQ594" s="2" t="s">
        <v>351</v>
      </c>
      <c r="BR594" s="2" t="s">
        <v>83</v>
      </c>
      <c r="BS594" s="3">
        <v>42648</v>
      </c>
      <c r="BT594" s="4">
        <v>0.3743055555555555</v>
      </c>
      <c r="BU594" s="2" t="s">
        <v>637</v>
      </c>
      <c r="BV594" s="2" t="s">
        <v>85</v>
      </c>
      <c r="BW594" s="2"/>
      <c r="BX594" s="2"/>
      <c r="BY594" s="2">
        <v>33449.769999999997</v>
      </c>
      <c r="BZ594" s="2" t="s">
        <v>27</v>
      </c>
      <c r="CA594" s="2" t="s">
        <v>107</v>
      </c>
      <c r="CB594" s="2"/>
      <c r="CC594" s="2" t="s">
        <v>99</v>
      </c>
      <c r="CD594" s="2">
        <v>6001</v>
      </c>
      <c r="CE594" s="2" t="s">
        <v>836</v>
      </c>
      <c r="CF594" s="5">
        <v>42648</v>
      </c>
      <c r="CG594" s="2"/>
      <c r="CH594" s="2"/>
      <c r="CI594" s="2">
        <v>1</v>
      </c>
      <c r="CJ594" s="2">
        <v>1</v>
      </c>
      <c r="CK594" s="2">
        <v>21</v>
      </c>
      <c r="CL594" s="2" t="s">
        <v>88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"FES1162504189"</f>
        <v>FES1162504189</v>
      </c>
      <c r="F595" s="3">
        <v>42647</v>
      </c>
      <c r="G595" s="2">
        <v>201704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148</v>
      </c>
      <c r="M595" s="2" t="s">
        <v>149</v>
      </c>
      <c r="N595" s="2" t="s">
        <v>1001</v>
      </c>
      <c r="O595" s="2" t="s">
        <v>96</v>
      </c>
      <c r="P595" s="2" t="str">
        <f>"2170524083                    "</f>
        <v xml:space="preserve">2170524083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4.55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2.2999999999999998</v>
      </c>
      <c r="BJ595" s="2">
        <v>3</v>
      </c>
      <c r="BK595" s="2">
        <v>3</v>
      </c>
      <c r="BL595" s="2">
        <v>60.71</v>
      </c>
      <c r="BM595" s="2">
        <v>8.5</v>
      </c>
      <c r="BN595" s="2">
        <v>69.209999999999994</v>
      </c>
      <c r="BO595" s="2">
        <v>69.209999999999994</v>
      </c>
      <c r="BP595" s="2"/>
      <c r="BQ595" s="2" t="s">
        <v>82</v>
      </c>
      <c r="BR595" s="2" t="s">
        <v>83</v>
      </c>
      <c r="BS595" s="3">
        <v>42648</v>
      </c>
      <c r="BT595" s="4">
        <v>0.4375</v>
      </c>
      <c r="BU595" s="2" t="s">
        <v>724</v>
      </c>
      <c r="BV595" s="2" t="s">
        <v>85</v>
      </c>
      <c r="BW595" s="2"/>
      <c r="BX595" s="2"/>
      <c r="BY595" s="2">
        <v>15067.03</v>
      </c>
      <c r="BZ595" s="2" t="s">
        <v>27</v>
      </c>
      <c r="CA595" s="2" t="s">
        <v>129</v>
      </c>
      <c r="CB595" s="2"/>
      <c r="CC595" s="2" t="s">
        <v>149</v>
      </c>
      <c r="CD595" s="2">
        <v>4051</v>
      </c>
      <c r="CE595" s="2" t="s">
        <v>836</v>
      </c>
      <c r="CF595" s="5">
        <v>42649</v>
      </c>
      <c r="CG595" s="2"/>
      <c r="CH595" s="2"/>
      <c r="CI595" s="2">
        <v>1</v>
      </c>
      <c r="CJ595" s="2">
        <v>1</v>
      </c>
      <c r="CK595" s="2">
        <v>21</v>
      </c>
      <c r="CL595" s="2" t="s">
        <v>88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"FES1162504333"</f>
        <v>FES1162504333</v>
      </c>
      <c r="F596" s="3">
        <v>42647</v>
      </c>
      <c r="G596" s="2">
        <v>201704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269</v>
      </c>
      <c r="M596" s="2" t="s">
        <v>270</v>
      </c>
      <c r="N596" s="2" t="s">
        <v>804</v>
      </c>
      <c r="O596" s="2" t="s">
        <v>96</v>
      </c>
      <c r="P596" s="2" t="str">
        <f>"2170528036                    "</f>
        <v xml:space="preserve">2170528036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12.13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8</v>
      </c>
      <c r="BJ596" s="2">
        <v>3.4</v>
      </c>
      <c r="BK596" s="2">
        <v>8</v>
      </c>
      <c r="BL596" s="2">
        <v>161.88999999999999</v>
      </c>
      <c r="BM596" s="2">
        <v>22.66</v>
      </c>
      <c r="BN596" s="2">
        <v>184.55</v>
      </c>
      <c r="BO596" s="2">
        <v>184.55</v>
      </c>
      <c r="BP596" s="2"/>
      <c r="BQ596" s="2" t="s">
        <v>805</v>
      </c>
      <c r="BR596" s="2" t="s">
        <v>83</v>
      </c>
      <c r="BS596" s="3">
        <v>42648</v>
      </c>
      <c r="BT596" s="4">
        <v>0.31805555555555554</v>
      </c>
      <c r="BU596" s="2" t="s">
        <v>806</v>
      </c>
      <c r="BV596" s="2" t="s">
        <v>85</v>
      </c>
      <c r="BW596" s="2"/>
      <c r="BX596" s="2"/>
      <c r="BY596" s="2">
        <v>17156.2</v>
      </c>
      <c r="BZ596" s="2" t="s">
        <v>27</v>
      </c>
      <c r="CA596" s="2"/>
      <c r="CB596" s="2"/>
      <c r="CC596" s="2" t="s">
        <v>270</v>
      </c>
      <c r="CD596" s="2">
        <v>3610</v>
      </c>
      <c r="CE596" s="2" t="s">
        <v>826</v>
      </c>
      <c r="CF596" s="5">
        <v>42648</v>
      </c>
      <c r="CG596" s="2"/>
      <c r="CH596" s="2"/>
      <c r="CI596" s="2">
        <v>1</v>
      </c>
      <c r="CJ596" s="2">
        <v>1</v>
      </c>
      <c r="CK596" s="2">
        <v>21</v>
      </c>
      <c r="CL596" s="2" t="s">
        <v>88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"FES1162504171"</f>
        <v>FES1162504171</v>
      </c>
      <c r="F597" s="3">
        <v>42647</v>
      </c>
      <c r="G597" s="2">
        <v>201704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160</v>
      </c>
      <c r="M597" s="2" t="s">
        <v>161</v>
      </c>
      <c r="N597" s="2" t="s">
        <v>622</v>
      </c>
      <c r="O597" s="2" t="s">
        <v>96</v>
      </c>
      <c r="P597" s="2" t="str">
        <f>"2170521231                    "</f>
        <v xml:space="preserve">2170521231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4.55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3</v>
      </c>
      <c r="BJ597" s="2">
        <v>2.6</v>
      </c>
      <c r="BK597" s="2">
        <v>3</v>
      </c>
      <c r="BL597" s="2">
        <v>60.71</v>
      </c>
      <c r="BM597" s="2">
        <v>8.5</v>
      </c>
      <c r="BN597" s="2">
        <v>69.209999999999994</v>
      </c>
      <c r="BO597" s="2">
        <v>69.209999999999994</v>
      </c>
      <c r="BP597" s="2"/>
      <c r="BQ597" s="2" t="s">
        <v>623</v>
      </c>
      <c r="BR597" s="2" t="s">
        <v>83</v>
      </c>
      <c r="BS597" s="3">
        <v>42648</v>
      </c>
      <c r="BT597" s="4">
        <v>0.44722222222222219</v>
      </c>
      <c r="BU597" s="2" t="s">
        <v>880</v>
      </c>
      <c r="BV597" s="2" t="s">
        <v>85</v>
      </c>
      <c r="BW597" s="2"/>
      <c r="BX597" s="2"/>
      <c r="BY597" s="2">
        <v>13153.47</v>
      </c>
      <c r="BZ597" s="2" t="s">
        <v>27</v>
      </c>
      <c r="CA597" s="2" t="s">
        <v>129</v>
      </c>
      <c r="CB597" s="2"/>
      <c r="CC597" s="2" t="s">
        <v>161</v>
      </c>
      <c r="CD597" s="2">
        <v>7490</v>
      </c>
      <c r="CE597" s="2" t="s">
        <v>782</v>
      </c>
      <c r="CF597" s="5">
        <v>42648</v>
      </c>
      <c r="CG597" s="2"/>
      <c r="CH597" s="2"/>
      <c r="CI597" s="2">
        <v>1</v>
      </c>
      <c r="CJ597" s="2">
        <v>1</v>
      </c>
      <c r="CK597" s="2">
        <v>21</v>
      </c>
      <c r="CL597" s="2" t="s">
        <v>88</v>
      </c>
      <c r="CM597" s="2"/>
    </row>
    <row r="598" spans="1:91">
      <c r="A598" s="2" t="s">
        <v>71</v>
      </c>
      <c r="B598" s="2" t="s">
        <v>72</v>
      </c>
      <c r="C598" s="2" t="s">
        <v>73</v>
      </c>
      <c r="D598" s="2"/>
      <c r="E598" s="2" t="str">
        <f>"FES1162504443"</f>
        <v>FES1162504443</v>
      </c>
      <c r="F598" s="3">
        <v>42647</v>
      </c>
      <c r="G598" s="2">
        <v>201704</v>
      </c>
      <c r="H598" s="2" t="s">
        <v>74</v>
      </c>
      <c r="I598" s="2" t="s">
        <v>75</v>
      </c>
      <c r="J598" s="2" t="s">
        <v>76</v>
      </c>
      <c r="K598" s="2" t="s">
        <v>77</v>
      </c>
      <c r="L598" s="2" t="s">
        <v>698</v>
      </c>
      <c r="M598" s="2" t="s">
        <v>699</v>
      </c>
      <c r="N598" s="2" t="s">
        <v>1002</v>
      </c>
      <c r="O598" s="2" t="s">
        <v>96</v>
      </c>
      <c r="P598" s="2" t="str">
        <f>"2170528165                    "</f>
        <v xml:space="preserve">2170528165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4.26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</v>
      </c>
      <c r="BJ598" s="2">
        <v>0.2</v>
      </c>
      <c r="BK598" s="2">
        <v>1</v>
      </c>
      <c r="BL598" s="2">
        <v>56.91</v>
      </c>
      <c r="BM598" s="2">
        <v>7.97</v>
      </c>
      <c r="BN598" s="2">
        <v>64.88</v>
      </c>
      <c r="BO598" s="2">
        <v>64.88</v>
      </c>
      <c r="BP598" s="2"/>
      <c r="BQ598" s="2" t="s">
        <v>91</v>
      </c>
      <c r="BR598" s="2" t="s">
        <v>83</v>
      </c>
      <c r="BS598" s="3">
        <v>42648</v>
      </c>
      <c r="BT598" s="4">
        <v>0.44444444444444442</v>
      </c>
      <c r="BU598" s="2" t="s">
        <v>1003</v>
      </c>
      <c r="BV598" s="2" t="s">
        <v>85</v>
      </c>
      <c r="BW598" s="2"/>
      <c r="BX598" s="2"/>
      <c r="BY598" s="2">
        <v>1200</v>
      </c>
      <c r="BZ598" s="2" t="s">
        <v>27</v>
      </c>
      <c r="CA598" s="2"/>
      <c r="CB598" s="2"/>
      <c r="CC598" s="2" t="s">
        <v>699</v>
      </c>
      <c r="CD598" s="2">
        <v>1759</v>
      </c>
      <c r="CE598" s="2" t="s">
        <v>782</v>
      </c>
      <c r="CF598" s="5">
        <v>42648</v>
      </c>
      <c r="CG598" s="2"/>
      <c r="CH598" s="2"/>
      <c r="CI598" s="2">
        <v>1</v>
      </c>
      <c r="CJ598" s="2">
        <v>1</v>
      </c>
      <c r="CK598" s="2">
        <v>24</v>
      </c>
      <c r="CL598" s="2" t="s">
        <v>88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"FES1162504244"</f>
        <v>FES1162504244</v>
      </c>
      <c r="F599" s="3">
        <v>42647</v>
      </c>
      <c r="G599" s="2">
        <v>201704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160</v>
      </c>
      <c r="M599" s="2" t="s">
        <v>161</v>
      </c>
      <c r="N599" s="2" t="s">
        <v>622</v>
      </c>
      <c r="O599" s="2" t="s">
        <v>96</v>
      </c>
      <c r="P599" s="2" t="str">
        <f>"2170526720                    "</f>
        <v xml:space="preserve">2170526720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12.13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1</v>
      </c>
      <c r="BI599" s="2">
        <v>8</v>
      </c>
      <c r="BJ599" s="2">
        <v>3.4</v>
      </c>
      <c r="BK599" s="2">
        <v>8</v>
      </c>
      <c r="BL599" s="2">
        <v>161.88999999999999</v>
      </c>
      <c r="BM599" s="2">
        <v>22.66</v>
      </c>
      <c r="BN599" s="2">
        <v>184.55</v>
      </c>
      <c r="BO599" s="2">
        <v>184.55</v>
      </c>
      <c r="BP599" s="2"/>
      <c r="BQ599" s="2" t="s">
        <v>623</v>
      </c>
      <c r="BR599" s="2" t="s">
        <v>83</v>
      </c>
      <c r="BS599" s="3">
        <v>42648</v>
      </c>
      <c r="BT599" s="4">
        <v>0.4201388888888889</v>
      </c>
      <c r="BU599" s="2" t="s">
        <v>831</v>
      </c>
      <c r="BV599" s="2" t="s">
        <v>85</v>
      </c>
      <c r="BW599" s="2"/>
      <c r="BX599" s="2"/>
      <c r="BY599" s="2">
        <v>16837.599999999999</v>
      </c>
      <c r="BZ599" s="2" t="s">
        <v>27</v>
      </c>
      <c r="CA599" s="2" t="s">
        <v>129</v>
      </c>
      <c r="CB599" s="2"/>
      <c r="CC599" s="2" t="s">
        <v>161</v>
      </c>
      <c r="CD599" s="2">
        <v>7490</v>
      </c>
      <c r="CE599" s="2" t="s">
        <v>826</v>
      </c>
      <c r="CF599" s="5">
        <v>42649</v>
      </c>
      <c r="CG599" s="2"/>
      <c r="CH599" s="2"/>
      <c r="CI599" s="2">
        <v>1</v>
      </c>
      <c r="CJ599" s="2">
        <v>1</v>
      </c>
      <c r="CK599" s="2">
        <v>21</v>
      </c>
      <c r="CL599" s="2" t="s">
        <v>88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"FES1162504449"</f>
        <v>FES1162504449</v>
      </c>
      <c r="F600" s="3">
        <v>42647</v>
      </c>
      <c r="G600" s="2">
        <v>201704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98</v>
      </c>
      <c r="M600" s="2" t="s">
        <v>99</v>
      </c>
      <c r="N600" s="2" t="s">
        <v>1004</v>
      </c>
      <c r="O600" s="2" t="s">
        <v>96</v>
      </c>
      <c r="P600" s="2" t="str">
        <f>"2170528171                    "</f>
        <v xml:space="preserve">2170528171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15.92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7</v>
      </c>
      <c r="BJ600" s="2">
        <v>10.5</v>
      </c>
      <c r="BK600" s="2">
        <v>10.5</v>
      </c>
      <c r="BL600" s="2">
        <v>212.48</v>
      </c>
      <c r="BM600" s="2">
        <v>29.75</v>
      </c>
      <c r="BN600" s="2">
        <v>242.23</v>
      </c>
      <c r="BO600" s="2">
        <v>242.23</v>
      </c>
      <c r="BP600" s="2"/>
      <c r="BQ600" s="2" t="s">
        <v>82</v>
      </c>
      <c r="BR600" s="2" t="s">
        <v>83</v>
      </c>
      <c r="BS600" s="3">
        <v>42648</v>
      </c>
      <c r="BT600" s="4">
        <v>0.3263888888888889</v>
      </c>
      <c r="BU600" s="2" t="s">
        <v>1005</v>
      </c>
      <c r="BV600" s="2" t="s">
        <v>85</v>
      </c>
      <c r="BW600" s="2"/>
      <c r="BX600" s="2"/>
      <c r="BY600" s="2">
        <v>52685.64</v>
      </c>
      <c r="BZ600" s="2" t="s">
        <v>27</v>
      </c>
      <c r="CA600" s="2"/>
      <c r="CB600" s="2"/>
      <c r="CC600" s="2" t="s">
        <v>99</v>
      </c>
      <c r="CD600" s="2">
        <v>6001</v>
      </c>
      <c r="CE600" s="2" t="s">
        <v>1006</v>
      </c>
      <c r="CF600" s="5">
        <v>42649</v>
      </c>
      <c r="CG600" s="2"/>
      <c r="CH600" s="2"/>
      <c r="CI600" s="2">
        <v>1</v>
      </c>
      <c r="CJ600" s="2">
        <v>1</v>
      </c>
      <c r="CK600" s="2">
        <v>21</v>
      </c>
      <c r="CL600" s="2" t="s">
        <v>88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"FES1162504158"</f>
        <v>FES1162504158</v>
      </c>
      <c r="F601" s="3">
        <v>42647</v>
      </c>
      <c r="G601" s="2">
        <v>201704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148</v>
      </c>
      <c r="M601" s="2" t="s">
        <v>149</v>
      </c>
      <c r="N601" s="2" t="s">
        <v>809</v>
      </c>
      <c r="O601" s="2" t="s">
        <v>96</v>
      </c>
      <c r="P601" s="2" t="str">
        <f>"2170527945                    "</f>
        <v xml:space="preserve">2170527945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11.37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2</v>
      </c>
      <c r="BI601" s="2">
        <v>4.2</v>
      </c>
      <c r="BJ601" s="2">
        <v>7.1</v>
      </c>
      <c r="BK601" s="2">
        <v>7.5</v>
      </c>
      <c r="BL601" s="2">
        <v>151.77000000000001</v>
      </c>
      <c r="BM601" s="2">
        <v>21.25</v>
      </c>
      <c r="BN601" s="2">
        <v>173.02</v>
      </c>
      <c r="BO601" s="2">
        <v>173.02</v>
      </c>
      <c r="BP601" s="2"/>
      <c r="BQ601" s="2" t="s">
        <v>91</v>
      </c>
      <c r="BR601" s="2" t="s">
        <v>83</v>
      </c>
      <c r="BS601" s="3">
        <v>42648</v>
      </c>
      <c r="BT601" s="4">
        <v>0.34027777777777773</v>
      </c>
      <c r="BU601" s="2" t="s">
        <v>810</v>
      </c>
      <c r="BV601" s="2" t="s">
        <v>85</v>
      </c>
      <c r="BW601" s="2"/>
      <c r="BX601" s="2"/>
      <c r="BY601" s="2">
        <v>35693.47</v>
      </c>
      <c r="BZ601" s="2" t="s">
        <v>27</v>
      </c>
      <c r="CA601" s="2" t="s">
        <v>129</v>
      </c>
      <c r="CB601" s="2"/>
      <c r="CC601" s="2" t="s">
        <v>149</v>
      </c>
      <c r="CD601" s="2">
        <v>4094</v>
      </c>
      <c r="CE601" s="2" t="s">
        <v>1007</v>
      </c>
      <c r="CF601" s="5">
        <v>42649</v>
      </c>
      <c r="CG601" s="2"/>
      <c r="CH601" s="2"/>
      <c r="CI601" s="2">
        <v>1</v>
      </c>
      <c r="CJ601" s="2">
        <v>1</v>
      </c>
      <c r="CK601" s="2">
        <v>21</v>
      </c>
      <c r="CL601" s="2" t="s">
        <v>88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"FES1162504324"</f>
        <v>FES1162504324</v>
      </c>
      <c r="F602" s="3">
        <v>42647</v>
      </c>
      <c r="G602" s="2">
        <v>201704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361</v>
      </c>
      <c r="M602" s="2" t="s">
        <v>362</v>
      </c>
      <c r="N602" s="2" t="s">
        <v>1008</v>
      </c>
      <c r="O602" s="2" t="s">
        <v>96</v>
      </c>
      <c r="P602" s="2" t="str">
        <f>"2170528023                    "</f>
        <v xml:space="preserve">2170528023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4.26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1</v>
      </c>
      <c r="BI602" s="2">
        <v>1</v>
      </c>
      <c r="BJ602" s="2">
        <v>0.2</v>
      </c>
      <c r="BK602" s="2">
        <v>1</v>
      </c>
      <c r="BL602" s="2">
        <v>56.91</v>
      </c>
      <c r="BM602" s="2">
        <v>7.97</v>
      </c>
      <c r="BN602" s="2">
        <v>64.88</v>
      </c>
      <c r="BO602" s="2">
        <v>64.88</v>
      </c>
      <c r="BP602" s="2"/>
      <c r="BQ602" s="2" t="s">
        <v>1009</v>
      </c>
      <c r="BR602" s="2" t="s">
        <v>83</v>
      </c>
      <c r="BS602" s="3">
        <v>42648</v>
      </c>
      <c r="BT602" s="4">
        <v>0.36736111111111108</v>
      </c>
      <c r="BU602" s="2" t="s">
        <v>1009</v>
      </c>
      <c r="BV602" s="2" t="s">
        <v>85</v>
      </c>
      <c r="BW602" s="2"/>
      <c r="BX602" s="2"/>
      <c r="BY602" s="2">
        <v>1200</v>
      </c>
      <c r="BZ602" s="2" t="s">
        <v>27</v>
      </c>
      <c r="CA602" s="2"/>
      <c r="CB602" s="2"/>
      <c r="CC602" s="2" t="s">
        <v>362</v>
      </c>
      <c r="CD602" s="2">
        <v>1441</v>
      </c>
      <c r="CE602" s="2" t="s">
        <v>782</v>
      </c>
      <c r="CF602" s="5">
        <v>42649</v>
      </c>
      <c r="CG602" s="2"/>
      <c r="CH602" s="2"/>
      <c r="CI602" s="2">
        <v>1</v>
      </c>
      <c r="CJ602" s="2">
        <v>1</v>
      </c>
      <c r="CK602" s="2">
        <v>24</v>
      </c>
      <c r="CL602" s="2" t="s">
        <v>88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"FES1162504402"</f>
        <v>FES1162504402</v>
      </c>
      <c r="F603" s="3">
        <v>42647</v>
      </c>
      <c r="G603" s="2">
        <v>201704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160</v>
      </c>
      <c r="M603" s="2" t="s">
        <v>161</v>
      </c>
      <c r="N603" s="2" t="s">
        <v>162</v>
      </c>
      <c r="O603" s="2" t="s">
        <v>96</v>
      </c>
      <c r="P603" s="2" t="str">
        <f>"2170528118                    "</f>
        <v xml:space="preserve">2170528118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3.03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1</v>
      </c>
      <c r="BJ603" s="2">
        <v>0.2</v>
      </c>
      <c r="BK603" s="2">
        <v>1</v>
      </c>
      <c r="BL603" s="2">
        <v>40.47</v>
      </c>
      <c r="BM603" s="2">
        <v>5.67</v>
      </c>
      <c r="BN603" s="2">
        <v>46.14</v>
      </c>
      <c r="BO603" s="2">
        <v>46.14</v>
      </c>
      <c r="BP603" s="2"/>
      <c r="BQ603" s="2" t="s">
        <v>163</v>
      </c>
      <c r="BR603" s="2" t="s">
        <v>83</v>
      </c>
      <c r="BS603" s="3">
        <v>42648</v>
      </c>
      <c r="BT603" s="4">
        <v>0.41666666666666669</v>
      </c>
      <c r="BU603" s="2" t="s">
        <v>1010</v>
      </c>
      <c r="BV603" s="2" t="s">
        <v>85</v>
      </c>
      <c r="BW603" s="2"/>
      <c r="BX603" s="2"/>
      <c r="BY603" s="2">
        <v>1200</v>
      </c>
      <c r="BZ603" s="2" t="s">
        <v>27</v>
      </c>
      <c r="CA603" s="2"/>
      <c r="CB603" s="2"/>
      <c r="CC603" s="2" t="s">
        <v>161</v>
      </c>
      <c r="CD603" s="2">
        <v>7441</v>
      </c>
      <c r="CE603" s="2" t="s">
        <v>782</v>
      </c>
      <c r="CF603" s="5">
        <v>42649</v>
      </c>
      <c r="CG603" s="2"/>
      <c r="CH603" s="2"/>
      <c r="CI603" s="2">
        <v>1</v>
      </c>
      <c r="CJ603" s="2">
        <v>1</v>
      </c>
      <c r="CK603" s="2">
        <v>21</v>
      </c>
      <c r="CL603" s="2" t="s">
        <v>88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"FES1162504362"</f>
        <v>FES1162504362</v>
      </c>
      <c r="F604" s="3">
        <v>42647</v>
      </c>
      <c r="G604" s="2">
        <v>201704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269</v>
      </c>
      <c r="M604" s="2" t="s">
        <v>270</v>
      </c>
      <c r="N604" s="2" t="s">
        <v>299</v>
      </c>
      <c r="O604" s="2" t="s">
        <v>96</v>
      </c>
      <c r="P604" s="2" t="str">
        <f>"2170527666                    "</f>
        <v xml:space="preserve">2170527666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6.07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4</v>
      </c>
      <c r="BJ604" s="2">
        <v>3.5</v>
      </c>
      <c r="BK604" s="2">
        <v>4</v>
      </c>
      <c r="BL604" s="2">
        <v>80.95</v>
      </c>
      <c r="BM604" s="2">
        <v>11.33</v>
      </c>
      <c r="BN604" s="2">
        <v>92.28</v>
      </c>
      <c r="BO604" s="2">
        <v>92.28</v>
      </c>
      <c r="BP604" s="2"/>
      <c r="BQ604" s="2" t="s">
        <v>300</v>
      </c>
      <c r="BR604" s="2" t="s">
        <v>83</v>
      </c>
      <c r="BS604" s="3">
        <v>42648</v>
      </c>
      <c r="BT604" s="4">
        <v>0.35416666666666669</v>
      </c>
      <c r="BU604" s="2" t="s">
        <v>814</v>
      </c>
      <c r="BV604" s="2" t="s">
        <v>85</v>
      </c>
      <c r="BW604" s="2"/>
      <c r="BX604" s="2"/>
      <c r="BY604" s="2">
        <v>17589.02</v>
      </c>
      <c r="BZ604" s="2" t="s">
        <v>27</v>
      </c>
      <c r="CA604" s="2"/>
      <c r="CB604" s="2"/>
      <c r="CC604" s="2" t="s">
        <v>270</v>
      </c>
      <c r="CD604" s="2">
        <v>3610</v>
      </c>
      <c r="CE604" s="2" t="s">
        <v>826</v>
      </c>
      <c r="CF604" s="5">
        <v>42649</v>
      </c>
      <c r="CG604" s="2"/>
      <c r="CH604" s="2"/>
      <c r="CI604" s="2">
        <v>1</v>
      </c>
      <c r="CJ604" s="2">
        <v>1</v>
      </c>
      <c r="CK604" s="2">
        <v>21</v>
      </c>
      <c r="CL604" s="2" t="s">
        <v>88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"FES1162504258"</f>
        <v>FES1162504258</v>
      </c>
      <c r="F605" s="3">
        <v>42647</v>
      </c>
      <c r="G605" s="2">
        <v>201704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98</v>
      </c>
      <c r="M605" s="2" t="s">
        <v>99</v>
      </c>
      <c r="N605" s="2" t="s">
        <v>1011</v>
      </c>
      <c r="O605" s="2" t="s">
        <v>96</v>
      </c>
      <c r="P605" s="2" t="str">
        <f>"2170527367                    "</f>
        <v xml:space="preserve">2170527367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60.65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39.700000000000003</v>
      </c>
      <c r="BJ605" s="2">
        <v>13.6</v>
      </c>
      <c r="BK605" s="2">
        <v>40</v>
      </c>
      <c r="BL605" s="2">
        <v>809.45</v>
      </c>
      <c r="BM605" s="2">
        <v>113.32</v>
      </c>
      <c r="BN605" s="2">
        <v>922.77</v>
      </c>
      <c r="BO605" s="2">
        <v>922.77</v>
      </c>
      <c r="BP605" s="2"/>
      <c r="BQ605" s="2" t="s">
        <v>117</v>
      </c>
      <c r="BR605" s="2" t="s">
        <v>83</v>
      </c>
      <c r="BS605" s="3">
        <v>42648</v>
      </c>
      <c r="BT605" s="4">
        <v>0.41666666666666669</v>
      </c>
      <c r="BU605" s="2" t="s">
        <v>956</v>
      </c>
      <c r="BV605" s="2" t="s">
        <v>85</v>
      </c>
      <c r="BW605" s="2"/>
      <c r="BX605" s="2"/>
      <c r="BY605" s="2">
        <v>68183.02</v>
      </c>
      <c r="BZ605" s="2" t="s">
        <v>27</v>
      </c>
      <c r="CA605" s="2" t="s">
        <v>129</v>
      </c>
      <c r="CB605" s="2"/>
      <c r="CC605" s="2" t="s">
        <v>99</v>
      </c>
      <c r="CD605" s="2">
        <v>6001</v>
      </c>
      <c r="CE605" s="2" t="s">
        <v>826</v>
      </c>
      <c r="CF605" s="5">
        <v>42649</v>
      </c>
      <c r="CG605" s="2"/>
      <c r="CH605" s="2"/>
      <c r="CI605" s="2">
        <v>1</v>
      </c>
      <c r="CJ605" s="2">
        <v>1</v>
      </c>
      <c r="CK605" s="2">
        <v>21</v>
      </c>
      <c r="CL605" s="2" t="s">
        <v>88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"FES1162504227"</f>
        <v>FES1162504227</v>
      </c>
      <c r="F606" s="3">
        <v>42647</v>
      </c>
      <c r="G606" s="2">
        <v>201704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269</v>
      </c>
      <c r="M606" s="2" t="s">
        <v>270</v>
      </c>
      <c r="N606" s="2" t="s">
        <v>496</v>
      </c>
      <c r="O606" s="2" t="s">
        <v>96</v>
      </c>
      <c r="P606" s="2" t="str">
        <f>"2170526091                    "</f>
        <v xml:space="preserve">2170526091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3.03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1</v>
      </c>
      <c r="BJ606" s="2">
        <v>0.2</v>
      </c>
      <c r="BK606" s="2">
        <v>1</v>
      </c>
      <c r="BL606" s="2">
        <v>40.47</v>
      </c>
      <c r="BM606" s="2">
        <v>5.67</v>
      </c>
      <c r="BN606" s="2">
        <v>46.14</v>
      </c>
      <c r="BO606" s="2">
        <v>46.14</v>
      </c>
      <c r="BP606" s="2"/>
      <c r="BQ606" s="2" t="s">
        <v>892</v>
      </c>
      <c r="BR606" s="2" t="s">
        <v>83</v>
      </c>
      <c r="BS606" s="3">
        <v>42648</v>
      </c>
      <c r="BT606" s="4">
        <v>0.4375</v>
      </c>
      <c r="BU606" s="2" t="s">
        <v>1012</v>
      </c>
      <c r="BV606" s="2" t="s">
        <v>85</v>
      </c>
      <c r="BW606" s="2"/>
      <c r="BX606" s="2"/>
      <c r="BY606" s="2">
        <v>1200</v>
      </c>
      <c r="BZ606" s="2" t="s">
        <v>27</v>
      </c>
      <c r="CA606" s="2"/>
      <c r="CB606" s="2"/>
      <c r="CC606" s="2" t="s">
        <v>270</v>
      </c>
      <c r="CD606" s="2">
        <v>3610</v>
      </c>
      <c r="CE606" s="2" t="s">
        <v>782</v>
      </c>
      <c r="CF606" s="5">
        <v>42649</v>
      </c>
      <c r="CG606" s="2"/>
      <c r="CH606" s="2"/>
      <c r="CI606" s="2">
        <v>1</v>
      </c>
      <c r="CJ606" s="2">
        <v>1</v>
      </c>
      <c r="CK606" s="2">
        <v>21</v>
      </c>
      <c r="CL606" s="2" t="s">
        <v>88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"FES1162504283"</f>
        <v>FES1162504283</v>
      </c>
      <c r="F607" s="3">
        <v>42647</v>
      </c>
      <c r="G607" s="2">
        <v>201704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148</v>
      </c>
      <c r="M607" s="2" t="s">
        <v>149</v>
      </c>
      <c r="N607" s="2" t="s">
        <v>1013</v>
      </c>
      <c r="O607" s="2" t="s">
        <v>96</v>
      </c>
      <c r="P607" s="2" t="str">
        <f>"2170525518                    "</f>
        <v xml:space="preserve">2170525518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3.03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1</v>
      </c>
      <c r="BJ607" s="2">
        <v>0.2</v>
      </c>
      <c r="BK607" s="2">
        <v>1</v>
      </c>
      <c r="BL607" s="2">
        <v>40.47</v>
      </c>
      <c r="BM607" s="2">
        <v>5.67</v>
      </c>
      <c r="BN607" s="2">
        <v>46.14</v>
      </c>
      <c r="BO607" s="2">
        <v>46.14</v>
      </c>
      <c r="BP607" s="2"/>
      <c r="BQ607" s="2" t="s">
        <v>1014</v>
      </c>
      <c r="BR607" s="2" t="s">
        <v>83</v>
      </c>
      <c r="BS607" s="3">
        <v>42648</v>
      </c>
      <c r="BT607" s="4">
        <v>0.4375</v>
      </c>
      <c r="BU607" s="2" t="s">
        <v>1015</v>
      </c>
      <c r="BV607" s="2" t="s">
        <v>85</v>
      </c>
      <c r="BW607" s="2"/>
      <c r="BX607" s="2"/>
      <c r="BY607" s="2">
        <v>1200</v>
      </c>
      <c r="BZ607" s="2" t="s">
        <v>27</v>
      </c>
      <c r="CA607" s="2" t="s">
        <v>129</v>
      </c>
      <c r="CB607" s="2"/>
      <c r="CC607" s="2" t="s">
        <v>149</v>
      </c>
      <c r="CD607" s="2">
        <v>4051</v>
      </c>
      <c r="CE607" s="2" t="s">
        <v>782</v>
      </c>
      <c r="CF607" s="5">
        <v>42649</v>
      </c>
      <c r="CG607" s="2"/>
      <c r="CH607" s="2"/>
      <c r="CI607" s="2">
        <v>1</v>
      </c>
      <c r="CJ607" s="2">
        <v>1</v>
      </c>
      <c r="CK607" s="2">
        <v>21</v>
      </c>
      <c r="CL607" s="2" t="s">
        <v>88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"FES1162504369"</f>
        <v>FES1162504369</v>
      </c>
      <c r="F608" s="3">
        <v>42647</v>
      </c>
      <c r="G608" s="2">
        <v>201704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269</v>
      </c>
      <c r="M608" s="2" t="s">
        <v>270</v>
      </c>
      <c r="N608" s="2" t="s">
        <v>496</v>
      </c>
      <c r="O608" s="2" t="s">
        <v>96</v>
      </c>
      <c r="P608" s="2" t="str">
        <f>"2170528082                    "</f>
        <v xml:space="preserve">2170528082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3.03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1</v>
      </c>
      <c r="BJ608" s="2">
        <v>0.2</v>
      </c>
      <c r="BK608" s="2">
        <v>1</v>
      </c>
      <c r="BL608" s="2">
        <v>40.47</v>
      </c>
      <c r="BM608" s="2">
        <v>5.67</v>
      </c>
      <c r="BN608" s="2">
        <v>46.14</v>
      </c>
      <c r="BO608" s="2">
        <v>46.14</v>
      </c>
      <c r="BP608" s="2"/>
      <c r="BQ608" s="2" t="s">
        <v>892</v>
      </c>
      <c r="BR608" s="2" t="s">
        <v>83</v>
      </c>
      <c r="BS608" s="3">
        <v>42648</v>
      </c>
      <c r="BT608" s="4">
        <v>0.4375</v>
      </c>
      <c r="BU608" s="2" t="s">
        <v>1016</v>
      </c>
      <c r="BV608" s="2" t="s">
        <v>85</v>
      </c>
      <c r="BW608" s="2"/>
      <c r="BX608" s="2"/>
      <c r="BY608" s="2">
        <v>1200</v>
      </c>
      <c r="BZ608" s="2" t="s">
        <v>27</v>
      </c>
      <c r="CA608" s="2"/>
      <c r="CB608" s="2"/>
      <c r="CC608" s="2" t="s">
        <v>270</v>
      </c>
      <c r="CD608" s="2">
        <v>3610</v>
      </c>
      <c r="CE608" s="2" t="s">
        <v>782</v>
      </c>
      <c r="CF608" s="5">
        <v>42649</v>
      </c>
      <c r="CG608" s="2"/>
      <c r="CH608" s="2"/>
      <c r="CI608" s="2">
        <v>1</v>
      </c>
      <c r="CJ608" s="2">
        <v>1</v>
      </c>
      <c r="CK608" s="2">
        <v>21</v>
      </c>
      <c r="CL608" s="2" t="s">
        <v>88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"FES1162504355"</f>
        <v>FES1162504355</v>
      </c>
      <c r="F609" s="3">
        <v>42647</v>
      </c>
      <c r="G609" s="2">
        <v>201704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269</v>
      </c>
      <c r="M609" s="2" t="s">
        <v>270</v>
      </c>
      <c r="N609" s="2" t="s">
        <v>299</v>
      </c>
      <c r="O609" s="2" t="s">
        <v>96</v>
      </c>
      <c r="P609" s="2" t="str">
        <f>"2170528064                    "</f>
        <v xml:space="preserve">2170528064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3.03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1</v>
      </c>
      <c r="BJ609" s="2">
        <v>0.2</v>
      </c>
      <c r="BK609" s="2">
        <v>1</v>
      </c>
      <c r="BL609" s="2">
        <v>40.47</v>
      </c>
      <c r="BM609" s="2">
        <v>5.67</v>
      </c>
      <c r="BN609" s="2">
        <v>46.14</v>
      </c>
      <c r="BO609" s="2">
        <v>46.14</v>
      </c>
      <c r="BP609" s="2"/>
      <c r="BQ609" s="2" t="s">
        <v>300</v>
      </c>
      <c r="BR609" s="2" t="s">
        <v>83</v>
      </c>
      <c r="BS609" s="3">
        <v>42648</v>
      </c>
      <c r="BT609" s="4">
        <v>0.35416666666666669</v>
      </c>
      <c r="BU609" s="2" t="s">
        <v>814</v>
      </c>
      <c r="BV609" s="2" t="s">
        <v>85</v>
      </c>
      <c r="BW609" s="2"/>
      <c r="BX609" s="2"/>
      <c r="BY609" s="2">
        <v>1200</v>
      </c>
      <c r="BZ609" s="2" t="s">
        <v>27</v>
      </c>
      <c r="CA609" s="2"/>
      <c r="CB609" s="2"/>
      <c r="CC609" s="2" t="s">
        <v>270</v>
      </c>
      <c r="CD609" s="2">
        <v>3610</v>
      </c>
      <c r="CE609" s="2" t="s">
        <v>782</v>
      </c>
      <c r="CF609" s="5">
        <v>42649</v>
      </c>
      <c r="CG609" s="2"/>
      <c r="CH609" s="2"/>
      <c r="CI609" s="2">
        <v>1</v>
      </c>
      <c r="CJ609" s="2">
        <v>1</v>
      </c>
      <c r="CK609" s="2">
        <v>21</v>
      </c>
      <c r="CL609" s="2" t="s">
        <v>88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"FES1162504191"</f>
        <v>FES1162504191</v>
      </c>
      <c r="F610" s="3">
        <v>42647</v>
      </c>
      <c r="G610" s="2">
        <v>201704</v>
      </c>
      <c r="H610" s="2" t="s">
        <v>74</v>
      </c>
      <c r="I610" s="2" t="s">
        <v>75</v>
      </c>
      <c r="J610" s="2" t="s">
        <v>76</v>
      </c>
      <c r="K610" s="2" t="s">
        <v>77</v>
      </c>
      <c r="L610" s="2" t="s">
        <v>171</v>
      </c>
      <c r="M610" s="2" t="s">
        <v>172</v>
      </c>
      <c r="N610" s="2" t="s">
        <v>429</v>
      </c>
      <c r="O610" s="2" t="s">
        <v>96</v>
      </c>
      <c r="P610" s="2" t="str">
        <f>"2170524207                    "</f>
        <v xml:space="preserve">2170524207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3.03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</v>
      </c>
      <c r="BJ610" s="2">
        <v>0.2</v>
      </c>
      <c r="BK610" s="2">
        <v>1</v>
      </c>
      <c r="BL610" s="2">
        <v>40.47</v>
      </c>
      <c r="BM610" s="2">
        <v>5.67</v>
      </c>
      <c r="BN610" s="2">
        <v>46.14</v>
      </c>
      <c r="BO610" s="2">
        <v>46.14</v>
      </c>
      <c r="BP610" s="2"/>
      <c r="BQ610" s="2" t="s">
        <v>430</v>
      </c>
      <c r="BR610" s="2" t="s">
        <v>83</v>
      </c>
      <c r="BS610" s="3">
        <v>42648</v>
      </c>
      <c r="BT610" s="4">
        <v>0.34027777777777773</v>
      </c>
      <c r="BU610" s="2" t="s">
        <v>1017</v>
      </c>
      <c r="BV610" s="2" t="s">
        <v>85</v>
      </c>
      <c r="BW610" s="2"/>
      <c r="BX610" s="2"/>
      <c r="BY610" s="2">
        <v>1200</v>
      </c>
      <c r="BZ610" s="2" t="s">
        <v>27</v>
      </c>
      <c r="CA610" s="2" t="s">
        <v>129</v>
      </c>
      <c r="CB610" s="2"/>
      <c r="CC610" s="2" t="s">
        <v>172</v>
      </c>
      <c r="CD610" s="2">
        <v>6220</v>
      </c>
      <c r="CE610" s="2" t="s">
        <v>782</v>
      </c>
      <c r="CF610" s="5">
        <v>42649</v>
      </c>
      <c r="CG610" s="2"/>
      <c r="CH610" s="2"/>
      <c r="CI610" s="2">
        <v>1</v>
      </c>
      <c r="CJ610" s="2">
        <v>1</v>
      </c>
      <c r="CK610" s="2">
        <v>21</v>
      </c>
      <c r="CL610" s="2" t="s">
        <v>88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"FES1162504347"</f>
        <v>FES1162504347</v>
      </c>
      <c r="F611" s="3">
        <v>42647</v>
      </c>
      <c r="G611" s="2">
        <v>201704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98</v>
      </c>
      <c r="M611" s="2" t="s">
        <v>99</v>
      </c>
      <c r="N611" s="2" t="s">
        <v>1018</v>
      </c>
      <c r="O611" s="2" t="s">
        <v>96</v>
      </c>
      <c r="P611" s="2" t="str">
        <f>"2170528061                    "</f>
        <v xml:space="preserve">2170528061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3.03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1</v>
      </c>
      <c r="BJ611" s="2">
        <v>0.2</v>
      </c>
      <c r="BK611" s="2">
        <v>1</v>
      </c>
      <c r="BL611" s="2">
        <v>40.47</v>
      </c>
      <c r="BM611" s="2">
        <v>5.67</v>
      </c>
      <c r="BN611" s="2">
        <v>46.14</v>
      </c>
      <c r="BO611" s="2">
        <v>46.14</v>
      </c>
      <c r="BP611" s="2"/>
      <c r="BQ611" s="2" t="s">
        <v>82</v>
      </c>
      <c r="BR611" s="2" t="s">
        <v>83</v>
      </c>
      <c r="BS611" s="3">
        <v>42648</v>
      </c>
      <c r="BT611" s="4">
        <v>0.43472222222222223</v>
      </c>
      <c r="BU611" s="2" t="s">
        <v>1019</v>
      </c>
      <c r="BV611" s="2" t="s">
        <v>85</v>
      </c>
      <c r="BW611" s="2"/>
      <c r="BX611" s="2"/>
      <c r="BY611" s="2">
        <v>1200</v>
      </c>
      <c r="BZ611" s="2" t="s">
        <v>27</v>
      </c>
      <c r="CA611" s="2" t="s">
        <v>107</v>
      </c>
      <c r="CB611" s="2"/>
      <c r="CC611" s="2" t="s">
        <v>99</v>
      </c>
      <c r="CD611" s="2">
        <v>6012</v>
      </c>
      <c r="CE611" s="2" t="s">
        <v>782</v>
      </c>
      <c r="CF611" s="5">
        <v>42648</v>
      </c>
      <c r="CG611" s="2"/>
      <c r="CH611" s="2"/>
      <c r="CI611" s="2">
        <v>1</v>
      </c>
      <c r="CJ611" s="2">
        <v>1</v>
      </c>
      <c r="CK611" s="2">
        <v>21</v>
      </c>
      <c r="CL611" s="2" t="s">
        <v>88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"FES1162504254"</f>
        <v>FES1162504254</v>
      </c>
      <c r="F612" s="3">
        <v>42647</v>
      </c>
      <c r="G612" s="2">
        <v>201704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98</v>
      </c>
      <c r="M612" s="2" t="s">
        <v>99</v>
      </c>
      <c r="N612" s="2" t="s">
        <v>606</v>
      </c>
      <c r="O612" s="2" t="s">
        <v>96</v>
      </c>
      <c r="P612" s="2" t="str">
        <f>"2170527088                    "</f>
        <v xml:space="preserve">2170527088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3.79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2.2000000000000002</v>
      </c>
      <c r="BJ612" s="2">
        <v>1.9</v>
      </c>
      <c r="BK612" s="2">
        <v>2.5</v>
      </c>
      <c r="BL612" s="2">
        <v>50.59</v>
      </c>
      <c r="BM612" s="2">
        <v>7.08</v>
      </c>
      <c r="BN612" s="2">
        <v>57.67</v>
      </c>
      <c r="BO612" s="2">
        <v>57.67</v>
      </c>
      <c r="BP612" s="2"/>
      <c r="BQ612" s="2" t="s">
        <v>607</v>
      </c>
      <c r="BR612" s="2" t="s">
        <v>83</v>
      </c>
      <c r="BS612" s="3">
        <v>42648</v>
      </c>
      <c r="BT612" s="4">
        <v>0.38194444444444442</v>
      </c>
      <c r="BU612" s="2" t="s">
        <v>181</v>
      </c>
      <c r="BV612" s="2" t="s">
        <v>85</v>
      </c>
      <c r="BW612" s="2"/>
      <c r="BX612" s="2"/>
      <c r="BY612" s="2">
        <v>9435.74</v>
      </c>
      <c r="BZ612" s="2" t="s">
        <v>27</v>
      </c>
      <c r="CA612" s="2" t="s">
        <v>107</v>
      </c>
      <c r="CB612" s="2"/>
      <c r="CC612" s="2" t="s">
        <v>99</v>
      </c>
      <c r="CD612" s="2">
        <v>6001</v>
      </c>
      <c r="CE612" s="2" t="s">
        <v>782</v>
      </c>
      <c r="CF612" s="5">
        <v>42648</v>
      </c>
      <c r="CG612" s="2"/>
      <c r="CH612" s="2"/>
      <c r="CI612" s="2">
        <v>1</v>
      </c>
      <c r="CJ612" s="2">
        <v>1</v>
      </c>
      <c r="CK612" s="2">
        <v>21</v>
      </c>
      <c r="CL612" s="2" t="s">
        <v>88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"FES1162504334"</f>
        <v>FES1162504334</v>
      </c>
      <c r="F613" s="3">
        <v>42647</v>
      </c>
      <c r="G613" s="2">
        <v>201704</v>
      </c>
      <c r="H613" s="2" t="s">
        <v>74</v>
      </c>
      <c r="I613" s="2" t="s">
        <v>75</v>
      </c>
      <c r="J613" s="2" t="s">
        <v>76</v>
      </c>
      <c r="K613" s="2" t="s">
        <v>77</v>
      </c>
      <c r="L613" s="2" t="s">
        <v>269</v>
      </c>
      <c r="M613" s="2" t="s">
        <v>270</v>
      </c>
      <c r="N613" s="2" t="s">
        <v>1020</v>
      </c>
      <c r="O613" s="2" t="s">
        <v>96</v>
      </c>
      <c r="P613" s="2" t="str">
        <f>"2170528037                    "</f>
        <v xml:space="preserve">2170528037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3.03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40.47</v>
      </c>
      <c r="BM613" s="2">
        <v>5.67</v>
      </c>
      <c r="BN613" s="2">
        <v>46.14</v>
      </c>
      <c r="BO613" s="2">
        <v>46.14</v>
      </c>
      <c r="BP613" s="2"/>
      <c r="BQ613" s="2" t="s">
        <v>1021</v>
      </c>
      <c r="BR613" s="2" t="s">
        <v>83</v>
      </c>
      <c r="BS613" s="3">
        <v>42648</v>
      </c>
      <c r="BT613" s="4">
        <v>0.32569444444444445</v>
      </c>
      <c r="BU613" s="2" t="s">
        <v>1022</v>
      </c>
      <c r="BV613" s="2" t="s">
        <v>85</v>
      </c>
      <c r="BW613" s="2"/>
      <c r="BX613" s="2"/>
      <c r="BY613" s="2">
        <v>1200</v>
      </c>
      <c r="BZ613" s="2" t="s">
        <v>27</v>
      </c>
      <c r="CA613" s="2"/>
      <c r="CB613" s="2"/>
      <c r="CC613" s="2" t="s">
        <v>270</v>
      </c>
      <c r="CD613" s="2">
        <v>3610</v>
      </c>
      <c r="CE613" s="2" t="s">
        <v>782</v>
      </c>
      <c r="CF613" s="5">
        <v>42648</v>
      </c>
      <c r="CG613" s="2"/>
      <c r="CH613" s="2"/>
      <c r="CI613" s="2">
        <v>1</v>
      </c>
      <c r="CJ613" s="2">
        <v>1</v>
      </c>
      <c r="CK613" s="2">
        <v>21</v>
      </c>
      <c r="CL613" s="2" t="s">
        <v>88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"FES1162504199"</f>
        <v>FES1162504199</v>
      </c>
      <c r="F614" s="3">
        <v>42647</v>
      </c>
      <c r="G614" s="2">
        <v>201704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98</v>
      </c>
      <c r="M614" s="2" t="s">
        <v>99</v>
      </c>
      <c r="N614" s="2" t="s">
        <v>224</v>
      </c>
      <c r="O614" s="2" t="s">
        <v>96</v>
      </c>
      <c r="P614" s="2" t="str">
        <f>"2170524744                    "</f>
        <v xml:space="preserve">2170524744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3.03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1</v>
      </c>
      <c r="BJ614" s="2">
        <v>0.2</v>
      </c>
      <c r="BK614" s="2">
        <v>1</v>
      </c>
      <c r="BL614" s="2">
        <v>40.47</v>
      </c>
      <c r="BM614" s="2">
        <v>5.67</v>
      </c>
      <c r="BN614" s="2">
        <v>46.14</v>
      </c>
      <c r="BO614" s="2">
        <v>46.14</v>
      </c>
      <c r="BP614" s="2"/>
      <c r="BQ614" s="2" t="s">
        <v>225</v>
      </c>
      <c r="BR614" s="2" t="s">
        <v>83</v>
      </c>
      <c r="BS614" s="3">
        <v>42648</v>
      </c>
      <c r="BT614" s="4">
        <v>0.33333333333333331</v>
      </c>
      <c r="BU614" s="2" t="s">
        <v>1023</v>
      </c>
      <c r="BV614" s="2" t="s">
        <v>85</v>
      </c>
      <c r="BW614" s="2"/>
      <c r="BX614" s="2"/>
      <c r="BY614" s="2">
        <v>1200</v>
      </c>
      <c r="BZ614" s="2" t="s">
        <v>27</v>
      </c>
      <c r="CA614" s="2"/>
      <c r="CB614" s="2"/>
      <c r="CC614" s="2" t="s">
        <v>99</v>
      </c>
      <c r="CD614" s="2">
        <v>6001</v>
      </c>
      <c r="CE614" s="2" t="s">
        <v>782</v>
      </c>
      <c r="CF614" s="5">
        <v>42649</v>
      </c>
      <c r="CG614" s="2"/>
      <c r="CH614" s="2"/>
      <c r="CI614" s="2">
        <v>1</v>
      </c>
      <c r="CJ614" s="2">
        <v>1</v>
      </c>
      <c r="CK614" s="2">
        <v>21</v>
      </c>
      <c r="CL614" s="2" t="s">
        <v>88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"FES1162504193"</f>
        <v>FES1162504193</v>
      </c>
      <c r="F615" s="3">
        <v>42647</v>
      </c>
      <c r="G615" s="2">
        <v>201704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171</v>
      </c>
      <c r="M615" s="2" t="s">
        <v>172</v>
      </c>
      <c r="N615" s="2" t="s">
        <v>429</v>
      </c>
      <c r="O615" s="2" t="s">
        <v>96</v>
      </c>
      <c r="P615" s="2" t="str">
        <f>"2170524225                    "</f>
        <v xml:space="preserve">2170524225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3.03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1</v>
      </c>
      <c r="BJ615" s="2">
        <v>0.2</v>
      </c>
      <c r="BK615" s="2">
        <v>1</v>
      </c>
      <c r="BL615" s="2">
        <v>40.47</v>
      </c>
      <c r="BM615" s="2">
        <v>5.67</v>
      </c>
      <c r="BN615" s="2">
        <v>46.14</v>
      </c>
      <c r="BO615" s="2">
        <v>46.14</v>
      </c>
      <c r="BP615" s="2"/>
      <c r="BQ615" s="2" t="s">
        <v>430</v>
      </c>
      <c r="BR615" s="2" t="s">
        <v>83</v>
      </c>
      <c r="BS615" s="3">
        <v>42648</v>
      </c>
      <c r="BT615" s="4">
        <v>0.36805555555555558</v>
      </c>
      <c r="BU615" s="2" t="s">
        <v>724</v>
      </c>
      <c r="BV615" s="2" t="s">
        <v>85</v>
      </c>
      <c r="BW615" s="2"/>
      <c r="BX615" s="2"/>
      <c r="BY615" s="2">
        <v>1200</v>
      </c>
      <c r="BZ615" s="2" t="s">
        <v>27</v>
      </c>
      <c r="CA615" s="2" t="s">
        <v>129</v>
      </c>
      <c r="CB615" s="2"/>
      <c r="CC615" s="2" t="s">
        <v>172</v>
      </c>
      <c r="CD615" s="2">
        <v>6220</v>
      </c>
      <c r="CE615" s="2" t="s">
        <v>782</v>
      </c>
      <c r="CF615" s="5">
        <v>42649</v>
      </c>
      <c r="CG615" s="2"/>
      <c r="CH615" s="2"/>
      <c r="CI615" s="2">
        <v>1</v>
      </c>
      <c r="CJ615" s="2">
        <v>1</v>
      </c>
      <c r="CK615" s="2">
        <v>21</v>
      </c>
      <c r="CL615" s="2" t="s">
        <v>88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"FES1162504285"</f>
        <v>FES1162504285</v>
      </c>
      <c r="F616" s="3">
        <v>42647</v>
      </c>
      <c r="G616" s="2">
        <v>201704</v>
      </c>
      <c r="H616" s="2" t="s">
        <v>74</v>
      </c>
      <c r="I616" s="2" t="s">
        <v>75</v>
      </c>
      <c r="J616" s="2" t="s">
        <v>76</v>
      </c>
      <c r="K616" s="2" t="s">
        <v>77</v>
      </c>
      <c r="L616" s="2" t="s">
        <v>98</v>
      </c>
      <c r="M616" s="2" t="s">
        <v>99</v>
      </c>
      <c r="N616" s="2" t="s">
        <v>369</v>
      </c>
      <c r="O616" s="2" t="s">
        <v>96</v>
      </c>
      <c r="P616" s="2" t="str">
        <f>"2170526002                    "</f>
        <v xml:space="preserve">2170526002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3.03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40.47</v>
      </c>
      <c r="BM616" s="2">
        <v>5.67</v>
      </c>
      <c r="BN616" s="2">
        <v>46.14</v>
      </c>
      <c r="BO616" s="2">
        <v>46.14</v>
      </c>
      <c r="BP616" s="2"/>
      <c r="BQ616" s="2" t="s">
        <v>370</v>
      </c>
      <c r="BR616" s="2" t="s">
        <v>83</v>
      </c>
      <c r="BS616" s="3">
        <v>42648</v>
      </c>
      <c r="BT616" s="4">
        <v>0.375</v>
      </c>
      <c r="BU616" s="2" t="s">
        <v>1024</v>
      </c>
      <c r="BV616" s="2" t="s">
        <v>85</v>
      </c>
      <c r="BW616" s="2"/>
      <c r="BX616" s="2"/>
      <c r="BY616" s="2">
        <v>1200</v>
      </c>
      <c r="BZ616" s="2" t="s">
        <v>27</v>
      </c>
      <c r="CA616" s="2" t="s">
        <v>107</v>
      </c>
      <c r="CB616" s="2"/>
      <c r="CC616" s="2" t="s">
        <v>99</v>
      </c>
      <c r="CD616" s="2">
        <v>6001</v>
      </c>
      <c r="CE616" s="2" t="s">
        <v>782</v>
      </c>
      <c r="CF616" s="5">
        <v>42648</v>
      </c>
      <c r="CG616" s="2"/>
      <c r="CH616" s="2"/>
      <c r="CI616" s="2">
        <v>1</v>
      </c>
      <c r="CJ616" s="2">
        <v>1</v>
      </c>
      <c r="CK616" s="2">
        <v>21</v>
      </c>
      <c r="CL616" s="2" t="s">
        <v>88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"FES1162504368"</f>
        <v>FES1162504368</v>
      </c>
      <c r="F617" s="3">
        <v>42647</v>
      </c>
      <c r="G617" s="2">
        <v>201704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143</v>
      </c>
      <c r="M617" s="2" t="s">
        <v>144</v>
      </c>
      <c r="N617" s="2" t="s">
        <v>475</v>
      </c>
      <c r="O617" s="2" t="s">
        <v>96</v>
      </c>
      <c r="P617" s="2" t="str">
        <f>"2170528079                    "</f>
        <v xml:space="preserve">2170528079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3.03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1</v>
      </c>
      <c r="BJ617" s="2">
        <v>0.2</v>
      </c>
      <c r="BK617" s="2">
        <v>1</v>
      </c>
      <c r="BL617" s="2">
        <v>40.47</v>
      </c>
      <c r="BM617" s="2">
        <v>5.67</v>
      </c>
      <c r="BN617" s="2">
        <v>46.14</v>
      </c>
      <c r="BO617" s="2">
        <v>46.14</v>
      </c>
      <c r="BP617" s="2"/>
      <c r="BQ617" s="2" t="s">
        <v>476</v>
      </c>
      <c r="BR617" s="2" t="s">
        <v>83</v>
      </c>
      <c r="BS617" s="3">
        <v>42648</v>
      </c>
      <c r="BT617" s="4">
        <v>0.41666666666666669</v>
      </c>
      <c r="BU617" s="2" t="s">
        <v>1025</v>
      </c>
      <c r="BV617" s="2" t="s">
        <v>85</v>
      </c>
      <c r="BW617" s="2"/>
      <c r="BX617" s="2"/>
      <c r="BY617" s="2">
        <v>1200</v>
      </c>
      <c r="BZ617" s="2" t="s">
        <v>27</v>
      </c>
      <c r="CA617" s="2"/>
      <c r="CB617" s="2"/>
      <c r="CC617" s="2" t="s">
        <v>144</v>
      </c>
      <c r="CD617" s="2">
        <v>5201</v>
      </c>
      <c r="CE617" s="2" t="s">
        <v>782</v>
      </c>
      <c r="CF617" s="5">
        <v>42649</v>
      </c>
      <c r="CG617" s="2"/>
      <c r="CH617" s="2"/>
      <c r="CI617" s="2">
        <v>1</v>
      </c>
      <c r="CJ617" s="2">
        <v>1</v>
      </c>
      <c r="CK617" s="2">
        <v>21</v>
      </c>
      <c r="CL617" s="2" t="s">
        <v>88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"FES1162504313"</f>
        <v>FES1162504313</v>
      </c>
      <c r="F618" s="3">
        <v>42647</v>
      </c>
      <c r="G618" s="2">
        <v>201704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305</v>
      </c>
      <c r="M618" s="2" t="s">
        <v>306</v>
      </c>
      <c r="N618" s="2" t="s">
        <v>307</v>
      </c>
      <c r="O618" s="2" t="s">
        <v>96</v>
      </c>
      <c r="P618" s="2" t="str">
        <f>"2170527784                    "</f>
        <v xml:space="preserve">2170527784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5.88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1</v>
      </c>
      <c r="BJ618" s="2">
        <v>0.2</v>
      </c>
      <c r="BK618" s="2">
        <v>1</v>
      </c>
      <c r="BL618" s="2">
        <v>78.42</v>
      </c>
      <c r="BM618" s="2">
        <v>10.98</v>
      </c>
      <c r="BN618" s="2">
        <v>89.4</v>
      </c>
      <c r="BO618" s="2">
        <v>89.4</v>
      </c>
      <c r="BP618" s="2"/>
      <c r="BQ618" s="2" t="s">
        <v>308</v>
      </c>
      <c r="BR618" s="2" t="s">
        <v>83</v>
      </c>
      <c r="BS618" s="3">
        <v>42648</v>
      </c>
      <c r="BT618" s="4">
        <v>0.63194444444444442</v>
      </c>
      <c r="BU618" s="2" t="s">
        <v>309</v>
      </c>
      <c r="BV618" s="2" t="s">
        <v>85</v>
      </c>
      <c r="BW618" s="2"/>
      <c r="BX618" s="2"/>
      <c r="BY618" s="2">
        <v>1200</v>
      </c>
      <c r="BZ618" s="2" t="s">
        <v>27</v>
      </c>
      <c r="CA618" s="2"/>
      <c r="CB618" s="2"/>
      <c r="CC618" s="2" t="s">
        <v>306</v>
      </c>
      <c r="CD618" s="2">
        <v>6139</v>
      </c>
      <c r="CE618" s="2" t="s">
        <v>108</v>
      </c>
      <c r="CF618" s="5">
        <v>42653</v>
      </c>
      <c r="CG618" s="2"/>
      <c r="CH618" s="2"/>
      <c r="CI618" s="2">
        <v>3</v>
      </c>
      <c r="CJ618" s="2">
        <v>1</v>
      </c>
      <c r="CK618" s="2">
        <v>23</v>
      </c>
      <c r="CL618" s="2" t="s">
        <v>88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"FES1162504208"</f>
        <v>FES1162504208</v>
      </c>
      <c r="F619" s="3">
        <v>42647</v>
      </c>
      <c r="G619" s="2">
        <v>201704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137</v>
      </c>
      <c r="M619" s="2" t="s">
        <v>138</v>
      </c>
      <c r="N619" s="2" t="s">
        <v>167</v>
      </c>
      <c r="O619" s="2" t="s">
        <v>96</v>
      </c>
      <c r="P619" s="2" t="str">
        <f>"2170525506                    "</f>
        <v xml:space="preserve">2170525506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3.03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1</v>
      </c>
      <c r="BJ619" s="2">
        <v>1.8</v>
      </c>
      <c r="BK619" s="2">
        <v>2</v>
      </c>
      <c r="BL619" s="2">
        <v>40.47</v>
      </c>
      <c r="BM619" s="2">
        <v>5.67</v>
      </c>
      <c r="BN619" s="2">
        <v>46.14</v>
      </c>
      <c r="BO619" s="2">
        <v>46.14</v>
      </c>
      <c r="BP619" s="2"/>
      <c r="BQ619" s="2" t="s">
        <v>168</v>
      </c>
      <c r="BR619" s="2" t="s">
        <v>83</v>
      </c>
      <c r="BS619" s="3">
        <v>42648</v>
      </c>
      <c r="BT619" s="4">
        <v>0.41041666666666665</v>
      </c>
      <c r="BU619" s="2" t="s">
        <v>1026</v>
      </c>
      <c r="BV619" s="2" t="s">
        <v>85</v>
      </c>
      <c r="BW619" s="2"/>
      <c r="BX619" s="2"/>
      <c r="BY619" s="2">
        <v>9203.32</v>
      </c>
      <c r="BZ619" s="2" t="s">
        <v>27</v>
      </c>
      <c r="CA619" s="2" t="s">
        <v>142</v>
      </c>
      <c r="CB619" s="2"/>
      <c r="CC619" s="2" t="s">
        <v>138</v>
      </c>
      <c r="CD619" s="2">
        <v>3201</v>
      </c>
      <c r="CE619" s="2" t="s">
        <v>782</v>
      </c>
      <c r="CF619" s="5">
        <v>42648</v>
      </c>
      <c r="CG619" s="2"/>
      <c r="CH619" s="2"/>
      <c r="CI619" s="2">
        <v>1</v>
      </c>
      <c r="CJ619" s="2">
        <v>1</v>
      </c>
      <c r="CK619" s="2">
        <v>21</v>
      </c>
      <c r="CL619" s="2" t="s">
        <v>88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"FES1162504200"</f>
        <v>FES1162504200</v>
      </c>
      <c r="F620" s="3">
        <v>42647</v>
      </c>
      <c r="G620" s="2">
        <v>201704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98</v>
      </c>
      <c r="M620" s="2" t="s">
        <v>99</v>
      </c>
      <c r="N620" s="2" t="s">
        <v>133</v>
      </c>
      <c r="O620" s="2" t="s">
        <v>96</v>
      </c>
      <c r="P620" s="2" t="str">
        <f>"2170524919                    "</f>
        <v xml:space="preserve">2170524919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3.03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1</v>
      </c>
      <c r="BJ620" s="2">
        <v>0.2</v>
      </c>
      <c r="BK620" s="2">
        <v>1</v>
      </c>
      <c r="BL620" s="2">
        <v>40.47</v>
      </c>
      <c r="BM620" s="2">
        <v>5.67</v>
      </c>
      <c r="BN620" s="2">
        <v>46.14</v>
      </c>
      <c r="BO620" s="2">
        <v>46.14</v>
      </c>
      <c r="BP620" s="2"/>
      <c r="BQ620" s="2" t="s">
        <v>134</v>
      </c>
      <c r="BR620" s="2" t="s">
        <v>83</v>
      </c>
      <c r="BS620" s="3">
        <v>42648</v>
      </c>
      <c r="BT620" s="4">
        <v>0.3298611111111111</v>
      </c>
      <c r="BU620" s="2" t="s">
        <v>478</v>
      </c>
      <c r="BV620" s="2" t="s">
        <v>85</v>
      </c>
      <c r="BW620" s="2"/>
      <c r="BX620" s="2"/>
      <c r="BY620" s="2">
        <v>1200</v>
      </c>
      <c r="BZ620" s="2" t="s">
        <v>27</v>
      </c>
      <c r="CA620" s="2"/>
      <c r="CB620" s="2"/>
      <c r="CC620" s="2" t="s">
        <v>99</v>
      </c>
      <c r="CD620" s="2">
        <v>6001</v>
      </c>
      <c r="CE620" s="2" t="s">
        <v>782</v>
      </c>
      <c r="CF620" s="5">
        <v>42649</v>
      </c>
      <c r="CG620" s="2"/>
      <c r="CH620" s="2"/>
      <c r="CI620" s="2">
        <v>1</v>
      </c>
      <c r="CJ620" s="2">
        <v>1</v>
      </c>
      <c r="CK620" s="2">
        <v>21</v>
      </c>
      <c r="CL620" s="2" t="s">
        <v>88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"FES1162504286"</f>
        <v>FES1162504286</v>
      </c>
      <c r="F621" s="3">
        <v>42647</v>
      </c>
      <c r="G621" s="2">
        <v>201704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137</v>
      </c>
      <c r="M621" s="2" t="s">
        <v>138</v>
      </c>
      <c r="N621" s="2" t="s">
        <v>203</v>
      </c>
      <c r="O621" s="2" t="s">
        <v>96</v>
      </c>
      <c r="P621" s="2" t="str">
        <f>"2170526048                    "</f>
        <v xml:space="preserve">2170526048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3.03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</v>
      </c>
      <c r="BJ621" s="2">
        <v>0.2</v>
      </c>
      <c r="BK621" s="2">
        <v>1</v>
      </c>
      <c r="BL621" s="2">
        <v>40.47</v>
      </c>
      <c r="BM621" s="2">
        <v>5.67</v>
      </c>
      <c r="BN621" s="2">
        <v>46.14</v>
      </c>
      <c r="BO621" s="2">
        <v>46.14</v>
      </c>
      <c r="BP621" s="2"/>
      <c r="BQ621" s="2" t="s">
        <v>168</v>
      </c>
      <c r="BR621" s="2" t="s">
        <v>83</v>
      </c>
      <c r="BS621" s="3">
        <v>42648</v>
      </c>
      <c r="BT621" s="4">
        <v>0.37777777777777777</v>
      </c>
      <c r="BU621" s="2" t="s">
        <v>768</v>
      </c>
      <c r="BV621" s="2"/>
      <c r="BW621" s="2"/>
      <c r="BX621" s="2"/>
      <c r="BY621" s="2">
        <v>1200</v>
      </c>
      <c r="BZ621" s="2" t="s">
        <v>27</v>
      </c>
      <c r="CA621" s="2" t="s">
        <v>613</v>
      </c>
      <c r="CB621" s="2"/>
      <c r="CC621" s="2" t="s">
        <v>138</v>
      </c>
      <c r="CD621" s="2">
        <v>3201</v>
      </c>
      <c r="CE621" s="2" t="s">
        <v>782</v>
      </c>
      <c r="CF621" s="5">
        <v>42648</v>
      </c>
      <c r="CG621" s="2"/>
      <c r="CH621" s="2"/>
      <c r="CI621" s="2">
        <v>0</v>
      </c>
      <c r="CJ621" s="2">
        <v>0</v>
      </c>
      <c r="CK621" s="2">
        <v>21</v>
      </c>
      <c r="CL621" s="2" t="s">
        <v>88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"FES1162504188"</f>
        <v>FES1162504188</v>
      </c>
      <c r="F622" s="3">
        <v>42647</v>
      </c>
      <c r="G622" s="2">
        <v>201704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269</v>
      </c>
      <c r="M622" s="2" t="s">
        <v>270</v>
      </c>
      <c r="N622" s="2" t="s">
        <v>523</v>
      </c>
      <c r="O622" s="2" t="s">
        <v>96</v>
      </c>
      <c r="P622" s="2" t="str">
        <f>"2170524072                    "</f>
        <v xml:space="preserve">2170524072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3.03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1</v>
      </c>
      <c r="BJ622" s="2">
        <v>0.2</v>
      </c>
      <c r="BK622" s="2">
        <v>1</v>
      </c>
      <c r="BL622" s="2">
        <v>40.47</v>
      </c>
      <c r="BM622" s="2">
        <v>5.67</v>
      </c>
      <c r="BN622" s="2">
        <v>46.14</v>
      </c>
      <c r="BO622" s="2">
        <v>46.14</v>
      </c>
      <c r="BP622" s="2"/>
      <c r="BQ622" s="2" t="s">
        <v>524</v>
      </c>
      <c r="BR622" s="2" t="s">
        <v>83</v>
      </c>
      <c r="BS622" s="3">
        <v>42648</v>
      </c>
      <c r="BT622" s="4">
        <v>0.33888888888888885</v>
      </c>
      <c r="BU622" s="2" t="s">
        <v>525</v>
      </c>
      <c r="BV622" s="2" t="s">
        <v>85</v>
      </c>
      <c r="BW622" s="2"/>
      <c r="BX622" s="2"/>
      <c r="BY622" s="2">
        <v>1200</v>
      </c>
      <c r="BZ622" s="2" t="s">
        <v>27</v>
      </c>
      <c r="CA622" s="2"/>
      <c r="CB622" s="2"/>
      <c r="CC622" s="2" t="s">
        <v>270</v>
      </c>
      <c r="CD622" s="2">
        <v>3610</v>
      </c>
      <c r="CE622" s="2" t="s">
        <v>782</v>
      </c>
      <c r="CF622" s="5">
        <v>42648</v>
      </c>
      <c r="CG622" s="2"/>
      <c r="CH622" s="2"/>
      <c r="CI622" s="2">
        <v>1</v>
      </c>
      <c r="CJ622" s="2">
        <v>1</v>
      </c>
      <c r="CK622" s="2">
        <v>21</v>
      </c>
      <c r="CL622" s="2" t="s">
        <v>88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"FES1162504205"</f>
        <v>FES1162504205</v>
      </c>
      <c r="F623" s="3">
        <v>42647</v>
      </c>
      <c r="G623" s="2">
        <v>201704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98</v>
      </c>
      <c r="M623" s="2" t="s">
        <v>99</v>
      </c>
      <c r="N623" s="2" t="s">
        <v>109</v>
      </c>
      <c r="O623" s="2" t="s">
        <v>96</v>
      </c>
      <c r="P623" s="2" t="str">
        <f>"2170525464                    "</f>
        <v xml:space="preserve">2170525464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3.03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1</v>
      </c>
      <c r="BJ623" s="2">
        <v>0.2</v>
      </c>
      <c r="BK623" s="2">
        <v>1</v>
      </c>
      <c r="BL623" s="2">
        <v>40.47</v>
      </c>
      <c r="BM623" s="2">
        <v>5.67</v>
      </c>
      <c r="BN623" s="2">
        <v>46.14</v>
      </c>
      <c r="BO623" s="2">
        <v>46.14</v>
      </c>
      <c r="BP623" s="2"/>
      <c r="BQ623" s="2" t="s">
        <v>110</v>
      </c>
      <c r="BR623" s="2" t="s">
        <v>83</v>
      </c>
      <c r="BS623" s="3">
        <v>42648</v>
      </c>
      <c r="BT623" s="4">
        <v>0.39583333333333331</v>
      </c>
      <c r="BU623" s="2" t="s">
        <v>111</v>
      </c>
      <c r="BV623" s="2" t="s">
        <v>85</v>
      </c>
      <c r="BW623" s="2"/>
      <c r="BX623" s="2"/>
      <c r="BY623" s="2">
        <v>1200</v>
      </c>
      <c r="BZ623" s="2" t="s">
        <v>27</v>
      </c>
      <c r="CA623" s="2" t="s">
        <v>107</v>
      </c>
      <c r="CB623" s="2"/>
      <c r="CC623" s="2" t="s">
        <v>99</v>
      </c>
      <c r="CD623" s="2">
        <v>6001</v>
      </c>
      <c r="CE623" s="2" t="s">
        <v>782</v>
      </c>
      <c r="CF623" s="5">
        <v>42648</v>
      </c>
      <c r="CG623" s="2"/>
      <c r="CH623" s="2"/>
      <c r="CI623" s="2">
        <v>1</v>
      </c>
      <c r="CJ623" s="2">
        <v>1</v>
      </c>
      <c r="CK623" s="2">
        <v>21</v>
      </c>
      <c r="CL623" s="2" t="s">
        <v>88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"FES1162504230"</f>
        <v>FES1162504230</v>
      </c>
      <c r="F624" s="3">
        <v>42647</v>
      </c>
      <c r="G624" s="2">
        <v>201704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93</v>
      </c>
      <c r="M624" s="2" t="s">
        <v>94</v>
      </c>
      <c r="N624" s="2" t="s">
        <v>1027</v>
      </c>
      <c r="O624" s="2" t="s">
        <v>96</v>
      </c>
      <c r="P624" s="2" t="str">
        <f>"2170526360                    "</f>
        <v xml:space="preserve">2170526360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5.31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1</v>
      </c>
      <c r="BI624" s="2">
        <v>1</v>
      </c>
      <c r="BJ624" s="2">
        <v>3.3</v>
      </c>
      <c r="BK624" s="2">
        <v>3.5</v>
      </c>
      <c r="BL624" s="2">
        <v>70.83</v>
      </c>
      <c r="BM624" s="2">
        <v>9.92</v>
      </c>
      <c r="BN624" s="2">
        <v>80.75</v>
      </c>
      <c r="BO624" s="2">
        <v>80.75</v>
      </c>
      <c r="BP624" s="2"/>
      <c r="BQ624" s="2" t="s">
        <v>1028</v>
      </c>
      <c r="BR624" s="2" t="s">
        <v>83</v>
      </c>
      <c r="BS624" s="3">
        <v>42648</v>
      </c>
      <c r="BT624" s="4">
        <v>0.375</v>
      </c>
      <c r="BU624" s="2" t="s">
        <v>830</v>
      </c>
      <c r="BV624" s="2" t="s">
        <v>85</v>
      </c>
      <c r="BW624" s="2"/>
      <c r="BX624" s="2"/>
      <c r="BY624" s="2">
        <v>16744.46</v>
      </c>
      <c r="BZ624" s="2" t="s">
        <v>27</v>
      </c>
      <c r="CA624" s="2"/>
      <c r="CB624" s="2"/>
      <c r="CC624" s="2" t="s">
        <v>94</v>
      </c>
      <c r="CD624" s="2">
        <v>4300</v>
      </c>
      <c r="CE624" s="2" t="s">
        <v>782</v>
      </c>
      <c r="CF624" s="5">
        <v>42649</v>
      </c>
      <c r="CG624" s="2"/>
      <c r="CH624" s="2"/>
      <c r="CI624" s="2">
        <v>1</v>
      </c>
      <c r="CJ624" s="2">
        <v>1</v>
      </c>
      <c r="CK624" s="2">
        <v>21</v>
      </c>
      <c r="CL624" s="2" t="s">
        <v>88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"FES1162504305"</f>
        <v>FES1162504305</v>
      </c>
      <c r="F625" s="3">
        <v>42647</v>
      </c>
      <c r="G625" s="2">
        <v>201704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269</v>
      </c>
      <c r="M625" s="2" t="s">
        <v>270</v>
      </c>
      <c r="N625" s="2" t="s">
        <v>565</v>
      </c>
      <c r="O625" s="2" t="s">
        <v>96</v>
      </c>
      <c r="P625" s="2" t="str">
        <f>"2170527996                    "</f>
        <v xml:space="preserve">2170527996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3.03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</v>
      </c>
      <c r="BJ625" s="2">
        <v>0.2</v>
      </c>
      <c r="BK625" s="2">
        <v>1</v>
      </c>
      <c r="BL625" s="2">
        <v>40.47</v>
      </c>
      <c r="BM625" s="2">
        <v>5.67</v>
      </c>
      <c r="BN625" s="2">
        <v>46.14</v>
      </c>
      <c r="BO625" s="2">
        <v>46.14</v>
      </c>
      <c r="BP625" s="2"/>
      <c r="BQ625" s="2" t="s">
        <v>566</v>
      </c>
      <c r="BR625" s="2" t="s">
        <v>83</v>
      </c>
      <c r="BS625" s="3">
        <v>42648</v>
      </c>
      <c r="BT625" s="4">
        <v>0.40138888888888885</v>
      </c>
      <c r="BU625" s="2" t="s">
        <v>1029</v>
      </c>
      <c r="BV625" s="2" t="s">
        <v>85</v>
      </c>
      <c r="BW625" s="2"/>
      <c r="BX625" s="2"/>
      <c r="BY625" s="2">
        <v>1200</v>
      </c>
      <c r="BZ625" s="2" t="s">
        <v>27</v>
      </c>
      <c r="CA625" s="2"/>
      <c r="CB625" s="2"/>
      <c r="CC625" s="2" t="s">
        <v>270</v>
      </c>
      <c r="CD625" s="2">
        <v>3620</v>
      </c>
      <c r="CE625" s="2" t="s">
        <v>782</v>
      </c>
      <c r="CF625" s="5">
        <v>42648</v>
      </c>
      <c r="CG625" s="2"/>
      <c r="CH625" s="2"/>
      <c r="CI625" s="2">
        <v>1</v>
      </c>
      <c r="CJ625" s="2">
        <v>1</v>
      </c>
      <c r="CK625" s="2">
        <v>21</v>
      </c>
      <c r="CL625" s="2" t="s">
        <v>88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"FES1162504192"</f>
        <v>FES1162504192</v>
      </c>
      <c r="F626" s="3">
        <v>42647</v>
      </c>
      <c r="G626" s="2">
        <v>201704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171</v>
      </c>
      <c r="M626" s="2" t="s">
        <v>172</v>
      </c>
      <c r="N626" s="2" t="s">
        <v>429</v>
      </c>
      <c r="O626" s="2" t="s">
        <v>96</v>
      </c>
      <c r="P626" s="2" t="str">
        <f>"2170524215                    "</f>
        <v xml:space="preserve">2170524215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3.03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1</v>
      </c>
      <c r="BJ626" s="2">
        <v>0.2</v>
      </c>
      <c r="BK626" s="2">
        <v>1</v>
      </c>
      <c r="BL626" s="2">
        <v>40.47</v>
      </c>
      <c r="BM626" s="2">
        <v>5.67</v>
      </c>
      <c r="BN626" s="2">
        <v>46.14</v>
      </c>
      <c r="BO626" s="2">
        <v>46.14</v>
      </c>
      <c r="BP626" s="2"/>
      <c r="BQ626" s="2" t="s">
        <v>430</v>
      </c>
      <c r="BR626" s="2" t="s">
        <v>83</v>
      </c>
      <c r="BS626" s="3">
        <v>42648</v>
      </c>
      <c r="BT626" s="4">
        <v>0.41666666666666669</v>
      </c>
      <c r="BU626" s="2" t="s">
        <v>956</v>
      </c>
      <c r="BV626" s="2" t="s">
        <v>85</v>
      </c>
      <c r="BW626" s="2"/>
      <c r="BX626" s="2"/>
      <c r="BY626" s="2">
        <v>1200</v>
      </c>
      <c r="BZ626" s="2" t="s">
        <v>27</v>
      </c>
      <c r="CA626" s="2" t="s">
        <v>129</v>
      </c>
      <c r="CB626" s="2"/>
      <c r="CC626" s="2" t="s">
        <v>172</v>
      </c>
      <c r="CD626" s="2">
        <v>6220</v>
      </c>
      <c r="CE626" s="2" t="s">
        <v>782</v>
      </c>
      <c r="CF626" s="5">
        <v>42649</v>
      </c>
      <c r="CG626" s="2"/>
      <c r="CH626" s="2"/>
      <c r="CI626" s="2">
        <v>1</v>
      </c>
      <c r="CJ626" s="2">
        <v>1</v>
      </c>
      <c r="CK626" s="2">
        <v>21</v>
      </c>
      <c r="CL626" s="2" t="s">
        <v>88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"FES1162504170"</f>
        <v>FES1162504170</v>
      </c>
      <c r="F627" s="3">
        <v>42647</v>
      </c>
      <c r="G627" s="2">
        <v>201704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323</v>
      </c>
      <c r="M627" s="2" t="s">
        <v>324</v>
      </c>
      <c r="N627" s="2" t="s">
        <v>325</v>
      </c>
      <c r="O627" s="2" t="s">
        <v>96</v>
      </c>
      <c r="P627" s="2" t="str">
        <f>"2170520931                    "</f>
        <v xml:space="preserve">2170520931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3.03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</v>
      </c>
      <c r="BJ627" s="2">
        <v>0.2</v>
      </c>
      <c r="BK627" s="2">
        <v>1</v>
      </c>
      <c r="BL627" s="2">
        <v>40.47</v>
      </c>
      <c r="BM627" s="2">
        <v>5.67</v>
      </c>
      <c r="BN627" s="2">
        <v>46.14</v>
      </c>
      <c r="BO627" s="2">
        <v>46.14</v>
      </c>
      <c r="BP627" s="2"/>
      <c r="BQ627" s="2" t="s">
        <v>117</v>
      </c>
      <c r="BR627" s="2" t="s">
        <v>83</v>
      </c>
      <c r="BS627" s="3">
        <v>42648</v>
      </c>
      <c r="BT627" s="4">
        <v>0.375</v>
      </c>
      <c r="BU627" s="2" t="s">
        <v>1030</v>
      </c>
      <c r="BV627" s="2"/>
      <c r="BW627" s="2"/>
      <c r="BX627" s="2"/>
      <c r="BY627" s="2">
        <v>1200</v>
      </c>
      <c r="BZ627" s="2" t="s">
        <v>27</v>
      </c>
      <c r="CA627" s="2"/>
      <c r="CB627" s="2"/>
      <c r="CC627" s="2" t="s">
        <v>324</v>
      </c>
      <c r="CD627" s="2">
        <v>9301</v>
      </c>
      <c r="CE627" s="2" t="s">
        <v>782</v>
      </c>
      <c r="CF627" s="5">
        <v>42649</v>
      </c>
      <c r="CG627" s="2"/>
      <c r="CH627" s="2"/>
      <c r="CI627" s="2">
        <v>0</v>
      </c>
      <c r="CJ627" s="2">
        <v>0</v>
      </c>
      <c r="CK627" s="2">
        <v>21</v>
      </c>
      <c r="CL627" s="2" t="s">
        <v>88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"FES1162504371"</f>
        <v>FES1162504371</v>
      </c>
      <c r="F628" s="3">
        <v>42647</v>
      </c>
      <c r="G628" s="2">
        <v>201704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148</v>
      </c>
      <c r="M628" s="2" t="s">
        <v>149</v>
      </c>
      <c r="N628" s="2" t="s">
        <v>473</v>
      </c>
      <c r="O628" s="2" t="s">
        <v>96</v>
      </c>
      <c r="P628" s="2" t="str">
        <f>"2170528059                    "</f>
        <v xml:space="preserve">2170528059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3.03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1</v>
      </c>
      <c r="BJ628" s="2">
        <v>0.2</v>
      </c>
      <c r="BK628" s="2">
        <v>1</v>
      </c>
      <c r="BL628" s="2">
        <v>40.47</v>
      </c>
      <c r="BM628" s="2">
        <v>5.67</v>
      </c>
      <c r="BN628" s="2">
        <v>46.14</v>
      </c>
      <c r="BO628" s="2">
        <v>46.14</v>
      </c>
      <c r="BP628" s="2"/>
      <c r="BQ628" s="2" t="s">
        <v>117</v>
      </c>
      <c r="BR628" s="2" t="s">
        <v>83</v>
      </c>
      <c r="BS628" s="3">
        <v>42648</v>
      </c>
      <c r="BT628" s="4">
        <v>0.30902777777777779</v>
      </c>
      <c r="BU628" s="2" t="s">
        <v>728</v>
      </c>
      <c r="BV628" s="2" t="s">
        <v>85</v>
      </c>
      <c r="BW628" s="2"/>
      <c r="BX628" s="2"/>
      <c r="BY628" s="2">
        <v>1200</v>
      </c>
      <c r="BZ628" s="2" t="s">
        <v>27</v>
      </c>
      <c r="CA628" s="2" t="s">
        <v>129</v>
      </c>
      <c r="CB628" s="2"/>
      <c r="CC628" s="2" t="s">
        <v>149</v>
      </c>
      <c r="CD628" s="2">
        <v>4052</v>
      </c>
      <c r="CE628" s="2" t="s">
        <v>782</v>
      </c>
      <c r="CF628" s="5">
        <v>42649</v>
      </c>
      <c r="CG628" s="2"/>
      <c r="CH628" s="2"/>
      <c r="CI628" s="2">
        <v>1</v>
      </c>
      <c r="CJ628" s="2">
        <v>1</v>
      </c>
      <c r="CK628" s="2">
        <v>21</v>
      </c>
      <c r="CL628" s="2" t="s">
        <v>88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"FES1162504280"</f>
        <v>FES1162504280</v>
      </c>
      <c r="F629" s="3">
        <v>42647</v>
      </c>
      <c r="G629" s="2">
        <v>201704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98</v>
      </c>
      <c r="M629" s="2" t="s">
        <v>99</v>
      </c>
      <c r="N629" s="2" t="s">
        <v>1031</v>
      </c>
      <c r="O629" s="2" t="s">
        <v>96</v>
      </c>
      <c r="P629" s="2" t="str">
        <f>"2170523347                    "</f>
        <v xml:space="preserve">2170523347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3.03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1</v>
      </c>
      <c r="BJ629" s="2">
        <v>0.2</v>
      </c>
      <c r="BK629" s="2">
        <v>1</v>
      </c>
      <c r="BL629" s="2">
        <v>40.47</v>
      </c>
      <c r="BM629" s="2">
        <v>5.67</v>
      </c>
      <c r="BN629" s="2">
        <v>46.14</v>
      </c>
      <c r="BO629" s="2">
        <v>46.14</v>
      </c>
      <c r="BP629" s="2"/>
      <c r="BQ629" s="2" t="s">
        <v>1032</v>
      </c>
      <c r="BR629" s="2" t="s">
        <v>83</v>
      </c>
      <c r="BS629" s="3">
        <v>42648</v>
      </c>
      <c r="BT629" s="4">
        <v>0.37847222222222227</v>
      </c>
      <c r="BU629" s="2" t="s">
        <v>1033</v>
      </c>
      <c r="BV629" s="2" t="s">
        <v>85</v>
      </c>
      <c r="BW629" s="2"/>
      <c r="BX629" s="2"/>
      <c r="BY629" s="2">
        <v>1200</v>
      </c>
      <c r="BZ629" s="2" t="s">
        <v>27</v>
      </c>
      <c r="CA629" s="2"/>
      <c r="CB629" s="2"/>
      <c r="CC629" s="2" t="s">
        <v>99</v>
      </c>
      <c r="CD629" s="2">
        <v>6001</v>
      </c>
      <c r="CE629" s="2" t="s">
        <v>782</v>
      </c>
      <c r="CF629" s="5">
        <v>42649</v>
      </c>
      <c r="CG629" s="2"/>
      <c r="CH629" s="2"/>
      <c r="CI629" s="2">
        <v>1</v>
      </c>
      <c r="CJ629" s="2">
        <v>1</v>
      </c>
      <c r="CK629" s="2">
        <v>21</v>
      </c>
      <c r="CL629" s="2" t="s">
        <v>88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"FES1162504223"</f>
        <v>FES1162504223</v>
      </c>
      <c r="F630" s="3">
        <v>42647</v>
      </c>
      <c r="G630" s="2">
        <v>201704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98</v>
      </c>
      <c r="M630" s="2" t="s">
        <v>99</v>
      </c>
      <c r="N630" s="2" t="s">
        <v>190</v>
      </c>
      <c r="O630" s="2" t="s">
        <v>96</v>
      </c>
      <c r="P630" s="2" t="str">
        <f>"2170526025                    "</f>
        <v xml:space="preserve">2170526025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3.03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1</v>
      </c>
      <c r="BJ630" s="2">
        <v>0.2</v>
      </c>
      <c r="BK630" s="2">
        <v>1</v>
      </c>
      <c r="BL630" s="2">
        <v>40.47</v>
      </c>
      <c r="BM630" s="2">
        <v>5.67</v>
      </c>
      <c r="BN630" s="2">
        <v>46.14</v>
      </c>
      <c r="BO630" s="2">
        <v>46.14</v>
      </c>
      <c r="BP630" s="2"/>
      <c r="BQ630" s="2" t="s">
        <v>1034</v>
      </c>
      <c r="BR630" s="2" t="s">
        <v>83</v>
      </c>
      <c r="BS630" s="3">
        <v>42648</v>
      </c>
      <c r="BT630" s="4">
        <v>0.33402777777777781</v>
      </c>
      <c r="BU630" s="2" t="s">
        <v>956</v>
      </c>
      <c r="BV630" s="2" t="s">
        <v>85</v>
      </c>
      <c r="BW630" s="2"/>
      <c r="BX630" s="2"/>
      <c r="BY630" s="2">
        <v>1200</v>
      </c>
      <c r="BZ630" s="2" t="s">
        <v>27</v>
      </c>
      <c r="CA630" s="2" t="s">
        <v>129</v>
      </c>
      <c r="CB630" s="2"/>
      <c r="CC630" s="2" t="s">
        <v>99</v>
      </c>
      <c r="CD630" s="2">
        <v>6001</v>
      </c>
      <c r="CE630" s="2" t="s">
        <v>782</v>
      </c>
      <c r="CF630" s="5">
        <v>42649</v>
      </c>
      <c r="CG630" s="2"/>
      <c r="CH630" s="2"/>
      <c r="CI630" s="2">
        <v>1</v>
      </c>
      <c r="CJ630" s="2">
        <v>1</v>
      </c>
      <c r="CK630" s="2">
        <v>21</v>
      </c>
      <c r="CL630" s="2" t="s">
        <v>88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"FES1162504210"</f>
        <v>FES1162504210</v>
      </c>
      <c r="F631" s="3">
        <v>42647</v>
      </c>
      <c r="G631" s="2">
        <v>201704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269</v>
      </c>
      <c r="M631" s="2" t="s">
        <v>270</v>
      </c>
      <c r="N631" s="2" t="s">
        <v>1035</v>
      </c>
      <c r="O631" s="2" t="s">
        <v>96</v>
      </c>
      <c r="P631" s="2" t="str">
        <f>"2170525522                    "</f>
        <v xml:space="preserve">2170525522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3.03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1</v>
      </c>
      <c r="BJ631" s="2">
        <v>1.9</v>
      </c>
      <c r="BK631" s="2">
        <v>2</v>
      </c>
      <c r="BL631" s="2">
        <v>40.47</v>
      </c>
      <c r="BM631" s="2">
        <v>5.67</v>
      </c>
      <c r="BN631" s="2">
        <v>46.14</v>
      </c>
      <c r="BO631" s="2">
        <v>46.14</v>
      </c>
      <c r="BP631" s="2"/>
      <c r="BQ631" s="2" t="s">
        <v>168</v>
      </c>
      <c r="BR631" s="2" t="s">
        <v>83</v>
      </c>
      <c r="BS631" s="3">
        <v>42648</v>
      </c>
      <c r="BT631" s="4">
        <v>0.39930555555555558</v>
      </c>
      <c r="BU631" s="2" t="s">
        <v>1036</v>
      </c>
      <c r="BV631" s="2" t="s">
        <v>85</v>
      </c>
      <c r="BW631" s="2"/>
      <c r="BX631" s="2"/>
      <c r="BY631" s="2">
        <v>9472.32</v>
      </c>
      <c r="BZ631" s="2" t="s">
        <v>27</v>
      </c>
      <c r="CA631" s="2"/>
      <c r="CB631" s="2"/>
      <c r="CC631" s="2" t="s">
        <v>270</v>
      </c>
      <c r="CD631" s="2">
        <v>3610</v>
      </c>
      <c r="CE631" s="2" t="s">
        <v>782</v>
      </c>
      <c r="CF631" s="5">
        <v>42649</v>
      </c>
      <c r="CG631" s="2"/>
      <c r="CH631" s="2"/>
      <c r="CI631" s="2">
        <v>1</v>
      </c>
      <c r="CJ631" s="2">
        <v>1</v>
      </c>
      <c r="CK631" s="2">
        <v>21</v>
      </c>
      <c r="CL631" s="2" t="s">
        <v>88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"FES1162504240"</f>
        <v>FES1162504240</v>
      </c>
      <c r="F632" s="3">
        <v>42647</v>
      </c>
      <c r="G632" s="2">
        <v>201704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98</v>
      </c>
      <c r="M632" s="2" t="s">
        <v>99</v>
      </c>
      <c r="N632" s="2" t="s">
        <v>1037</v>
      </c>
      <c r="O632" s="2" t="s">
        <v>96</v>
      </c>
      <c r="P632" s="2" t="str">
        <f>"2170526590                    "</f>
        <v xml:space="preserve">2170526590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3.03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</v>
      </c>
      <c r="BJ632" s="2">
        <v>0.2</v>
      </c>
      <c r="BK632" s="2">
        <v>1</v>
      </c>
      <c r="BL632" s="2">
        <v>40.47</v>
      </c>
      <c r="BM632" s="2">
        <v>5.67</v>
      </c>
      <c r="BN632" s="2">
        <v>46.14</v>
      </c>
      <c r="BO632" s="2">
        <v>46.14</v>
      </c>
      <c r="BP632" s="2"/>
      <c r="BQ632" s="2" t="s">
        <v>1038</v>
      </c>
      <c r="BR632" s="2" t="s">
        <v>83</v>
      </c>
      <c r="BS632" s="3">
        <v>42648</v>
      </c>
      <c r="BT632" s="4">
        <v>0.42708333333333331</v>
      </c>
      <c r="BU632" s="2" t="s">
        <v>1039</v>
      </c>
      <c r="BV632" s="2" t="s">
        <v>85</v>
      </c>
      <c r="BW632" s="2"/>
      <c r="BX632" s="2"/>
      <c r="BY632" s="2">
        <v>1200</v>
      </c>
      <c r="BZ632" s="2" t="s">
        <v>27</v>
      </c>
      <c r="CA632" s="2"/>
      <c r="CB632" s="2"/>
      <c r="CC632" s="2" t="s">
        <v>99</v>
      </c>
      <c r="CD632" s="2">
        <v>6001</v>
      </c>
      <c r="CE632" s="2" t="s">
        <v>782</v>
      </c>
      <c r="CF632" s="5">
        <v>42649</v>
      </c>
      <c r="CG632" s="2"/>
      <c r="CH632" s="2"/>
      <c r="CI632" s="2">
        <v>1</v>
      </c>
      <c r="CJ632" s="2">
        <v>1</v>
      </c>
      <c r="CK632" s="2">
        <v>21</v>
      </c>
      <c r="CL632" s="2" t="s">
        <v>88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"FES1162504187"</f>
        <v>FES1162504187</v>
      </c>
      <c r="F633" s="3">
        <v>42647</v>
      </c>
      <c r="G633" s="2">
        <v>201704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98</v>
      </c>
      <c r="M633" s="2" t="s">
        <v>99</v>
      </c>
      <c r="N633" s="2" t="s">
        <v>224</v>
      </c>
      <c r="O633" s="2" t="s">
        <v>96</v>
      </c>
      <c r="P633" s="2" t="str">
        <f>"2170524055                    "</f>
        <v xml:space="preserve">2170524055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3.03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40.47</v>
      </c>
      <c r="BM633" s="2">
        <v>5.67</v>
      </c>
      <c r="BN633" s="2">
        <v>46.14</v>
      </c>
      <c r="BO633" s="2">
        <v>46.14</v>
      </c>
      <c r="BP633" s="2"/>
      <c r="BQ633" s="2" t="s">
        <v>225</v>
      </c>
      <c r="BR633" s="2" t="s">
        <v>83</v>
      </c>
      <c r="BS633" s="3">
        <v>42648</v>
      </c>
      <c r="BT633" s="4">
        <v>0.32291666666666669</v>
      </c>
      <c r="BU633" s="2" t="s">
        <v>1023</v>
      </c>
      <c r="BV633" s="2" t="s">
        <v>85</v>
      </c>
      <c r="BW633" s="2"/>
      <c r="BX633" s="2"/>
      <c r="BY633" s="2">
        <v>1200</v>
      </c>
      <c r="BZ633" s="2" t="s">
        <v>27</v>
      </c>
      <c r="CA633" s="2"/>
      <c r="CB633" s="2"/>
      <c r="CC633" s="2" t="s">
        <v>99</v>
      </c>
      <c r="CD633" s="2">
        <v>6001</v>
      </c>
      <c r="CE633" s="2" t="s">
        <v>782</v>
      </c>
      <c r="CF633" s="5">
        <v>42649</v>
      </c>
      <c r="CG633" s="2"/>
      <c r="CH633" s="2"/>
      <c r="CI633" s="2">
        <v>1</v>
      </c>
      <c r="CJ633" s="2">
        <v>1</v>
      </c>
      <c r="CK633" s="2">
        <v>21</v>
      </c>
      <c r="CL633" s="2" t="s">
        <v>88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"FES1162504271"</f>
        <v>FES1162504271</v>
      </c>
      <c r="F634" s="3">
        <v>42647</v>
      </c>
      <c r="G634" s="2">
        <v>201704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98</v>
      </c>
      <c r="M634" s="2" t="s">
        <v>99</v>
      </c>
      <c r="N634" s="2" t="s">
        <v>109</v>
      </c>
      <c r="O634" s="2" t="s">
        <v>96</v>
      </c>
      <c r="P634" s="2" t="str">
        <f>"2170527675                    "</f>
        <v xml:space="preserve">2170527675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3.03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1</v>
      </c>
      <c r="BJ634" s="2">
        <v>1.6</v>
      </c>
      <c r="BK634" s="2">
        <v>2</v>
      </c>
      <c r="BL634" s="2">
        <v>40.47</v>
      </c>
      <c r="BM634" s="2">
        <v>5.67</v>
      </c>
      <c r="BN634" s="2">
        <v>46.14</v>
      </c>
      <c r="BO634" s="2">
        <v>46.14</v>
      </c>
      <c r="BP634" s="2"/>
      <c r="BQ634" s="2" t="s">
        <v>110</v>
      </c>
      <c r="BR634" s="2" t="s">
        <v>83</v>
      </c>
      <c r="BS634" s="3">
        <v>42648</v>
      </c>
      <c r="BT634" s="4">
        <v>0.39583333333333331</v>
      </c>
      <c r="BU634" s="2" t="s">
        <v>111</v>
      </c>
      <c r="BV634" s="2" t="s">
        <v>85</v>
      </c>
      <c r="BW634" s="2"/>
      <c r="BX634" s="2"/>
      <c r="BY634" s="2">
        <v>8115.32</v>
      </c>
      <c r="BZ634" s="2" t="s">
        <v>27</v>
      </c>
      <c r="CA634" s="2" t="s">
        <v>107</v>
      </c>
      <c r="CB634" s="2"/>
      <c r="CC634" s="2" t="s">
        <v>99</v>
      </c>
      <c r="CD634" s="2">
        <v>6001</v>
      </c>
      <c r="CE634" s="2" t="s">
        <v>782</v>
      </c>
      <c r="CF634" s="5">
        <v>42648</v>
      </c>
      <c r="CG634" s="2"/>
      <c r="CH634" s="2"/>
      <c r="CI634" s="2">
        <v>1</v>
      </c>
      <c r="CJ634" s="2">
        <v>1</v>
      </c>
      <c r="CK634" s="2">
        <v>21</v>
      </c>
      <c r="CL634" s="2" t="s">
        <v>88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"FES1162504302"</f>
        <v>FES1162504302</v>
      </c>
      <c r="F635" s="3">
        <v>42647</v>
      </c>
      <c r="G635" s="2">
        <v>201704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98</v>
      </c>
      <c r="M635" s="2" t="s">
        <v>99</v>
      </c>
      <c r="N635" s="2" t="s">
        <v>1040</v>
      </c>
      <c r="O635" s="2" t="s">
        <v>96</v>
      </c>
      <c r="P635" s="2" t="str">
        <f>"2170527994                    "</f>
        <v xml:space="preserve">2170527994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3.03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1</v>
      </c>
      <c r="BJ635" s="2">
        <v>0.2</v>
      </c>
      <c r="BK635" s="2">
        <v>1</v>
      </c>
      <c r="BL635" s="2">
        <v>40.47</v>
      </c>
      <c r="BM635" s="2">
        <v>5.67</v>
      </c>
      <c r="BN635" s="2">
        <v>46.14</v>
      </c>
      <c r="BO635" s="2">
        <v>46.14</v>
      </c>
      <c r="BP635" s="2"/>
      <c r="BQ635" s="2" t="s">
        <v>602</v>
      </c>
      <c r="BR635" s="2" t="s">
        <v>83</v>
      </c>
      <c r="BS635" s="3">
        <v>42648</v>
      </c>
      <c r="BT635" s="4">
        <v>0.4368055555555555</v>
      </c>
      <c r="BU635" s="2" t="s">
        <v>1041</v>
      </c>
      <c r="BV635" s="2" t="s">
        <v>85</v>
      </c>
      <c r="BW635" s="2"/>
      <c r="BX635" s="2"/>
      <c r="BY635" s="2">
        <v>1200</v>
      </c>
      <c r="BZ635" s="2" t="s">
        <v>27</v>
      </c>
      <c r="CA635" s="2"/>
      <c r="CB635" s="2"/>
      <c r="CC635" s="2" t="s">
        <v>99</v>
      </c>
      <c r="CD635" s="2">
        <v>6001</v>
      </c>
      <c r="CE635" s="2" t="s">
        <v>782</v>
      </c>
      <c r="CF635" s="5">
        <v>42649</v>
      </c>
      <c r="CG635" s="2"/>
      <c r="CH635" s="2"/>
      <c r="CI635" s="2">
        <v>1</v>
      </c>
      <c r="CJ635" s="2">
        <v>1</v>
      </c>
      <c r="CK635" s="2">
        <v>21</v>
      </c>
      <c r="CL635" s="2" t="s">
        <v>88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"FES1162504221"</f>
        <v>FES1162504221</v>
      </c>
      <c r="F636" s="3">
        <v>42647</v>
      </c>
      <c r="G636" s="2">
        <v>201704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98</v>
      </c>
      <c r="M636" s="2" t="s">
        <v>99</v>
      </c>
      <c r="N636" s="2" t="s">
        <v>100</v>
      </c>
      <c r="O636" s="2" t="s">
        <v>96</v>
      </c>
      <c r="P636" s="2" t="str">
        <f>"2170525876                    "</f>
        <v xml:space="preserve">2170525876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3.03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1</v>
      </c>
      <c r="BJ636" s="2">
        <v>0.2</v>
      </c>
      <c r="BK636" s="2">
        <v>1</v>
      </c>
      <c r="BL636" s="2">
        <v>40.47</v>
      </c>
      <c r="BM636" s="2">
        <v>5.67</v>
      </c>
      <c r="BN636" s="2">
        <v>46.14</v>
      </c>
      <c r="BO636" s="2">
        <v>46.14</v>
      </c>
      <c r="BP636" s="2"/>
      <c r="BQ636" s="2" t="s">
        <v>82</v>
      </c>
      <c r="BR636" s="2" t="s">
        <v>83</v>
      </c>
      <c r="BS636" s="3">
        <v>42647</v>
      </c>
      <c r="BT636" s="4">
        <v>0.58333333333333337</v>
      </c>
      <c r="BU636" s="2" t="s">
        <v>1042</v>
      </c>
      <c r="BV636" s="2" t="s">
        <v>85</v>
      </c>
      <c r="BW636" s="2"/>
      <c r="BX636" s="2"/>
      <c r="BY636" s="2">
        <v>1200</v>
      </c>
      <c r="BZ636" s="2" t="s">
        <v>27</v>
      </c>
      <c r="CA636" s="2" t="s">
        <v>329</v>
      </c>
      <c r="CB636" s="2"/>
      <c r="CC636" s="2" t="s">
        <v>99</v>
      </c>
      <c r="CD636" s="2">
        <v>6210</v>
      </c>
      <c r="CE636" s="2" t="s">
        <v>782</v>
      </c>
      <c r="CF636" s="5">
        <v>42649</v>
      </c>
      <c r="CG636" s="2"/>
      <c r="CH636" s="2"/>
      <c r="CI636" s="2">
        <v>1</v>
      </c>
      <c r="CJ636" s="2">
        <v>0</v>
      </c>
      <c r="CK636" s="2">
        <v>21</v>
      </c>
      <c r="CL636" s="2" t="s">
        <v>88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"FES1162504214"</f>
        <v>FES1162504214</v>
      </c>
      <c r="F637" s="3">
        <v>42647</v>
      </c>
      <c r="G637" s="2">
        <v>201704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98</v>
      </c>
      <c r="M637" s="2" t="s">
        <v>99</v>
      </c>
      <c r="N637" s="2" t="s">
        <v>224</v>
      </c>
      <c r="O637" s="2" t="s">
        <v>96</v>
      </c>
      <c r="P637" s="2" t="str">
        <f>"2170525637                    "</f>
        <v xml:space="preserve">2170525637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3.03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</v>
      </c>
      <c r="BJ637" s="2">
        <v>0.2</v>
      </c>
      <c r="BK637" s="2">
        <v>1</v>
      </c>
      <c r="BL637" s="2">
        <v>40.47</v>
      </c>
      <c r="BM637" s="2">
        <v>5.67</v>
      </c>
      <c r="BN637" s="2">
        <v>46.14</v>
      </c>
      <c r="BO637" s="2">
        <v>46.14</v>
      </c>
      <c r="BP637" s="2"/>
      <c r="BQ637" s="2" t="s">
        <v>225</v>
      </c>
      <c r="BR637" s="2" t="s">
        <v>83</v>
      </c>
      <c r="BS637" s="3">
        <v>42648</v>
      </c>
      <c r="BT637" s="4">
        <v>0.34166666666666662</v>
      </c>
      <c r="BU637" s="2" t="s">
        <v>1023</v>
      </c>
      <c r="BV637" s="2" t="s">
        <v>85</v>
      </c>
      <c r="BW637" s="2"/>
      <c r="BX637" s="2"/>
      <c r="BY637" s="2">
        <v>1200</v>
      </c>
      <c r="BZ637" s="2" t="s">
        <v>27</v>
      </c>
      <c r="CA637" s="2"/>
      <c r="CB637" s="2"/>
      <c r="CC637" s="2" t="s">
        <v>99</v>
      </c>
      <c r="CD637" s="2">
        <v>6001</v>
      </c>
      <c r="CE637" s="2" t="s">
        <v>782</v>
      </c>
      <c r="CF637" s="5">
        <v>42649</v>
      </c>
      <c r="CG637" s="2"/>
      <c r="CH637" s="2"/>
      <c r="CI637" s="2">
        <v>1</v>
      </c>
      <c r="CJ637" s="2">
        <v>1</v>
      </c>
      <c r="CK637" s="2">
        <v>21</v>
      </c>
      <c r="CL637" s="2" t="s">
        <v>88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"FES1162504327"</f>
        <v>FES1162504327</v>
      </c>
      <c r="F638" s="3">
        <v>42647</v>
      </c>
      <c r="G638" s="2">
        <v>201704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93</v>
      </c>
      <c r="M638" s="2" t="s">
        <v>94</v>
      </c>
      <c r="N638" s="2" t="s">
        <v>536</v>
      </c>
      <c r="O638" s="2" t="s">
        <v>96</v>
      </c>
      <c r="P638" s="2" t="str">
        <f>"2170528025                    "</f>
        <v xml:space="preserve">2170528025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3.03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1.5</v>
      </c>
      <c r="BJ638" s="2">
        <v>1</v>
      </c>
      <c r="BK638" s="2">
        <v>1.5</v>
      </c>
      <c r="BL638" s="2">
        <v>40.47</v>
      </c>
      <c r="BM638" s="2">
        <v>5.67</v>
      </c>
      <c r="BN638" s="2">
        <v>46.14</v>
      </c>
      <c r="BO638" s="2">
        <v>46.14</v>
      </c>
      <c r="BP638" s="2"/>
      <c r="BQ638" s="2" t="s">
        <v>537</v>
      </c>
      <c r="BR638" s="2" t="s">
        <v>83</v>
      </c>
      <c r="BS638" s="3">
        <v>42648</v>
      </c>
      <c r="BT638" s="4">
        <v>0.4375</v>
      </c>
      <c r="BU638" s="2" t="s">
        <v>852</v>
      </c>
      <c r="BV638" s="2" t="s">
        <v>85</v>
      </c>
      <c r="BW638" s="2"/>
      <c r="BX638" s="2"/>
      <c r="BY638" s="2">
        <v>4999.3</v>
      </c>
      <c r="BZ638" s="2" t="s">
        <v>27</v>
      </c>
      <c r="CA638" s="2"/>
      <c r="CB638" s="2"/>
      <c r="CC638" s="2" t="s">
        <v>94</v>
      </c>
      <c r="CD638" s="2">
        <v>4300</v>
      </c>
      <c r="CE638" s="2" t="s">
        <v>826</v>
      </c>
      <c r="CF638" s="5">
        <v>42649</v>
      </c>
      <c r="CG638" s="2"/>
      <c r="CH638" s="2"/>
      <c r="CI638" s="2">
        <v>1</v>
      </c>
      <c r="CJ638" s="2">
        <v>1</v>
      </c>
      <c r="CK638" s="2">
        <v>21</v>
      </c>
      <c r="CL638" s="2" t="s">
        <v>88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"FES1162504379"</f>
        <v>FES1162504379</v>
      </c>
      <c r="F639" s="3">
        <v>42647</v>
      </c>
      <c r="G639" s="2">
        <v>201704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269</v>
      </c>
      <c r="M639" s="2" t="s">
        <v>270</v>
      </c>
      <c r="N639" s="2" t="s">
        <v>804</v>
      </c>
      <c r="O639" s="2" t="s">
        <v>96</v>
      </c>
      <c r="P639" s="2" t="str">
        <f>"2170528078                    "</f>
        <v xml:space="preserve">2170528078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3.03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0.2</v>
      </c>
      <c r="BK639" s="2">
        <v>1</v>
      </c>
      <c r="BL639" s="2">
        <v>40.47</v>
      </c>
      <c r="BM639" s="2">
        <v>5.67</v>
      </c>
      <c r="BN639" s="2">
        <v>46.14</v>
      </c>
      <c r="BO639" s="2">
        <v>46.14</v>
      </c>
      <c r="BP639" s="2"/>
      <c r="BQ639" s="2" t="s">
        <v>805</v>
      </c>
      <c r="BR639" s="2" t="s">
        <v>83</v>
      </c>
      <c r="BS639" s="3">
        <v>42648</v>
      </c>
      <c r="BT639" s="4">
        <v>0.31805555555555554</v>
      </c>
      <c r="BU639" s="2" t="s">
        <v>806</v>
      </c>
      <c r="BV639" s="2" t="s">
        <v>85</v>
      </c>
      <c r="BW639" s="2"/>
      <c r="BX639" s="2"/>
      <c r="BY639" s="2">
        <v>1200</v>
      </c>
      <c r="BZ639" s="2" t="s">
        <v>27</v>
      </c>
      <c r="CA639" s="2"/>
      <c r="CB639" s="2"/>
      <c r="CC639" s="2" t="s">
        <v>270</v>
      </c>
      <c r="CD639" s="2">
        <v>3610</v>
      </c>
      <c r="CE639" s="2" t="s">
        <v>782</v>
      </c>
      <c r="CF639" s="5">
        <v>42648</v>
      </c>
      <c r="CG639" s="2"/>
      <c r="CH639" s="2"/>
      <c r="CI639" s="2">
        <v>1</v>
      </c>
      <c r="CJ639" s="2">
        <v>1</v>
      </c>
      <c r="CK639" s="2">
        <v>21</v>
      </c>
      <c r="CL639" s="2" t="s">
        <v>88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"FES1162504309"</f>
        <v>FES1162504309</v>
      </c>
      <c r="F640" s="3">
        <v>42647</v>
      </c>
      <c r="G640" s="2">
        <v>201704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98</v>
      </c>
      <c r="M640" s="2" t="s">
        <v>99</v>
      </c>
      <c r="N640" s="2" t="s">
        <v>1043</v>
      </c>
      <c r="O640" s="2" t="s">
        <v>96</v>
      </c>
      <c r="P640" s="2" t="str">
        <f>"2170528003                    "</f>
        <v xml:space="preserve">2170528003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3.03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1</v>
      </c>
      <c r="BJ640" s="2">
        <v>0.2</v>
      </c>
      <c r="BK640" s="2">
        <v>1</v>
      </c>
      <c r="BL640" s="2">
        <v>40.47</v>
      </c>
      <c r="BM640" s="2">
        <v>5.67</v>
      </c>
      <c r="BN640" s="2">
        <v>46.14</v>
      </c>
      <c r="BO640" s="2">
        <v>46.14</v>
      </c>
      <c r="BP640" s="2"/>
      <c r="BQ640" s="2"/>
      <c r="BR640" s="2" t="s">
        <v>83</v>
      </c>
      <c r="BS640" s="3">
        <v>42648</v>
      </c>
      <c r="BT640" s="4">
        <v>0.37847222222222227</v>
      </c>
      <c r="BU640" s="2" t="s">
        <v>1033</v>
      </c>
      <c r="BV640" s="2" t="s">
        <v>85</v>
      </c>
      <c r="BW640" s="2"/>
      <c r="BX640" s="2"/>
      <c r="BY640" s="2">
        <v>1200</v>
      </c>
      <c r="BZ640" s="2" t="s">
        <v>27</v>
      </c>
      <c r="CA640" s="2"/>
      <c r="CB640" s="2"/>
      <c r="CC640" s="2" t="s">
        <v>99</v>
      </c>
      <c r="CD640" s="2">
        <v>6001</v>
      </c>
      <c r="CE640" s="2" t="s">
        <v>782</v>
      </c>
      <c r="CF640" s="5">
        <v>42649</v>
      </c>
      <c r="CG640" s="2"/>
      <c r="CH640" s="2"/>
      <c r="CI640" s="2">
        <v>1</v>
      </c>
      <c r="CJ640" s="2">
        <v>1</v>
      </c>
      <c r="CK640" s="2">
        <v>21</v>
      </c>
      <c r="CL640" s="2" t="s">
        <v>88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"FES1162504176"</f>
        <v>FES1162504176</v>
      </c>
      <c r="F641" s="3">
        <v>42647</v>
      </c>
      <c r="G641" s="2">
        <v>201704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160</v>
      </c>
      <c r="M641" s="2" t="s">
        <v>161</v>
      </c>
      <c r="N641" s="2" t="s">
        <v>622</v>
      </c>
      <c r="O641" s="2" t="s">
        <v>96</v>
      </c>
      <c r="P641" s="2" t="str">
        <f>"2170523004                    "</f>
        <v xml:space="preserve">2170523004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9.1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4</v>
      </c>
      <c r="BJ641" s="2">
        <v>5.6</v>
      </c>
      <c r="BK641" s="2">
        <v>6</v>
      </c>
      <c r="BL641" s="2">
        <v>121.42</v>
      </c>
      <c r="BM641" s="2">
        <v>17</v>
      </c>
      <c r="BN641" s="2">
        <v>138.41999999999999</v>
      </c>
      <c r="BO641" s="2">
        <v>138.41999999999999</v>
      </c>
      <c r="BP641" s="2"/>
      <c r="BQ641" s="2" t="s">
        <v>623</v>
      </c>
      <c r="BR641" s="2" t="s">
        <v>83</v>
      </c>
      <c r="BS641" s="3">
        <v>42648</v>
      </c>
      <c r="BT641" s="4">
        <v>0.44722222222222219</v>
      </c>
      <c r="BU641" s="2" t="s">
        <v>880</v>
      </c>
      <c r="BV641" s="2" t="s">
        <v>85</v>
      </c>
      <c r="BW641" s="2"/>
      <c r="BX641" s="2"/>
      <c r="BY641" s="2">
        <v>27843.48</v>
      </c>
      <c r="BZ641" s="2" t="s">
        <v>27</v>
      </c>
      <c r="CA641" s="2" t="s">
        <v>129</v>
      </c>
      <c r="CB641" s="2"/>
      <c r="CC641" s="2" t="s">
        <v>161</v>
      </c>
      <c r="CD641" s="2">
        <v>7490</v>
      </c>
      <c r="CE641" s="2" t="s">
        <v>826</v>
      </c>
      <c r="CF641" s="5">
        <v>42648</v>
      </c>
      <c r="CG641" s="2"/>
      <c r="CH641" s="2"/>
      <c r="CI641" s="2">
        <v>1</v>
      </c>
      <c r="CJ641" s="2">
        <v>1</v>
      </c>
      <c r="CK641" s="2">
        <v>21</v>
      </c>
      <c r="CL641" s="2" t="s">
        <v>88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"FES1162504375"</f>
        <v>FES1162504375</v>
      </c>
      <c r="F642" s="3">
        <v>42647</v>
      </c>
      <c r="G642" s="2">
        <v>201704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98</v>
      </c>
      <c r="M642" s="2" t="s">
        <v>99</v>
      </c>
      <c r="N642" s="2" t="s">
        <v>1044</v>
      </c>
      <c r="O642" s="2" t="s">
        <v>96</v>
      </c>
      <c r="P642" s="2" t="str">
        <f>"2170528089                    "</f>
        <v xml:space="preserve">2170528089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3.03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</v>
      </c>
      <c r="BJ642" s="2">
        <v>0.2</v>
      </c>
      <c r="BK642" s="2">
        <v>1</v>
      </c>
      <c r="BL642" s="2">
        <v>40.47</v>
      </c>
      <c r="BM642" s="2">
        <v>5.67</v>
      </c>
      <c r="BN642" s="2">
        <v>46.14</v>
      </c>
      <c r="BO642" s="2">
        <v>46.14</v>
      </c>
      <c r="BP642" s="2"/>
      <c r="BQ642" s="2" t="s">
        <v>1045</v>
      </c>
      <c r="BR642" s="2" t="s">
        <v>83</v>
      </c>
      <c r="BS642" s="3">
        <v>42648</v>
      </c>
      <c r="BT642" s="4">
        <v>0.34861111111111115</v>
      </c>
      <c r="BU642" s="2" t="s">
        <v>1046</v>
      </c>
      <c r="BV642" s="2" t="s">
        <v>85</v>
      </c>
      <c r="BW642" s="2"/>
      <c r="BX642" s="2"/>
      <c r="BY642" s="2">
        <v>1200</v>
      </c>
      <c r="BZ642" s="2" t="s">
        <v>27</v>
      </c>
      <c r="CA642" s="2" t="s">
        <v>468</v>
      </c>
      <c r="CB642" s="2"/>
      <c r="CC642" s="2" t="s">
        <v>99</v>
      </c>
      <c r="CD642" s="2">
        <v>6045</v>
      </c>
      <c r="CE642" s="2" t="s">
        <v>782</v>
      </c>
      <c r="CF642" s="5">
        <v>42649</v>
      </c>
      <c r="CG642" s="2"/>
      <c r="CH642" s="2"/>
      <c r="CI642" s="2">
        <v>1</v>
      </c>
      <c r="CJ642" s="2">
        <v>1</v>
      </c>
      <c r="CK642" s="2">
        <v>21</v>
      </c>
      <c r="CL642" s="2" t="s">
        <v>88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"FES1162504272"</f>
        <v>FES1162504272</v>
      </c>
      <c r="F643" s="3">
        <v>42647</v>
      </c>
      <c r="G643" s="2">
        <v>201704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137</v>
      </c>
      <c r="M643" s="2" t="s">
        <v>138</v>
      </c>
      <c r="N643" s="2" t="s">
        <v>203</v>
      </c>
      <c r="O643" s="2" t="s">
        <v>96</v>
      </c>
      <c r="P643" s="2" t="str">
        <f>"2170527796                    "</f>
        <v xml:space="preserve">2170527796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6.82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4.5</v>
      </c>
      <c r="BJ643" s="2">
        <v>1</v>
      </c>
      <c r="BK643" s="2">
        <v>4.5</v>
      </c>
      <c r="BL643" s="2">
        <v>91.06</v>
      </c>
      <c r="BM643" s="2">
        <v>12.75</v>
      </c>
      <c r="BN643" s="2">
        <v>103.81</v>
      </c>
      <c r="BO643" s="2">
        <v>103.81</v>
      </c>
      <c r="BP643" s="2"/>
      <c r="BQ643" s="2" t="s">
        <v>168</v>
      </c>
      <c r="BR643" s="2" t="s">
        <v>83</v>
      </c>
      <c r="BS643" s="3">
        <v>42648</v>
      </c>
      <c r="BT643" s="4">
        <v>0.37708333333333338</v>
      </c>
      <c r="BU643" s="2" t="s">
        <v>768</v>
      </c>
      <c r="BV643" s="2"/>
      <c r="BW643" s="2"/>
      <c r="BX643" s="2"/>
      <c r="BY643" s="2">
        <v>5134.08</v>
      </c>
      <c r="BZ643" s="2" t="s">
        <v>27</v>
      </c>
      <c r="CA643" s="2" t="s">
        <v>613</v>
      </c>
      <c r="CB643" s="2"/>
      <c r="CC643" s="2" t="s">
        <v>138</v>
      </c>
      <c r="CD643" s="2">
        <v>3201</v>
      </c>
      <c r="CE643" s="2" t="s">
        <v>836</v>
      </c>
      <c r="CF643" s="5">
        <v>42648</v>
      </c>
      <c r="CG643" s="2"/>
      <c r="CH643" s="2"/>
      <c r="CI643" s="2">
        <v>0</v>
      </c>
      <c r="CJ643" s="2">
        <v>0</v>
      </c>
      <c r="CK643" s="2">
        <v>21</v>
      </c>
      <c r="CL643" s="2" t="s">
        <v>88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"FES1162504401"</f>
        <v>FES1162504401</v>
      </c>
      <c r="F644" s="3">
        <v>42647</v>
      </c>
      <c r="G644" s="2">
        <v>201704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114</v>
      </c>
      <c r="M644" s="2" t="s">
        <v>115</v>
      </c>
      <c r="N644" s="2" t="s">
        <v>116</v>
      </c>
      <c r="O644" s="2" t="s">
        <v>96</v>
      </c>
      <c r="P644" s="2" t="str">
        <f>"2170528117                    "</f>
        <v xml:space="preserve">2170528117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5.88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1</v>
      </c>
      <c r="BJ644" s="2">
        <v>0.2</v>
      </c>
      <c r="BK644" s="2">
        <v>1</v>
      </c>
      <c r="BL644" s="2">
        <v>78.42</v>
      </c>
      <c r="BM644" s="2">
        <v>10.98</v>
      </c>
      <c r="BN644" s="2">
        <v>89.4</v>
      </c>
      <c r="BO644" s="2">
        <v>89.4</v>
      </c>
      <c r="BP644" s="2"/>
      <c r="BQ644" s="2" t="s">
        <v>117</v>
      </c>
      <c r="BR644" s="2" t="s">
        <v>83</v>
      </c>
      <c r="BS644" s="3">
        <v>42648</v>
      </c>
      <c r="BT644" s="4">
        <v>0.57777777777777783</v>
      </c>
      <c r="BU644" s="2" t="s">
        <v>1047</v>
      </c>
      <c r="BV644" s="2" t="s">
        <v>85</v>
      </c>
      <c r="BW644" s="2"/>
      <c r="BX644" s="2"/>
      <c r="BY644" s="2">
        <v>1200</v>
      </c>
      <c r="BZ644" s="2" t="s">
        <v>27</v>
      </c>
      <c r="CA644" s="2"/>
      <c r="CB644" s="2"/>
      <c r="CC644" s="2" t="s">
        <v>115</v>
      </c>
      <c r="CD644" s="2">
        <v>5850</v>
      </c>
      <c r="CE644" s="2" t="s">
        <v>108</v>
      </c>
      <c r="CF644" s="5">
        <v>42650</v>
      </c>
      <c r="CG644" s="2"/>
      <c r="CH644" s="2"/>
      <c r="CI644" s="2">
        <v>3</v>
      </c>
      <c r="CJ644" s="2">
        <v>1</v>
      </c>
      <c r="CK644" s="2">
        <v>23</v>
      </c>
      <c r="CL644" s="2" t="s">
        <v>88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"FES1162504172"</f>
        <v>FES1162504172</v>
      </c>
      <c r="F645" s="3">
        <v>42647</v>
      </c>
      <c r="G645" s="2">
        <v>201704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137</v>
      </c>
      <c r="M645" s="2" t="s">
        <v>138</v>
      </c>
      <c r="N645" s="2" t="s">
        <v>203</v>
      </c>
      <c r="O645" s="2" t="s">
        <v>96</v>
      </c>
      <c r="P645" s="2" t="str">
        <f>"2170521602                    "</f>
        <v xml:space="preserve">2170521602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9.86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6.4</v>
      </c>
      <c r="BJ645" s="2">
        <v>1.9</v>
      </c>
      <c r="BK645" s="2">
        <v>6.5</v>
      </c>
      <c r="BL645" s="2">
        <v>131.54</v>
      </c>
      <c r="BM645" s="2">
        <v>18.420000000000002</v>
      </c>
      <c r="BN645" s="2">
        <v>149.96</v>
      </c>
      <c r="BO645" s="2">
        <v>149.96</v>
      </c>
      <c r="BP645" s="2"/>
      <c r="BQ645" s="2" t="s">
        <v>168</v>
      </c>
      <c r="BR645" s="2" t="s">
        <v>83</v>
      </c>
      <c r="BS645" s="3">
        <v>42648</v>
      </c>
      <c r="BT645" s="4">
        <v>0.37708333333333338</v>
      </c>
      <c r="BU645" s="2" t="s">
        <v>768</v>
      </c>
      <c r="BV645" s="2"/>
      <c r="BW645" s="2"/>
      <c r="BX645" s="2"/>
      <c r="BY645" s="2">
        <v>9280.11</v>
      </c>
      <c r="BZ645" s="2" t="s">
        <v>27</v>
      </c>
      <c r="CA645" s="2" t="s">
        <v>613</v>
      </c>
      <c r="CB645" s="2"/>
      <c r="CC645" s="2" t="s">
        <v>138</v>
      </c>
      <c r="CD645" s="2">
        <v>3201</v>
      </c>
      <c r="CE645" s="2" t="s">
        <v>826</v>
      </c>
      <c r="CF645" s="5">
        <v>42648</v>
      </c>
      <c r="CG645" s="2"/>
      <c r="CH645" s="2"/>
      <c r="CI645" s="2">
        <v>0</v>
      </c>
      <c r="CJ645" s="2">
        <v>0</v>
      </c>
      <c r="CK645" s="2">
        <v>21</v>
      </c>
      <c r="CL645" s="2" t="s">
        <v>88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"FES1162504339"</f>
        <v>FES1162504339</v>
      </c>
      <c r="F646" s="3">
        <v>42647</v>
      </c>
      <c r="G646" s="2">
        <v>201704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98</v>
      </c>
      <c r="M646" s="2" t="s">
        <v>99</v>
      </c>
      <c r="N646" s="2" t="s">
        <v>1048</v>
      </c>
      <c r="O646" s="2" t="s">
        <v>96</v>
      </c>
      <c r="P646" s="2" t="str">
        <f>"2170528045                    "</f>
        <v xml:space="preserve">2170528045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9.86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5</v>
      </c>
      <c r="BJ646" s="2">
        <v>6.2</v>
      </c>
      <c r="BK646" s="2">
        <v>6.5</v>
      </c>
      <c r="BL646" s="2">
        <v>131.54</v>
      </c>
      <c r="BM646" s="2">
        <v>18.420000000000002</v>
      </c>
      <c r="BN646" s="2">
        <v>149.96</v>
      </c>
      <c r="BO646" s="2">
        <v>149.96</v>
      </c>
      <c r="BP646" s="2"/>
      <c r="BQ646" s="2" t="s">
        <v>117</v>
      </c>
      <c r="BR646" s="2" t="s">
        <v>83</v>
      </c>
      <c r="BS646" s="3">
        <v>42648</v>
      </c>
      <c r="BT646" s="4">
        <v>0.43055555555555558</v>
      </c>
      <c r="BU646" s="2" t="s">
        <v>1049</v>
      </c>
      <c r="BV646" s="2"/>
      <c r="BW646" s="2"/>
      <c r="BX646" s="2"/>
      <c r="BY646" s="2">
        <v>31200</v>
      </c>
      <c r="BZ646" s="2" t="s">
        <v>27</v>
      </c>
      <c r="CA646" s="2"/>
      <c r="CB646" s="2"/>
      <c r="CC646" s="2" t="s">
        <v>99</v>
      </c>
      <c r="CD646" s="2">
        <v>6001</v>
      </c>
      <c r="CE646" s="2" t="s">
        <v>826</v>
      </c>
      <c r="CF646" s="5">
        <v>42649</v>
      </c>
      <c r="CG646" s="2"/>
      <c r="CH646" s="2"/>
      <c r="CI646" s="2">
        <v>0</v>
      </c>
      <c r="CJ646" s="2">
        <v>0</v>
      </c>
      <c r="CK646" s="2">
        <v>21</v>
      </c>
      <c r="CL646" s="2" t="s">
        <v>88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"FES1162504190"</f>
        <v>FES1162504190</v>
      </c>
      <c r="F647" s="3">
        <v>42647</v>
      </c>
      <c r="G647" s="2">
        <v>201704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171</v>
      </c>
      <c r="M647" s="2" t="s">
        <v>172</v>
      </c>
      <c r="N647" s="2" t="s">
        <v>429</v>
      </c>
      <c r="O647" s="2" t="s">
        <v>96</v>
      </c>
      <c r="P647" s="2" t="str">
        <f>"2170524195                    "</f>
        <v xml:space="preserve">2170524195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3.03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1</v>
      </c>
      <c r="BJ647" s="2">
        <v>0.2</v>
      </c>
      <c r="BK647" s="2">
        <v>1</v>
      </c>
      <c r="BL647" s="2">
        <v>40.47</v>
      </c>
      <c r="BM647" s="2">
        <v>5.67</v>
      </c>
      <c r="BN647" s="2">
        <v>46.14</v>
      </c>
      <c r="BO647" s="2">
        <v>46.14</v>
      </c>
      <c r="BP647" s="2"/>
      <c r="BQ647" s="2" t="s">
        <v>430</v>
      </c>
      <c r="BR647" s="2" t="s">
        <v>83</v>
      </c>
      <c r="BS647" s="3">
        <v>42648</v>
      </c>
      <c r="BT647" s="4">
        <v>0.3298611111111111</v>
      </c>
      <c r="BU647" s="2" t="s">
        <v>724</v>
      </c>
      <c r="BV647" s="2" t="s">
        <v>85</v>
      </c>
      <c r="BW647" s="2"/>
      <c r="BX647" s="2"/>
      <c r="BY647" s="2">
        <v>1200</v>
      </c>
      <c r="BZ647" s="2" t="s">
        <v>27</v>
      </c>
      <c r="CA647" s="2" t="s">
        <v>129</v>
      </c>
      <c r="CB647" s="2"/>
      <c r="CC647" s="2" t="s">
        <v>172</v>
      </c>
      <c r="CD647" s="2">
        <v>6220</v>
      </c>
      <c r="CE647" s="2" t="s">
        <v>782</v>
      </c>
      <c r="CF647" s="5">
        <v>42649</v>
      </c>
      <c r="CG647" s="2"/>
      <c r="CH647" s="2"/>
      <c r="CI647" s="2">
        <v>1</v>
      </c>
      <c r="CJ647" s="2">
        <v>1</v>
      </c>
      <c r="CK647" s="2">
        <v>21</v>
      </c>
      <c r="CL647" s="2" t="s">
        <v>88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"FES1162504161"</f>
        <v>FES1162504161</v>
      </c>
      <c r="F648" s="3">
        <v>42647</v>
      </c>
      <c r="G648" s="2">
        <v>201704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98</v>
      </c>
      <c r="M648" s="2" t="s">
        <v>99</v>
      </c>
      <c r="N648" s="2" t="s">
        <v>213</v>
      </c>
      <c r="O648" s="2" t="s">
        <v>96</v>
      </c>
      <c r="P648" s="2" t="str">
        <f>"2170527963                    "</f>
        <v xml:space="preserve">2170527963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3.03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0.2</v>
      </c>
      <c r="BK648" s="2">
        <v>1</v>
      </c>
      <c r="BL648" s="2">
        <v>40.47</v>
      </c>
      <c r="BM648" s="2">
        <v>5.67</v>
      </c>
      <c r="BN648" s="2">
        <v>46.14</v>
      </c>
      <c r="BO648" s="2">
        <v>46.14</v>
      </c>
      <c r="BP648" s="2"/>
      <c r="BQ648" s="2" t="s">
        <v>1050</v>
      </c>
      <c r="BR648" s="2" t="s">
        <v>83</v>
      </c>
      <c r="BS648" s="3">
        <v>42648</v>
      </c>
      <c r="BT648" s="4">
        <v>0.40208333333333335</v>
      </c>
      <c r="BU648" s="2" t="s">
        <v>1051</v>
      </c>
      <c r="BV648" s="2" t="s">
        <v>85</v>
      </c>
      <c r="BW648" s="2"/>
      <c r="BX648" s="2"/>
      <c r="BY648" s="2">
        <v>1200</v>
      </c>
      <c r="BZ648" s="2" t="s">
        <v>27</v>
      </c>
      <c r="CA648" s="2"/>
      <c r="CB648" s="2"/>
      <c r="CC648" s="2" t="s">
        <v>99</v>
      </c>
      <c r="CD648" s="2">
        <v>6045</v>
      </c>
      <c r="CE648" s="2" t="s">
        <v>782</v>
      </c>
      <c r="CF648" s="5">
        <v>42649</v>
      </c>
      <c r="CG648" s="2"/>
      <c r="CH648" s="2"/>
      <c r="CI648" s="2">
        <v>1</v>
      </c>
      <c r="CJ648" s="2">
        <v>1</v>
      </c>
      <c r="CK648" s="2">
        <v>21</v>
      </c>
      <c r="CL648" s="2" t="s">
        <v>88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"FES1162504177"</f>
        <v>FES1162504177</v>
      </c>
      <c r="F649" s="3">
        <v>42647</v>
      </c>
      <c r="G649" s="2">
        <v>201704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98</v>
      </c>
      <c r="M649" s="2" t="s">
        <v>99</v>
      </c>
      <c r="N649" s="2" t="s">
        <v>1031</v>
      </c>
      <c r="O649" s="2" t="s">
        <v>96</v>
      </c>
      <c r="P649" s="2" t="str">
        <f>"2170523347                    "</f>
        <v xml:space="preserve">2170523347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3.03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1</v>
      </c>
      <c r="BJ649" s="2">
        <v>0.2</v>
      </c>
      <c r="BK649" s="2">
        <v>1</v>
      </c>
      <c r="BL649" s="2">
        <v>40.47</v>
      </c>
      <c r="BM649" s="2">
        <v>5.67</v>
      </c>
      <c r="BN649" s="2">
        <v>46.14</v>
      </c>
      <c r="BO649" s="2">
        <v>46.14</v>
      </c>
      <c r="BP649" s="2"/>
      <c r="BQ649" s="2" t="s">
        <v>1032</v>
      </c>
      <c r="BR649" s="2" t="s">
        <v>83</v>
      </c>
      <c r="BS649" s="3">
        <v>42648</v>
      </c>
      <c r="BT649" s="4">
        <v>0.37847222222222227</v>
      </c>
      <c r="BU649" s="2" t="s">
        <v>1033</v>
      </c>
      <c r="BV649" s="2" t="s">
        <v>85</v>
      </c>
      <c r="BW649" s="2"/>
      <c r="BX649" s="2"/>
      <c r="BY649" s="2">
        <v>1200</v>
      </c>
      <c r="BZ649" s="2" t="s">
        <v>27</v>
      </c>
      <c r="CA649" s="2"/>
      <c r="CB649" s="2"/>
      <c r="CC649" s="2" t="s">
        <v>99</v>
      </c>
      <c r="CD649" s="2">
        <v>6001</v>
      </c>
      <c r="CE649" s="2" t="s">
        <v>782</v>
      </c>
      <c r="CF649" s="5">
        <v>42649</v>
      </c>
      <c r="CG649" s="2"/>
      <c r="CH649" s="2"/>
      <c r="CI649" s="2">
        <v>1</v>
      </c>
      <c r="CJ649" s="2">
        <v>1</v>
      </c>
      <c r="CK649" s="2">
        <v>21</v>
      </c>
      <c r="CL649" s="2" t="s">
        <v>88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"FES1162504209"</f>
        <v>FES1162504209</v>
      </c>
      <c r="F650" s="3">
        <v>42647</v>
      </c>
      <c r="G650" s="2">
        <v>201704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148</v>
      </c>
      <c r="M650" s="2" t="s">
        <v>149</v>
      </c>
      <c r="N650" s="2" t="s">
        <v>1013</v>
      </c>
      <c r="O650" s="2" t="s">
        <v>96</v>
      </c>
      <c r="P650" s="2" t="str">
        <f>"2170525518                    "</f>
        <v xml:space="preserve">2170525518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3.03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</v>
      </c>
      <c r="BJ650" s="2">
        <v>1.8</v>
      </c>
      <c r="BK650" s="2">
        <v>2</v>
      </c>
      <c r="BL650" s="2">
        <v>40.47</v>
      </c>
      <c r="BM650" s="2">
        <v>5.67</v>
      </c>
      <c r="BN650" s="2">
        <v>46.14</v>
      </c>
      <c r="BO650" s="2">
        <v>46.14</v>
      </c>
      <c r="BP650" s="2"/>
      <c r="BQ650" s="2" t="s">
        <v>1014</v>
      </c>
      <c r="BR650" s="2" t="s">
        <v>83</v>
      </c>
      <c r="BS650" s="3">
        <v>42648</v>
      </c>
      <c r="BT650" s="4">
        <v>0.4375</v>
      </c>
      <c r="BU650" s="2" t="s">
        <v>1015</v>
      </c>
      <c r="BV650" s="2" t="s">
        <v>85</v>
      </c>
      <c r="BW650" s="2"/>
      <c r="BX650" s="2"/>
      <c r="BY650" s="2">
        <v>8846.31</v>
      </c>
      <c r="BZ650" s="2" t="s">
        <v>27</v>
      </c>
      <c r="CA650" s="2" t="s">
        <v>129</v>
      </c>
      <c r="CB650" s="2"/>
      <c r="CC650" s="2" t="s">
        <v>149</v>
      </c>
      <c r="CD650" s="2">
        <v>4051</v>
      </c>
      <c r="CE650" s="2" t="s">
        <v>782</v>
      </c>
      <c r="CF650" s="5">
        <v>42649</v>
      </c>
      <c r="CG650" s="2"/>
      <c r="CH650" s="2"/>
      <c r="CI650" s="2">
        <v>1</v>
      </c>
      <c r="CJ650" s="2">
        <v>1</v>
      </c>
      <c r="CK650" s="2">
        <v>21</v>
      </c>
      <c r="CL650" s="2" t="s">
        <v>88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"FES1162504290"</f>
        <v>FES1162504290</v>
      </c>
      <c r="F651" s="3">
        <v>42647</v>
      </c>
      <c r="G651" s="2">
        <v>201704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269</v>
      </c>
      <c r="M651" s="2" t="s">
        <v>270</v>
      </c>
      <c r="N651" s="2" t="s">
        <v>299</v>
      </c>
      <c r="O651" s="2" t="s">
        <v>96</v>
      </c>
      <c r="P651" s="2" t="str">
        <f>"2170527306                    "</f>
        <v xml:space="preserve">2170527306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3.03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</v>
      </c>
      <c r="BJ651" s="2">
        <v>0.2</v>
      </c>
      <c r="BK651" s="2">
        <v>1</v>
      </c>
      <c r="BL651" s="2">
        <v>40.47</v>
      </c>
      <c r="BM651" s="2">
        <v>5.67</v>
      </c>
      <c r="BN651" s="2">
        <v>46.14</v>
      </c>
      <c r="BO651" s="2">
        <v>46.14</v>
      </c>
      <c r="BP651" s="2"/>
      <c r="BQ651" s="2" t="s">
        <v>300</v>
      </c>
      <c r="BR651" s="2" t="s">
        <v>83</v>
      </c>
      <c r="BS651" s="3">
        <v>42648</v>
      </c>
      <c r="BT651" s="4">
        <v>0.35416666666666669</v>
      </c>
      <c r="BU651" s="2" t="s">
        <v>814</v>
      </c>
      <c r="BV651" s="2" t="s">
        <v>85</v>
      </c>
      <c r="BW651" s="2"/>
      <c r="BX651" s="2"/>
      <c r="BY651" s="2">
        <v>1200</v>
      </c>
      <c r="BZ651" s="2" t="s">
        <v>27</v>
      </c>
      <c r="CA651" s="2"/>
      <c r="CB651" s="2"/>
      <c r="CC651" s="2" t="s">
        <v>270</v>
      </c>
      <c r="CD651" s="2">
        <v>3610</v>
      </c>
      <c r="CE651" s="2" t="s">
        <v>782</v>
      </c>
      <c r="CF651" s="5">
        <v>42649</v>
      </c>
      <c r="CG651" s="2"/>
      <c r="CH651" s="2"/>
      <c r="CI651" s="2">
        <v>1</v>
      </c>
      <c r="CJ651" s="2">
        <v>1</v>
      </c>
      <c r="CK651" s="2">
        <v>21</v>
      </c>
      <c r="CL651" s="2" t="s">
        <v>88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"080001449339"</f>
        <v>080001449339</v>
      </c>
      <c r="F652" s="3">
        <v>42647</v>
      </c>
      <c r="G652" s="2">
        <v>201704</v>
      </c>
      <c r="H652" s="2" t="s">
        <v>160</v>
      </c>
      <c r="I652" s="2" t="s">
        <v>161</v>
      </c>
      <c r="J652" s="2" t="s">
        <v>1052</v>
      </c>
      <c r="K652" s="2" t="s">
        <v>77</v>
      </c>
      <c r="L652" s="2" t="s">
        <v>74</v>
      </c>
      <c r="M652" s="2" t="s">
        <v>75</v>
      </c>
      <c r="N652" s="2" t="s">
        <v>189</v>
      </c>
      <c r="O652" s="2" t="s">
        <v>96</v>
      </c>
      <c r="P652" s="2" t="str">
        <f>"¼ inch air service units      "</f>
        <v xml:space="preserve">¼ inch air service units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4.55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3</v>
      </c>
      <c r="BJ652" s="2">
        <v>2</v>
      </c>
      <c r="BK652" s="2">
        <v>3</v>
      </c>
      <c r="BL652" s="2">
        <v>60.71</v>
      </c>
      <c r="BM652" s="2">
        <v>8.5</v>
      </c>
      <c r="BN652" s="2">
        <v>69.209999999999994</v>
      </c>
      <c r="BO652" s="2">
        <v>69.209999999999994</v>
      </c>
      <c r="BP652" s="2" t="s">
        <v>1053</v>
      </c>
      <c r="BQ652" s="2" t="s">
        <v>1054</v>
      </c>
      <c r="BR652" s="2" t="s">
        <v>1055</v>
      </c>
      <c r="BS652" s="3">
        <v>42648</v>
      </c>
      <c r="BT652" s="4">
        <v>0.36805555555555558</v>
      </c>
      <c r="BU652" s="2" t="s">
        <v>381</v>
      </c>
      <c r="BV652" s="2" t="s">
        <v>85</v>
      </c>
      <c r="BW652" s="2"/>
      <c r="BX652" s="2"/>
      <c r="BY652" s="2">
        <v>9768</v>
      </c>
      <c r="BZ652" s="2" t="s">
        <v>27</v>
      </c>
      <c r="CA652" s="2"/>
      <c r="CB652" s="2"/>
      <c r="CC652" s="2" t="s">
        <v>75</v>
      </c>
      <c r="CD652" s="2">
        <v>1601</v>
      </c>
      <c r="CE652" s="2" t="s">
        <v>1056</v>
      </c>
      <c r="CF652" s="5">
        <v>42649</v>
      </c>
      <c r="CG652" s="2"/>
      <c r="CH652" s="2"/>
      <c r="CI652" s="2">
        <v>1</v>
      </c>
      <c r="CJ652" s="2">
        <v>1</v>
      </c>
      <c r="CK652" s="2">
        <v>21</v>
      </c>
      <c r="CL652" s="2" t="s">
        <v>88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"FES1162504930"</f>
        <v>FES1162504930</v>
      </c>
      <c r="F653" s="3">
        <v>42649</v>
      </c>
      <c r="G653" s="2">
        <v>201704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148</v>
      </c>
      <c r="M653" s="2" t="s">
        <v>149</v>
      </c>
      <c r="N653" s="2" t="s">
        <v>1057</v>
      </c>
      <c r="O653" s="2" t="s">
        <v>81</v>
      </c>
      <c r="P653" s="2" t="str">
        <f>"2170528387                    "</f>
        <v xml:space="preserve">2170528387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4.66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1</v>
      </c>
      <c r="BJ653" s="2">
        <v>1.4</v>
      </c>
      <c r="BK653" s="2">
        <v>2</v>
      </c>
      <c r="BL653" s="2">
        <v>62.31</v>
      </c>
      <c r="BM653" s="2">
        <v>8.7200000000000006</v>
      </c>
      <c r="BN653" s="2">
        <v>71.03</v>
      </c>
      <c r="BO653" s="2">
        <v>71.03</v>
      </c>
      <c r="BP653" s="2" t="s">
        <v>90</v>
      </c>
      <c r="BQ653" s="2" t="s">
        <v>168</v>
      </c>
      <c r="BR653" s="2" t="s">
        <v>83</v>
      </c>
      <c r="BS653" s="3">
        <v>42650</v>
      </c>
      <c r="BT653" s="4">
        <v>0.37847222222222227</v>
      </c>
      <c r="BU653" s="2" t="s">
        <v>1058</v>
      </c>
      <c r="BV653" s="2" t="s">
        <v>85</v>
      </c>
      <c r="BW653" s="2"/>
      <c r="BX653" s="2"/>
      <c r="BY653" s="2">
        <v>6873.98</v>
      </c>
      <c r="BZ653" s="2"/>
      <c r="CA653" s="2" t="s">
        <v>129</v>
      </c>
      <c r="CB653" s="2"/>
      <c r="CC653" s="2" t="s">
        <v>149</v>
      </c>
      <c r="CD653" s="2">
        <v>4067</v>
      </c>
      <c r="CE653" s="2" t="s">
        <v>86</v>
      </c>
      <c r="CF653" s="5">
        <v>42653</v>
      </c>
      <c r="CG653" s="2"/>
      <c r="CH653" s="2"/>
      <c r="CI653" s="2">
        <v>1</v>
      </c>
      <c r="CJ653" s="2">
        <v>1</v>
      </c>
      <c r="CK653" s="2" t="s">
        <v>1059</v>
      </c>
      <c r="CL653" s="2" t="s">
        <v>88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"RFES1162505048"</f>
        <v>RFES1162505048</v>
      </c>
      <c r="F654" s="3">
        <v>42653</v>
      </c>
      <c r="G654" s="2">
        <v>201704</v>
      </c>
      <c r="H654" s="2" t="s">
        <v>823</v>
      </c>
      <c r="I654" s="2" t="s">
        <v>824</v>
      </c>
      <c r="J654" s="2" t="s">
        <v>825</v>
      </c>
      <c r="K654" s="2" t="s">
        <v>77</v>
      </c>
      <c r="L654" s="2" t="s">
        <v>74</v>
      </c>
      <c r="M654" s="2" t="s">
        <v>75</v>
      </c>
      <c r="N654" s="2" t="s">
        <v>76</v>
      </c>
      <c r="O654" s="2" t="s">
        <v>81</v>
      </c>
      <c r="P654" s="2" t="str">
        <f>"2170528705                    "</f>
        <v xml:space="preserve">2170528705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6.79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0</v>
      </c>
      <c r="BF654" s="2">
        <v>0</v>
      </c>
      <c r="BG654" s="2">
        <v>0</v>
      </c>
      <c r="BH654" s="2">
        <v>1</v>
      </c>
      <c r="BI654" s="2">
        <v>4.8</v>
      </c>
      <c r="BJ654" s="2">
        <v>3.4</v>
      </c>
      <c r="BK654" s="2">
        <v>5</v>
      </c>
      <c r="BL654" s="2">
        <v>88.43</v>
      </c>
      <c r="BM654" s="2">
        <v>12.38</v>
      </c>
      <c r="BN654" s="2">
        <v>100.81</v>
      </c>
      <c r="BO654" s="2">
        <v>100.81</v>
      </c>
      <c r="BP654" s="2"/>
      <c r="BQ654" s="2" t="s">
        <v>83</v>
      </c>
      <c r="BR654" s="2" t="s">
        <v>91</v>
      </c>
      <c r="BS654" s="3">
        <v>42654</v>
      </c>
      <c r="BT654" s="4">
        <v>0.46875</v>
      </c>
      <c r="BU654" s="2" t="s">
        <v>1060</v>
      </c>
      <c r="BV654" s="2" t="s">
        <v>85</v>
      </c>
      <c r="BW654" s="2"/>
      <c r="BX654" s="2"/>
      <c r="BY654" s="2">
        <v>17134.810000000001</v>
      </c>
      <c r="BZ654" s="2"/>
      <c r="CA654" s="2"/>
      <c r="CB654" s="2"/>
      <c r="CC654" s="2" t="s">
        <v>75</v>
      </c>
      <c r="CD654" s="2">
        <v>1601</v>
      </c>
      <c r="CE654" s="2" t="s">
        <v>86</v>
      </c>
      <c r="CF654" s="5">
        <v>42654</v>
      </c>
      <c r="CG654" s="2"/>
      <c r="CH654" s="2"/>
      <c r="CI654" s="2">
        <v>1</v>
      </c>
      <c r="CJ654" s="2">
        <v>1</v>
      </c>
      <c r="CK654" s="2" t="s">
        <v>1061</v>
      </c>
      <c r="CL654" s="2" t="s">
        <v>88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"FES1162504138"</f>
        <v>FES1162504138</v>
      </c>
      <c r="F655" s="3">
        <v>42646</v>
      </c>
      <c r="G655" s="2">
        <v>201704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1062</v>
      </c>
      <c r="M655" s="2" t="s">
        <v>161</v>
      </c>
      <c r="N655" s="2" t="s">
        <v>878</v>
      </c>
      <c r="O655" s="2" t="s">
        <v>81</v>
      </c>
      <c r="P655" s="2" t="str">
        <f>"2170527929                    "</f>
        <v xml:space="preserve">2170527929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6.21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3</v>
      </c>
      <c r="BJ655" s="2">
        <v>2.6</v>
      </c>
      <c r="BK655" s="2">
        <v>3</v>
      </c>
      <c r="BL655" s="2">
        <v>87.85</v>
      </c>
      <c r="BM655" s="2">
        <v>12.3</v>
      </c>
      <c r="BN655" s="2">
        <v>100.15</v>
      </c>
      <c r="BO655" s="2">
        <v>100.15</v>
      </c>
      <c r="BP655" s="2" t="s">
        <v>90</v>
      </c>
      <c r="BQ655" s="2" t="s">
        <v>91</v>
      </c>
      <c r="BR655" s="2" t="s">
        <v>83</v>
      </c>
      <c r="BS655" s="3">
        <v>42648</v>
      </c>
      <c r="BT655" s="4">
        <v>0.41666666666666669</v>
      </c>
      <c r="BU655" s="2" t="s">
        <v>879</v>
      </c>
      <c r="BV655" s="2" t="s">
        <v>85</v>
      </c>
      <c r="BW655" s="2"/>
      <c r="BX655" s="2"/>
      <c r="BY655" s="2">
        <v>12957.32</v>
      </c>
      <c r="BZ655" s="2"/>
      <c r="CA655" s="2"/>
      <c r="CB655" s="2"/>
      <c r="CC655" s="2" t="s">
        <v>161</v>
      </c>
      <c r="CD655" s="2">
        <v>7800</v>
      </c>
      <c r="CE655" s="2" t="s">
        <v>86</v>
      </c>
      <c r="CF655" s="5">
        <v>42649</v>
      </c>
      <c r="CG655" s="2"/>
      <c r="CH655" s="2"/>
      <c r="CI655" s="2">
        <v>2</v>
      </c>
      <c r="CJ655" s="2">
        <v>2</v>
      </c>
      <c r="CK655" s="2" t="s">
        <v>1063</v>
      </c>
      <c r="CL655" s="2" t="s">
        <v>88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"FES1162504113"</f>
        <v>FES1162504113</v>
      </c>
      <c r="F656" s="3">
        <v>42647</v>
      </c>
      <c r="G656" s="2">
        <v>201704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1062</v>
      </c>
      <c r="M656" s="2" t="s">
        <v>161</v>
      </c>
      <c r="N656" s="2" t="s">
        <v>622</v>
      </c>
      <c r="O656" s="2" t="s">
        <v>81</v>
      </c>
      <c r="P656" s="2" t="str">
        <f>"2170523433                    "</f>
        <v xml:space="preserve">2170523433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11.26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2</v>
      </c>
      <c r="BI656" s="2">
        <v>34</v>
      </c>
      <c r="BJ656" s="2">
        <v>21.9</v>
      </c>
      <c r="BK656" s="2">
        <v>34</v>
      </c>
      <c r="BL656" s="2">
        <v>155.22</v>
      </c>
      <c r="BM656" s="2">
        <v>21.73</v>
      </c>
      <c r="BN656" s="2">
        <v>176.95</v>
      </c>
      <c r="BO656" s="2">
        <v>176.95</v>
      </c>
      <c r="BP656" s="2" t="s">
        <v>1064</v>
      </c>
      <c r="BQ656" s="2" t="s">
        <v>623</v>
      </c>
      <c r="BR656" s="2" t="s">
        <v>83</v>
      </c>
      <c r="BS656" s="3">
        <v>42649</v>
      </c>
      <c r="BT656" s="4">
        <v>0.41666666666666669</v>
      </c>
      <c r="BU656" s="2" t="s">
        <v>624</v>
      </c>
      <c r="BV656" s="2" t="s">
        <v>85</v>
      </c>
      <c r="BW656" s="2"/>
      <c r="BX656" s="2"/>
      <c r="BY656" s="2">
        <v>109574</v>
      </c>
      <c r="BZ656" s="2"/>
      <c r="CA656" s="2" t="s">
        <v>1065</v>
      </c>
      <c r="CB656" s="2"/>
      <c r="CC656" s="2" t="s">
        <v>161</v>
      </c>
      <c r="CD656" s="2">
        <v>7490</v>
      </c>
      <c r="CE656" s="2" t="s">
        <v>1066</v>
      </c>
      <c r="CF656" s="5">
        <v>42649</v>
      </c>
      <c r="CG656" s="2"/>
      <c r="CH656" s="2"/>
      <c r="CI656" s="2">
        <v>2</v>
      </c>
      <c r="CJ656" s="2">
        <v>2</v>
      </c>
      <c r="CK656" s="2" t="s">
        <v>1063</v>
      </c>
      <c r="CL656" s="2" t="s">
        <v>88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"FES1162504554"</f>
        <v>FES1162504554</v>
      </c>
      <c r="F657" s="3">
        <v>42648</v>
      </c>
      <c r="G657" s="2">
        <v>201704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137</v>
      </c>
      <c r="M657" s="2" t="s">
        <v>138</v>
      </c>
      <c r="N657" s="2" t="s">
        <v>203</v>
      </c>
      <c r="O657" s="2" t="s">
        <v>81</v>
      </c>
      <c r="P657" s="2" t="str">
        <f>"2170528271                    "</f>
        <v xml:space="preserve">2170528271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13.2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2</v>
      </c>
      <c r="BI657" s="2">
        <v>39</v>
      </c>
      <c r="BJ657" s="2">
        <v>27.4</v>
      </c>
      <c r="BK657" s="2">
        <v>39</v>
      </c>
      <c r="BL657" s="2">
        <v>167.21</v>
      </c>
      <c r="BM657" s="2">
        <v>23.41</v>
      </c>
      <c r="BN657" s="2">
        <v>190.62</v>
      </c>
      <c r="BO657" s="2">
        <v>190.62</v>
      </c>
      <c r="BP657" s="2" t="s">
        <v>1067</v>
      </c>
      <c r="BQ657" s="2" t="s">
        <v>168</v>
      </c>
      <c r="BR657" s="2" t="s">
        <v>83</v>
      </c>
      <c r="BS657" s="3">
        <v>42649</v>
      </c>
      <c r="BT657" s="4">
        <v>0.39583333333333331</v>
      </c>
      <c r="BU657" s="2" t="s">
        <v>768</v>
      </c>
      <c r="BV657" s="2"/>
      <c r="BW657" s="2"/>
      <c r="BX657" s="2"/>
      <c r="BY657" s="2">
        <v>136896</v>
      </c>
      <c r="BZ657" s="2"/>
      <c r="CA657" s="2"/>
      <c r="CB657" s="2"/>
      <c r="CC657" s="2" t="s">
        <v>138</v>
      </c>
      <c r="CD657" s="2">
        <v>3201</v>
      </c>
      <c r="CE657" s="2" t="s">
        <v>904</v>
      </c>
      <c r="CF657" s="5">
        <v>42650</v>
      </c>
      <c r="CG657" s="2"/>
      <c r="CH657" s="2"/>
      <c r="CI657" s="2">
        <v>0</v>
      </c>
      <c r="CJ657" s="2">
        <v>0</v>
      </c>
      <c r="CK657" s="2" t="s">
        <v>1068</v>
      </c>
      <c r="CL657" s="2" t="s">
        <v>88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"FES1162504174"</f>
        <v>FES1162504174</v>
      </c>
      <c r="F658" s="3">
        <v>42647</v>
      </c>
      <c r="G658" s="2">
        <v>201704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1062</v>
      </c>
      <c r="M658" s="2" t="s">
        <v>161</v>
      </c>
      <c r="N658" s="2" t="s">
        <v>622</v>
      </c>
      <c r="O658" s="2" t="s">
        <v>81</v>
      </c>
      <c r="P658" s="2" t="str">
        <f>"2170522992                    "</f>
        <v xml:space="preserve">2170522992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28.52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2</v>
      </c>
      <c r="BI658" s="2">
        <v>99</v>
      </c>
      <c r="BJ658" s="2">
        <v>45.1</v>
      </c>
      <c r="BK658" s="2">
        <v>99</v>
      </c>
      <c r="BL658" s="2">
        <v>385.68</v>
      </c>
      <c r="BM658" s="2">
        <v>54</v>
      </c>
      <c r="BN658" s="2">
        <v>439.68</v>
      </c>
      <c r="BO658" s="2">
        <v>439.68</v>
      </c>
      <c r="BP658" s="2" t="s">
        <v>1064</v>
      </c>
      <c r="BQ658" s="2" t="s">
        <v>623</v>
      </c>
      <c r="BR658" s="2" t="s">
        <v>83</v>
      </c>
      <c r="BS658" s="3">
        <v>42649</v>
      </c>
      <c r="BT658" s="4">
        <v>0.41666666666666669</v>
      </c>
      <c r="BU658" s="2" t="s">
        <v>1069</v>
      </c>
      <c r="BV658" s="2" t="s">
        <v>85</v>
      </c>
      <c r="BW658" s="2"/>
      <c r="BX658" s="2"/>
      <c r="BY658" s="2">
        <v>225740</v>
      </c>
      <c r="BZ658" s="2"/>
      <c r="CA658" s="2" t="s">
        <v>1065</v>
      </c>
      <c r="CB658" s="2"/>
      <c r="CC658" s="2" t="s">
        <v>161</v>
      </c>
      <c r="CD658" s="2">
        <v>7490</v>
      </c>
      <c r="CE658" s="2" t="s">
        <v>1066</v>
      </c>
      <c r="CF658" s="5">
        <v>42649</v>
      </c>
      <c r="CG658" s="2"/>
      <c r="CH658" s="2"/>
      <c r="CI658" s="2">
        <v>2</v>
      </c>
      <c r="CJ658" s="2">
        <v>2</v>
      </c>
      <c r="CK658" s="2" t="s">
        <v>1063</v>
      </c>
      <c r="CL658" s="2" t="s">
        <v>88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"FES1162504643"</f>
        <v>FES1162504643</v>
      </c>
      <c r="F659" s="3">
        <v>42648</v>
      </c>
      <c r="G659" s="2">
        <v>201704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98</v>
      </c>
      <c r="M659" s="2" t="s">
        <v>99</v>
      </c>
      <c r="N659" s="2" t="s">
        <v>832</v>
      </c>
      <c r="O659" s="2" t="s">
        <v>81</v>
      </c>
      <c r="P659" s="2" t="str">
        <f>"2170526625                    "</f>
        <v xml:space="preserve">2170526625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42.54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4</v>
      </c>
      <c r="BI659" s="2">
        <v>137.4</v>
      </c>
      <c r="BJ659" s="2">
        <v>31.2</v>
      </c>
      <c r="BK659" s="2">
        <v>138</v>
      </c>
      <c r="BL659" s="2">
        <v>527.62</v>
      </c>
      <c r="BM659" s="2">
        <v>73.87</v>
      </c>
      <c r="BN659" s="2">
        <v>601.49</v>
      </c>
      <c r="BO659" s="2">
        <v>601.49</v>
      </c>
      <c r="BP659" s="2" t="s">
        <v>1070</v>
      </c>
      <c r="BQ659" s="2" t="s">
        <v>833</v>
      </c>
      <c r="BR659" s="2" t="s">
        <v>83</v>
      </c>
      <c r="BS659" s="3">
        <v>42650</v>
      </c>
      <c r="BT659" s="4">
        <v>0.51527777777777783</v>
      </c>
      <c r="BU659" s="2" t="s">
        <v>1071</v>
      </c>
      <c r="BV659" s="2" t="s">
        <v>85</v>
      </c>
      <c r="BW659" s="2"/>
      <c r="BX659" s="2"/>
      <c r="BY659" s="2">
        <v>155916</v>
      </c>
      <c r="BZ659" s="2"/>
      <c r="CA659" s="2" t="s">
        <v>482</v>
      </c>
      <c r="CB659" s="2"/>
      <c r="CC659" s="2" t="s">
        <v>99</v>
      </c>
      <c r="CD659" s="2">
        <v>6001</v>
      </c>
      <c r="CE659" s="2" t="s">
        <v>1072</v>
      </c>
      <c r="CF659" s="5">
        <v>42650</v>
      </c>
      <c r="CG659" s="2"/>
      <c r="CH659" s="2"/>
      <c r="CI659" s="2">
        <v>2</v>
      </c>
      <c r="CJ659" s="2">
        <v>2</v>
      </c>
      <c r="CK659" s="2" t="s">
        <v>1063</v>
      </c>
      <c r="CL659" s="2" t="s">
        <v>88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"FES1162504316"</f>
        <v>FES1162504316</v>
      </c>
      <c r="F660" s="3">
        <v>42647</v>
      </c>
      <c r="G660" s="2">
        <v>201704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78</v>
      </c>
      <c r="M660" s="2" t="s">
        <v>79</v>
      </c>
      <c r="N660" s="2" t="s">
        <v>1073</v>
      </c>
      <c r="O660" s="2" t="s">
        <v>81</v>
      </c>
      <c r="P660" s="2" t="str">
        <f>"2170528010                    "</f>
        <v xml:space="preserve">2170528010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5.21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4</v>
      </c>
      <c r="BJ660" s="2">
        <v>8.5</v>
      </c>
      <c r="BK660" s="2">
        <v>9</v>
      </c>
      <c r="BL660" s="2">
        <v>74.56</v>
      </c>
      <c r="BM660" s="2">
        <v>10.44</v>
      </c>
      <c r="BN660" s="2">
        <v>85</v>
      </c>
      <c r="BO660" s="2">
        <v>85</v>
      </c>
      <c r="BP660" s="2"/>
      <c r="BQ660" s="2" t="s">
        <v>91</v>
      </c>
      <c r="BR660" s="2" t="s">
        <v>83</v>
      </c>
      <c r="BS660" s="3">
        <v>42648</v>
      </c>
      <c r="BT660" s="4">
        <v>0.41666666666666669</v>
      </c>
      <c r="BU660" s="2" t="s">
        <v>1074</v>
      </c>
      <c r="BV660" s="2" t="s">
        <v>85</v>
      </c>
      <c r="BW660" s="2"/>
      <c r="BX660" s="2"/>
      <c r="BY660" s="2">
        <v>42640</v>
      </c>
      <c r="BZ660" s="2"/>
      <c r="CA660" s="2"/>
      <c r="CB660" s="2"/>
      <c r="CC660" s="2" t="s">
        <v>79</v>
      </c>
      <c r="CD660" s="2">
        <v>1939</v>
      </c>
      <c r="CE660" s="2" t="s">
        <v>1006</v>
      </c>
      <c r="CF660" s="5">
        <v>42650</v>
      </c>
      <c r="CG660" s="2"/>
      <c r="CH660" s="2"/>
      <c r="CI660" s="2">
        <v>1</v>
      </c>
      <c r="CJ660" s="2">
        <v>1</v>
      </c>
      <c r="CK660" s="2" t="s">
        <v>87</v>
      </c>
      <c r="CL660" s="2" t="s">
        <v>88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"FES1162504644"</f>
        <v>FES1162504644</v>
      </c>
      <c r="F661" s="3">
        <v>42648</v>
      </c>
      <c r="G661" s="2">
        <v>201704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137</v>
      </c>
      <c r="M661" s="2" t="s">
        <v>138</v>
      </c>
      <c r="N661" s="2" t="s">
        <v>928</v>
      </c>
      <c r="O661" s="2" t="s">
        <v>81</v>
      </c>
      <c r="P661" s="2" t="str">
        <f>"2170525088                    "</f>
        <v xml:space="preserve">2170525088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15.9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48.8</v>
      </c>
      <c r="BJ661" s="2">
        <v>43.5</v>
      </c>
      <c r="BK661" s="2">
        <v>49</v>
      </c>
      <c r="BL661" s="2">
        <v>200.31</v>
      </c>
      <c r="BM661" s="2">
        <v>28.04</v>
      </c>
      <c r="BN661" s="2">
        <v>228.35</v>
      </c>
      <c r="BO661" s="2">
        <v>228.35</v>
      </c>
      <c r="BP661" s="2" t="s">
        <v>1067</v>
      </c>
      <c r="BQ661" s="2" t="s">
        <v>117</v>
      </c>
      <c r="BR661" s="2" t="s">
        <v>83</v>
      </c>
      <c r="BS661" s="3">
        <v>42649</v>
      </c>
      <c r="BT661" s="4">
        <v>0.46875</v>
      </c>
      <c r="BU661" s="2" t="s">
        <v>1075</v>
      </c>
      <c r="BV661" s="2"/>
      <c r="BW661" s="2"/>
      <c r="BX661" s="2"/>
      <c r="BY661" s="2">
        <v>217360</v>
      </c>
      <c r="BZ661" s="2"/>
      <c r="CA661" s="2" t="s">
        <v>1076</v>
      </c>
      <c r="CB661" s="2"/>
      <c r="CC661" s="2" t="s">
        <v>138</v>
      </c>
      <c r="CD661" s="2">
        <v>3201</v>
      </c>
      <c r="CE661" s="2" t="s">
        <v>257</v>
      </c>
      <c r="CF661" s="5">
        <v>42650</v>
      </c>
      <c r="CG661" s="2"/>
      <c r="CH661" s="2"/>
      <c r="CI661" s="2">
        <v>0</v>
      </c>
      <c r="CJ661" s="2">
        <v>0</v>
      </c>
      <c r="CK661" s="2" t="s">
        <v>1068</v>
      </c>
      <c r="CL661" s="2" t="s">
        <v>88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"FES1162505646"</f>
        <v>FES1162505646</v>
      </c>
      <c r="F662" s="3">
        <v>42653</v>
      </c>
      <c r="G662" s="2">
        <v>201704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98</v>
      </c>
      <c r="M662" s="2" t="s">
        <v>99</v>
      </c>
      <c r="N662" s="2" t="s">
        <v>716</v>
      </c>
      <c r="O662" s="2" t="s">
        <v>96</v>
      </c>
      <c r="P662" s="2" t="str">
        <f>"2170529341                    "</f>
        <v xml:space="preserve">2170529341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3.32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1</v>
      </c>
      <c r="BJ662" s="2">
        <v>0.2</v>
      </c>
      <c r="BK662" s="2">
        <v>1</v>
      </c>
      <c r="BL662" s="2">
        <v>40.76</v>
      </c>
      <c r="BM662" s="2">
        <v>5.71</v>
      </c>
      <c r="BN662" s="2">
        <v>46.47</v>
      </c>
      <c r="BO662" s="2">
        <v>46.47</v>
      </c>
      <c r="BP662" s="2"/>
      <c r="BQ662" s="2" t="s">
        <v>717</v>
      </c>
      <c r="BR662" s="2" t="s">
        <v>83</v>
      </c>
      <c r="BS662" s="3">
        <v>42654</v>
      </c>
      <c r="BT662" s="4">
        <v>0.34513888888888888</v>
      </c>
      <c r="BU662" s="2" t="s">
        <v>1077</v>
      </c>
      <c r="BV662" s="2" t="s">
        <v>85</v>
      </c>
      <c r="BW662" s="2"/>
      <c r="BX662" s="2"/>
      <c r="BY662" s="2">
        <v>1200</v>
      </c>
      <c r="BZ662" s="2"/>
      <c r="CA662" s="2" t="s">
        <v>468</v>
      </c>
      <c r="CB662" s="2"/>
      <c r="CC662" s="2" t="s">
        <v>99</v>
      </c>
      <c r="CD662" s="2">
        <v>6045</v>
      </c>
      <c r="CE662" s="2" t="s">
        <v>108</v>
      </c>
      <c r="CF662" s="5">
        <v>42655</v>
      </c>
      <c r="CG662" s="2"/>
      <c r="CH662" s="2"/>
      <c r="CI662" s="2">
        <v>1</v>
      </c>
      <c r="CJ662" s="2">
        <v>1</v>
      </c>
      <c r="CK662" s="2">
        <v>21</v>
      </c>
      <c r="CL662" s="2" t="s">
        <v>88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"FES1162505638"</f>
        <v>FES1162505638</v>
      </c>
      <c r="F663" s="3">
        <v>42653</v>
      </c>
      <c r="G663" s="2">
        <v>201704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160</v>
      </c>
      <c r="M663" s="2" t="s">
        <v>161</v>
      </c>
      <c r="N663" s="2" t="s">
        <v>1078</v>
      </c>
      <c r="O663" s="2" t="s">
        <v>96</v>
      </c>
      <c r="P663" s="2" t="str">
        <f>"2170529129                    "</f>
        <v xml:space="preserve">2170529129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63.03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4</v>
      </c>
      <c r="BI663" s="2">
        <v>37.700000000000003</v>
      </c>
      <c r="BJ663" s="2">
        <v>12</v>
      </c>
      <c r="BK663" s="2">
        <v>38</v>
      </c>
      <c r="BL663" s="2">
        <v>774.39</v>
      </c>
      <c r="BM663" s="2">
        <v>108.41</v>
      </c>
      <c r="BN663" s="2">
        <v>882.8</v>
      </c>
      <c r="BO663" s="2">
        <v>882.8</v>
      </c>
      <c r="BP663" s="2"/>
      <c r="BQ663" s="2" t="s">
        <v>1079</v>
      </c>
      <c r="BR663" s="2" t="s">
        <v>83</v>
      </c>
      <c r="BS663" s="3">
        <v>42654</v>
      </c>
      <c r="BT663" s="4">
        <v>0.3888888888888889</v>
      </c>
      <c r="BU663" s="2" t="s">
        <v>1080</v>
      </c>
      <c r="BV663" s="2"/>
      <c r="BW663" s="2"/>
      <c r="BX663" s="2"/>
      <c r="BY663" s="2">
        <v>60060.22</v>
      </c>
      <c r="BZ663" s="2"/>
      <c r="CA663" s="2"/>
      <c r="CB663" s="2"/>
      <c r="CC663" s="2" t="s">
        <v>161</v>
      </c>
      <c r="CD663" s="2">
        <v>7764</v>
      </c>
      <c r="CE663" s="2" t="s">
        <v>86</v>
      </c>
      <c r="CF663" s="5">
        <v>42655</v>
      </c>
      <c r="CG663" s="2"/>
      <c r="CH663" s="2"/>
      <c r="CI663" s="2">
        <v>0</v>
      </c>
      <c r="CJ663" s="2">
        <v>0</v>
      </c>
      <c r="CK663" s="2">
        <v>21</v>
      </c>
      <c r="CL663" s="2" t="s">
        <v>88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"FES1162505642"</f>
        <v>FES1162505642</v>
      </c>
      <c r="F664" s="3">
        <v>42653</v>
      </c>
      <c r="G664" s="2">
        <v>201704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98</v>
      </c>
      <c r="M664" s="2" t="s">
        <v>99</v>
      </c>
      <c r="N664" s="2" t="s">
        <v>350</v>
      </c>
      <c r="O664" s="2" t="s">
        <v>96</v>
      </c>
      <c r="P664" s="2" t="str">
        <f>"2170529335                    "</f>
        <v xml:space="preserve">2170529335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3.32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1</v>
      </c>
      <c r="BI664" s="2">
        <v>1</v>
      </c>
      <c r="BJ664" s="2">
        <v>0.2</v>
      </c>
      <c r="BK664" s="2">
        <v>1</v>
      </c>
      <c r="BL664" s="2">
        <v>40.76</v>
      </c>
      <c r="BM664" s="2">
        <v>5.71</v>
      </c>
      <c r="BN664" s="2">
        <v>46.47</v>
      </c>
      <c r="BO664" s="2">
        <v>46.47</v>
      </c>
      <c r="BP664" s="2"/>
      <c r="BQ664" s="2" t="s">
        <v>351</v>
      </c>
      <c r="BR664" s="2" t="s">
        <v>83</v>
      </c>
      <c r="BS664" s="3">
        <v>42654</v>
      </c>
      <c r="BT664" s="4">
        <v>0.35416666666666669</v>
      </c>
      <c r="BU664" s="2" t="s">
        <v>352</v>
      </c>
      <c r="BV664" s="2" t="s">
        <v>85</v>
      </c>
      <c r="BW664" s="2"/>
      <c r="BX664" s="2"/>
      <c r="BY664" s="2">
        <v>1200</v>
      </c>
      <c r="BZ664" s="2"/>
      <c r="CA664" s="2" t="s">
        <v>107</v>
      </c>
      <c r="CB664" s="2"/>
      <c r="CC664" s="2" t="s">
        <v>99</v>
      </c>
      <c r="CD664" s="2">
        <v>6001</v>
      </c>
      <c r="CE664" s="2" t="s">
        <v>108</v>
      </c>
      <c r="CF664" s="5">
        <v>42654</v>
      </c>
      <c r="CG664" s="2"/>
      <c r="CH664" s="2"/>
      <c r="CI664" s="2">
        <v>1</v>
      </c>
      <c r="CJ664" s="2">
        <v>1</v>
      </c>
      <c r="CK664" s="2">
        <v>21</v>
      </c>
      <c r="CL664" s="2" t="s">
        <v>88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"FES1162505592"</f>
        <v>FES1162505592</v>
      </c>
      <c r="F665" s="3">
        <v>42653</v>
      </c>
      <c r="G665" s="2">
        <v>201704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143</v>
      </c>
      <c r="M665" s="2" t="s">
        <v>144</v>
      </c>
      <c r="N665" s="2" t="s">
        <v>1081</v>
      </c>
      <c r="O665" s="2" t="s">
        <v>96</v>
      </c>
      <c r="P665" s="2" t="str">
        <f>"2170529271                    "</f>
        <v xml:space="preserve">2170529271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6.63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4</v>
      </c>
      <c r="BJ665" s="2">
        <v>0.2</v>
      </c>
      <c r="BK665" s="2">
        <v>4</v>
      </c>
      <c r="BL665" s="2">
        <v>81.510000000000005</v>
      </c>
      <c r="BM665" s="2">
        <v>11.41</v>
      </c>
      <c r="BN665" s="2">
        <v>92.92</v>
      </c>
      <c r="BO665" s="2">
        <v>92.92</v>
      </c>
      <c r="BP665" s="2"/>
      <c r="BQ665" s="2" t="s">
        <v>168</v>
      </c>
      <c r="BR665" s="2" t="s">
        <v>83</v>
      </c>
      <c r="BS665" s="3">
        <v>42654</v>
      </c>
      <c r="BT665" s="4">
        <v>0.52708333333333335</v>
      </c>
      <c r="BU665" s="2" t="s">
        <v>1082</v>
      </c>
      <c r="BV665" s="2"/>
      <c r="BW665" s="2" t="s">
        <v>277</v>
      </c>
      <c r="BX665" s="2" t="s">
        <v>278</v>
      </c>
      <c r="BY665" s="2">
        <v>1200</v>
      </c>
      <c r="BZ665" s="2"/>
      <c r="CA665" s="2" t="s">
        <v>1083</v>
      </c>
      <c r="CB665" s="2"/>
      <c r="CC665" s="2" t="s">
        <v>144</v>
      </c>
      <c r="CD665" s="2">
        <v>5201</v>
      </c>
      <c r="CE665" s="2" t="s">
        <v>108</v>
      </c>
      <c r="CF665" s="5">
        <v>42655</v>
      </c>
      <c r="CG665" s="2"/>
      <c r="CH665" s="2"/>
      <c r="CI665" s="2">
        <v>0</v>
      </c>
      <c r="CJ665" s="2">
        <v>0</v>
      </c>
      <c r="CK665" s="2">
        <v>21</v>
      </c>
      <c r="CL665" s="2" t="s">
        <v>88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"FES1162505614"</f>
        <v>FES1162505614</v>
      </c>
      <c r="F666" s="3">
        <v>42653</v>
      </c>
      <c r="G666" s="2">
        <v>201704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148</v>
      </c>
      <c r="M666" s="2" t="s">
        <v>149</v>
      </c>
      <c r="N666" s="2" t="s">
        <v>663</v>
      </c>
      <c r="O666" s="2" t="s">
        <v>96</v>
      </c>
      <c r="P666" s="2" t="str">
        <f>"2170529299                    "</f>
        <v xml:space="preserve">2170529299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3.32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1</v>
      </c>
      <c r="BJ666" s="2">
        <v>0.2</v>
      </c>
      <c r="BK666" s="2">
        <v>1</v>
      </c>
      <c r="BL666" s="2">
        <v>40.76</v>
      </c>
      <c r="BM666" s="2">
        <v>5.71</v>
      </c>
      <c r="BN666" s="2">
        <v>46.47</v>
      </c>
      <c r="BO666" s="2">
        <v>46.47</v>
      </c>
      <c r="BP666" s="2"/>
      <c r="BQ666" s="2" t="s">
        <v>91</v>
      </c>
      <c r="BR666" s="2" t="s">
        <v>83</v>
      </c>
      <c r="BS666" s="3">
        <v>42654</v>
      </c>
      <c r="BT666" s="4">
        <v>0.43263888888888885</v>
      </c>
      <c r="BU666" s="2" t="s">
        <v>1084</v>
      </c>
      <c r="BV666" s="2"/>
      <c r="BW666" s="2"/>
      <c r="BX666" s="2"/>
      <c r="BY666" s="2">
        <v>1200</v>
      </c>
      <c r="BZ666" s="2"/>
      <c r="CA666" s="2"/>
      <c r="CB666" s="2"/>
      <c r="CC666" s="2" t="s">
        <v>149</v>
      </c>
      <c r="CD666" s="2">
        <v>4001</v>
      </c>
      <c r="CE666" s="2" t="s">
        <v>108</v>
      </c>
      <c r="CF666" s="5">
        <v>42655</v>
      </c>
      <c r="CG666" s="2"/>
      <c r="CH666" s="2"/>
      <c r="CI666" s="2">
        <v>0</v>
      </c>
      <c r="CJ666" s="2">
        <v>0</v>
      </c>
      <c r="CK666" s="2">
        <v>21</v>
      </c>
      <c r="CL666" s="2" t="s">
        <v>88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"FES1162505637"</f>
        <v>FES1162505637</v>
      </c>
      <c r="F667" s="3">
        <v>42653</v>
      </c>
      <c r="G667" s="2">
        <v>201704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503</v>
      </c>
      <c r="M667" s="2" t="s">
        <v>504</v>
      </c>
      <c r="N667" s="2" t="s">
        <v>905</v>
      </c>
      <c r="O667" s="2" t="s">
        <v>96</v>
      </c>
      <c r="P667" s="2" t="str">
        <f>"2170529334                    "</f>
        <v xml:space="preserve">2170529334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6.43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78.97</v>
      </c>
      <c r="BM667" s="2">
        <v>11.06</v>
      </c>
      <c r="BN667" s="2">
        <v>90.03</v>
      </c>
      <c r="BO667" s="2">
        <v>90.03</v>
      </c>
      <c r="BP667" s="2"/>
      <c r="BQ667" s="2" t="s">
        <v>91</v>
      </c>
      <c r="BR667" s="2" t="s">
        <v>83</v>
      </c>
      <c r="BS667" s="3">
        <v>42654</v>
      </c>
      <c r="BT667" s="4">
        <v>0.41666666666666669</v>
      </c>
      <c r="BU667" s="2" t="s">
        <v>1085</v>
      </c>
      <c r="BV667" s="2" t="s">
        <v>85</v>
      </c>
      <c r="BW667" s="2"/>
      <c r="BX667" s="2"/>
      <c r="BY667" s="2">
        <v>1200</v>
      </c>
      <c r="BZ667" s="2"/>
      <c r="CA667" s="2"/>
      <c r="CB667" s="2"/>
      <c r="CC667" s="2" t="s">
        <v>504</v>
      </c>
      <c r="CD667" s="2">
        <v>7349</v>
      </c>
      <c r="CE667" s="2" t="s">
        <v>108</v>
      </c>
      <c r="CF667" s="5">
        <v>42655</v>
      </c>
      <c r="CG667" s="2"/>
      <c r="CH667" s="2"/>
      <c r="CI667" s="2">
        <v>1</v>
      </c>
      <c r="CJ667" s="2">
        <v>1</v>
      </c>
      <c r="CK667" s="2">
        <v>23</v>
      </c>
      <c r="CL667" s="2" t="s">
        <v>88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"FES1162505619"</f>
        <v>FES1162505619</v>
      </c>
      <c r="F668" s="3">
        <v>42653</v>
      </c>
      <c r="G668" s="2">
        <v>201704</v>
      </c>
      <c r="H668" s="2" t="s">
        <v>74</v>
      </c>
      <c r="I668" s="2" t="s">
        <v>75</v>
      </c>
      <c r="J668" s="2" t="s">
        <v>76</v>
      </c>
      <c r="K668" s="2" t="s">
        <v>77</v>
      </c>
      <c r="L668" s="2" t="s">
        <v>93</v>
      </c>
      <c r="M668" s="2" t="s">
        <v>94</v>
      </c>
      <c r="N668" s="2" t="s">
        <v>536</v>
      </c>
      <c r="O668" s="2" t="s">
        <v>96</v>
      </c>
      <c r="P668" s="2" t="str">
        <f>"2170529311                    "</f>
        <v xml:space="preserve">2170529311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6.63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2.2000000000000002</v>
      </c>
      <c r="BJ668" s="2">
        <v>3.6</v>
      </c>
      <c r="BK668" s="2">
        <v>4</v>
      </c>
      <c r="BL668" s="2">
        <v>81.510000000000005</v>
      </c>
      <c r="BM668" s="2">
        <v>11.41</v>
      </c>
      <c r="BN668" s="2">
        <v>92.92</v>
      </c>
      <c r="BO668" s="2">
        <v>92.92</v>
      </c>
      <c r="BP668" s="2"/>
      <c r="BQ668" s="2" t="s">
        <v>537</v>
      </c>
      <c r="BR668" s="2" t="s">
        <v>83</v>
      </c>
      <c r="BS668" s="3">
        <v>42654</v>
      </c>
      <c r="BT668" s="4">
        <v>0.4375</v>
      </c>
      <c r="BU668" s="2" t="s">
        <v>538</v>
      </c>
      <c r="BV668" s="2" t="s">
        <v>85</v>
      </c>
      <c r="BW668" s="2"/>
      <c r="BX668" s="2"/>
      <c r="BY668" s="2">
        <v>17767.3</v>
      </c>
      <c r="BZ668" s="2"/>
      <c r="CA668" s="2"/>
      <c r="CB668" s="2"/>
      <c r="CC668" s="2" t="s">
        <v>94</v>
      </c>
      <c r="CD668" s="2">
        <v>4300</v>
      </c>
      <c r="CE668" s="2" t="s">
        <v>86</v>
      </c>
      <c r="CF668" s="5">
        <v>42655</v>
      </c>
      <c r="CG668" s="2"/>
      <c r="CH668" s="2"/>
      <c r="CI668" s="2">
        <v>1</v>
      </c>
      <c r="CJ668" s="2">
        <v>1</v>
      </c>
      <c r="CK668" s="2">
        <v>21</v>
      </c>
      <c r="CL668" s="2" t="s">
        <v>88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"FES1162505626"</f>
        <v>FES1162505626</v>
      </c>
      <c r="F669" s="3">
        <v>42653</v>
      </c>
      <c r="G669" s="2">
        <v>201704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148</v>
      </c>
      <c r="M669" s="2" t="s">
        <v>149</v>
      </c>
      <c r="N669" s="2" t="s">
        <v>1086</v>
      </c>
      <c r="O669" s="2" t="s">
        <v>96</v>
      </c>
      <c r="P669" s="2" t="str">
        <f>"2170529297                    "</f>
        <v xml:space="preserve">2170529297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3.32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1</v>
      </c>
      <c r="BJ669" s="2">
        <v>0.2</v>
      </c>
      <c r="BK669" s="2">
        <v>1</v>
      </c>
      <c r="BL669" s="2">
        <v>40.76</v>
      </c>
      <c r="BM669" s="2">
        <v>5.71</v>
      </c>
      <c r="BN669" s="2">
        <v>46.47</v>
      </c>
      <c r="BO669" s="2">
        <v>46.47</v>
      </c>
      <c r="BP669" s="2"/>
      <c r="BQ669" s="2" t="s">
        <v>1087</v>
      </c>
      <c r="BR669" s="2" t="s">
        <v>83</v>
      </c>
      <c r="BS669" s="3">
        <v>42654</v>
      </c>
      <c r="BT669" s="4">
        <v>0.4375</v>
      </c>
      <c r="BU669" s="2" t="s">
        <v>1088</v>
      </c>
      <c r="BV669" s="2"/>
      <c r="BW669" s="2"/>
      <c r="BX669" s="2"/>
      <c r="BY669" s="2">
        <v>1200</v>
      </c>
      <c r="BZ669" s="2"/>
      <c r="CA669" s="2" t="s">
        <v>129</v>
      </c>
      <c r="CB669" s="2"/>
      <c r="CC669" s="2" t="s">
        <v>149</v>
      </c>
      <c r="CD669" s="2">
        <v>4001</v>
      </c>
      <c r="CE669" s="2" t="s">
        <v>108</v>
      </c>
      <c r="CF669" s="5">
        <v>42655</v>
      </c>
      <c r="CG669" s="2"/>
      <c r="CH669" s="2"/>
      <c r="CI669" s="2">
        <v>0</v>
      </c>
      <c r="CJ669" s="2">
        <v>0</v>
      </c>
      <c r="CK669" s="2">
        <v>21</v>
      </c>
      <c r="CL669" s="2" t="s">
        <v>88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"FES1162505647"</f>
        <v>FES1162505647</v>
      </c>
      <c r="F670" s="3">
        <v>42653</v>
      </c>
      <c r="G670" s="2">
        <v>201704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153</v>
      </c>
      <c r="M670" s="2" t="s">
        <v>153</v>
      </c>
      <c r="N670" s="2" t="s">
        <v>343</v>
      </c>
      <c r="O670" s="2" t="s">
        <v>96</v>
      </c>
      <c r="P670" s="2" t="str">
        <f>"2170529342                    "</f>
        <v xml:space="preserve">2170529342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3.32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1</v>
      </c>
      <c r="BJ670" s="2">
        <v>0.2</v>
      </c>
      <c r="BK670" s="2">
        <v>1</v>
      </c>
      <c r="BL670" s="2">
        <v>40.76</v>
      </c>
      <c r="BM670" s="2">
        <v>5.71</v>
      </c>
      <c r="BN670" s="2">
        <v>46.47</v>
      </c>
      <c r="BO670" s="2">
        <v>46.47</v>
      </c>
      <c r="BP670" s="2"/>
      <c r="BQ670" s="2" t="s">
        <v>344</v>
      </c>
      <c r="BR670" s="2" t="s">
        <v>83</v>
      </c>
      <c r="BS670" s="3">
        <v>42654</v>
      </c>
      <c r="BT670" s="4">
        <v>0.60069444444444442</v>
      </c>
      <c r="BU670" s="2" t="s">
        <v>1089</v>
      </c>
      <c r="BV670" s="2" t="s">
        <v>88</v>
      </c>
      <c r="BW670" s="2" t="s">
        <v>277</v>
      </c>
      <c r="BX670" s="2" t="s">
        <v>356</v>
      </c>
      <c r="BY670" s="2">
        <v>1200</v>
      </c>
      <c r="BZ670" s="2"/>
      <c r="CA670" s="2"/>
      <c r="CB670" s="2"/>
      <c r="CC670" s="2" t="s">
        <v>153</v>
      </c>
      <c r="CD670" s="2">
        <v>7646</v>
      </c>
      <c r="CE670" s="2" t="s">
        <v>108</v>
      </c>
      <c r="CF670" s="5">
        <v>42655</v>
      </c>
      <c r="CG670" s="2"/>
      <c r="CH670" s="2"/>
      <c r="CI670" s="2">
        <v>1</v>
      </c>
      <c r="CJ670" s="2">
        <v>1</v>
      </c>
      <c r="CK670" s="2">
        <v>21</v>
      </c>
      <c r="CL670" s="2" t="s">
        <v>88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"FES1162505630"</f>
        <v>FES1162505630</v>
      </c>
      <c r="F671" s="3">
        <v>42653</v>
      </c>
      <c r="G671" s="2">
        <v>201704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137</v>
      </c>
      <c r="M671" s="2" t="s">
        <v>138</v>
      </c>
      <c r="N671" s="2" t="s">
        <v>203</v>
      </c>
      <c r="O671" s="2" t="s">
        <v>96</v>
      </c>
      <c r="P671" s="2" t="str">
        <f>"2170529322                    "</f>
        <v xml:space="preserve">2170529322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3.32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</v>
      </c>
      <c r="BJ671" s="2">
        <v>0.2</v>
      </c>
      <c r="BK671" s="2">
        <v>1</v>
      </c>
      <c r="BL671" s="2">
        <v>40.76</v>
      </c>
      <c r="BM671" s="2">
        <v>5.71</v>
      </c>
      <c r="BN671" s="2">
        <v>46.47</v>
      </c>
      <c r="BO671" s="2">
        <v>46.47</v>
      </c>
      <c r="BP671" s="2"/>
      <c r="BQ671" s="2" t="s">
        <v>168</v>
      </c>
      <c r="BR671" s="2" t="s">
        <v>83</v>
      </c>
      <c r="BS671" s="3">
        <v>42654</v>
      </c>
      <c r="BT671" s="4">
        <v>0.38125000000000003</v>
      </c>
      <c r="BU671" s="2" t="s">
        <v>768</v>
      </c>
      <c r="BV671" s="2"/>
      <c r="BW671" s="2"/>
      <c r="BX671" s="2"/>
      <c r="BY671" s="2">
        <v>1200</v>
      </c>
      <c r="BZ671" s="2"/>
      <c r="CA671" s="2" t="s">
        <v>613</v>
      </c>
      <c r="CB671" s="2"/>
      <c r="CC671" s="2" t="s">
        <v>138</v>
      </c>
      <c r="CD671" s="2">
        <v>3201</v>
      </c>
      <c r="CE671" s="2" t="s">
        <v>108</v>
      </c>
      <c r="CF671" s="5">
        <v>42654</v>
      </c>
      <c r="CG671" s="2"/>
      <c r="CH671" s="2"/>
      <c r="CI671" s="2">
        <v>0</v>
      </c>
      <c r="CJ671" s="2">
        <v>0</v>
      </c>
      <c r="CK671" s="2">
        <v>21</v>
      </c>
      <c r="CL671" s="2" t="s">
        <v>88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"FES1162505521"</f>
        <v>FES1162505521</v>
      </c>
      <c r="F672" s="3">
        <v>42653</v>
      </c>
      <c r="G672" s="2">
        <v>201704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98</v>
      </c>
      <c r="M672" s="2" t="s">
        <v>99</v>
      </c>
      <c r="N672" s="2" t="s">
        <v>133</v>
      </c>
      <c r="O672" s="2" t="s">
        <v>96</v>
      </c>
      <c r="P672" s="2" t="str">
        <f>"2170529108                    "</f>
        <v xml:space="preserve">2170529108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27.37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2</v>
      </c>
      <c r="BI672" s="2">
        <v>16.100000000000001</v>
      </c>
      <c r="BJ672" s="2">
        <v>6.8</v>
      </c>
      <c r="BK672" s="2">
        <v>16.5</v>
      </c>
      <c r="BL672" s="2">
        <v>336.25</v>
      </c>
      <c r="BM672" s="2">
        <v>47.08</v>
      </c>
      <c r="BN672" s="2">
        <v>383.33</v>
      </c>
      <c r="BO672" s="2">
        <v>383.33</v>
      </c>
      <c r="BP672" s="2"/>
      <c r="BQ672" s="2" t="s">
        <v>134</v>
      </c>
      <c r="BR672" s="2" t="s">
        <v>83</v>
      </c>
      <c r="BS672" s="3">
        <v>42653</v>
      </c>
      <c r="BT672" s="4">
        <v>0.3611111111111111</v>
      </c>
      <c r="BU672" s="2" t="s">
        <v>367</v>
      </c>
      <c r="BV672" s="2" t="s">
        <v>85</v>
      </c>
      <c r="BW672" s="2"/>
      <c r="BX672" s="2"/>
      <c r="BY672" s="2">
        <v>34140.720000000001</v>
      </c>
      <c r="BZ672" s="2"/>
      <c r="CA672" s="2"/>
      <c r="CB672" s="2"/>
      <c r="CC672" s="2" t="s">
        <v>99</v>
      </c>
      <c r="CD672" s="2">
        <v>6001</v>
      </c>
      <c r="CE672" s="2" t="s">
        <v>86</v>
      </c>
      <c r="CF672" s="5">
        <v>42655</v>
      </c>
      <c r="CG672" s="2"/>
      <c r="CH672" s="2"/>
      <c r="CI672" s="2">
        <v>1</v>
      </c>
      <c r="CJ672" s="2">
        <v>0</v>
      </c>
      <c r="CK672" s="2">
        <v>21</v>
      </c>
      <c r="CL672" s="2" t="s">
        <v>88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"FES1162505544"</f>
        <v>FES1162505544</v>
      </c>
      <c r="F673" s="3">
        <v>42653</v>
      </c>
      <c r="G673" s="2">
        <v>201704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137</v>
      </c>
      <c r="M673" s="2" t="s">
        <v>138</v>
      </c>
      <c r="N673" s="2" t="s">
        <v>526</v>
      </c>
      <c r="O673" s="2" t="s">
        <v>96</v>
      </c>
      <c r="P673" s="2" t="str">
        <f>"2170528757                    "</f>
        <v xml:space="preserve">2170528757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3.32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1</v>
      </c>
      <c r="BI673" s="2">
        <v>1.6</v>
      </c>
      <c r="BJ673" s="2">
        <v>1</v>
      </c>
      <c r="BK673" s="2">
        <v>2</v>
      </c>
      <c r="BL673" s="2">
        <v>40.76</v>
      </c>
      <c r="BM673" s="2">
        <v>5.71</v>
      </c>
      <c r="BN673" s="2">
        <v>46.47</v>
      </c>
      <c r="BO673" s="2">
        <v>46.47</v>
      </c>
      <c r="BP673" s="2"/>
      <c r="BQ673" s="2" t="s">
        <v>117</v>
      </c>
      <c r="BR673" s="2" t="s">
        <v>83</v>
      </c>
      <c r="BS673" s="3">
        <v>42654</v>
      </c>
      <c r="BT673" s="4">
        <v>0.40972222222222227</v>
      </c>
      <c r="BU673" s="2" t="s">
        <v>1090</v>
      </c>
      <c r="BV673" s="2"/>
      <c r="BW673" s="2"/>
      <c r="BX673" s="2"/>
      <c r="BY673" s="2">
        <v>5040.75</v>
      </c>
      <c r="BZ673" s="2"/>
      <c r="CA673" s="2" t="s">
        <v>1091</v>
      </c>
      <c r="CB673" s="2"/>
      <c r="CC673" s="2" t="s">
        <v>138</v>
      </c>
      <c r="CD673" s="2">
        <v>3201</v>
      </c>
      <c r="CE673" s="2" t="s">
        <v>86</v>
      </c>
      <c r="CF673" s="5">
        <v>42654</v>
      </c>
      <c r="CG673" s="2"/>
      <c r="CH673" s="2"/>
      <c r="CI673" s="2">
        <v>0</v>
      </c>
      <c r="CJ673" s="2">
        <v>0</v>
      </c>
      <c r="CK673" s="2">
        <v>21</v>
      </c>
      <c r="CL673" s="2" t="s">
        <v>88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"FES1162505481"</f>
        <v>FES1162505481</v>
      </c>
      <c r="F674" s="3">
        <v>42653</v>
      </c>
      <c r="G674" s="2">
        <v>201704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93</v>
      </c>
      <c r="M674" s="2" t="s">
        <v>94</v>
      </c>
      <c r="N674" s="2" t="s">
        <v>130</v>
      </c>
      <c r="O674" s="2" t="s">
        <v>96</v>
      </c>
      <c r="P674" s="2" t="str">
        <f>"2170529128                    "</f>
        <v xml:space="preserve">2170529128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3.32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1</v>
      </c>
      <c r="BI674" s="2">
        <v>1.1000000000000001</v>
      </c>
      <c r="BJ674" s="2">
        <v>1</v>
      </c>
      <c r="BK674" s="2">
        <v>1.5</v>
      </c>
      <c r="BL674" s="2">
        <v>40.76</v>
      </c>
      <c r="BM674" s="2">
        <v>5.71</v>
      </c>
      <c r="BN674" s="2">
        <v>46.47</v>
      </c>
      <c r="BO674" s="2">
        <v>46.47</v>
      </c>
      <c r="BP674" s="2"/>
      <c r="BQ674" s="2" t="s">
        <v>131</v>
      </c>
      <c r="BR674" s="2" t="s">
        <v>83</v>
      </c>
      <c r="BS674" s="3">
        <v>42654</v>
      </c>
      <c r="BT674" s="4">
        <v>0.4375</v>
      </c>
      <c r="BU674" s="2" t="s">
        <v>431</v>
      </c>
      <c r="BV674" s="2" t="s">
        <v>85</v>
      </c>
      <c r="BW674" s="2"/>
      <c r="BX674" s="2"/>
      <c r="BY674" s="2">
        <v>5174.3999999999996</v>
      </c>
      <c r="BZ674" s="2"/>
      <c r="CA674" s="2"/>
      <c r="CB674" s="2"/>
      <c r="CC674" s="2" t="s">
        <v>94</v>
      </c>
      <c r="CD674" s="2">
        <v>4302</v>
      </c>
      <c r="CE674" s="2" t="s">
        <v>86</v>
      </c>
      <c r="CF674" s="5">
        <v>42655</v>
      </c>
      <c r="CG674" s="2"/>
      <c r="CH674" s="2"/>
      <c r="CI674" s="2">
        <v>1</v>
      </c>
      <c r="CJ674" s="2">
        <v>1</v>
      </c>
      <c r="CK674" s="2">
        <v>21</v>
      </c>
      <c r="CL674" s="2" t="s">
        <v>88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"FES1162505479"</f>
        <v>FES1162505479</v>
      </c>
      <c r="F675" s="3">
        <v>42653</v>
      </c>
      <c r="G675" s="2">
        <v>201704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93</v>
      </c>
      <c r="M675" s="2" t="s">
        <v>94</v>
      </c>
      <c r="N675" s="2" t="s">
        <v>536</v>
      </c>
      <c r="O675" s="2" t="s">
        <v>96</v>
      </c>
      <c r="P675" s="2" t="str">
        <f>"2170529008                    "</f>
        <v xml:space="preserve">2170529008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3.32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1.5</v>
      </c>
      <c r="BJ675" s="2">
        <v>1.7</v>
      </c>
      <c r="BK675" s="2">
        <v>2</v>
      </c>
      <c r="BL675" s="2">
        <v>40.76</v>
      </c>
      <c r="BM675" s="2">
        <v>5.71</v>
      </c>
      <c r="BN675" s="2">
        <v>46.47</v>
      </c>
      <c r="BO675" s="2">
        <v>46.47</v>
      </c>
      <c r="BP675" s="2"/>
      <c r="BQ675" s="2" t="s">
        <v>537</v>
      </c>
      <c r="BR675" s="2" t="s">
        <v>83</v>
      </c>
      <c r="BS675" s="3">
        <v>42654</v>
      </c>
      <c r="BT675" s="4">
        <v>0.4375</v>
      </c>
      <c r="BU675" s="2" t="s">
        <v>538</v>
      </c>
      <c r="BV675" s="2" t="s">
        <v>85</v>
      </c>
      <c r="BW675" s="2"/>
      <c r="BX675" s="2"/>
      <c r="BY675" s="2">
        <v>8361.18</v>
      </c>
      <c r="BZ675" s="2"/>
      <c r="CA675" s="2"/>
      <c r="CB675" s="2"/>
      <c r="CC675" s="2" t="s">
        <v>94</v>
      </c>
      <c r="CD675" s="2">
        <v>4300</v>
      </c>
      <c r="CE675" s="2" t="s">
        <v>86</v>
      </c>
      <c r="CF675" s="5">
        <v>42655</v>
      </c>
      <c r="CG675" s="2"/>
      <c r="CH675" s="2"/>
      <c r="CI675" s="2">
        <v>1</v>
      </c>
      <c r="CJ675" s="2">
        <v>1</v>
      </c>
      <c r="CK675" s="2">
        <v>21</v>
      </c>
      <c r="CL675" s="2" t="s">
        <v>88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"FES1162505561"</f>
        <v>FES1162505561</v>
      </c>
      <c r="F676" s="3">
        <v>42653</v>
      </c>
      <c r="G676" s="2">
        <v>201704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160</v>
      </c>
      <c r="M676" s="2" t="s">
        <v>161</v>
      </c>
      <c r="N676" s="2" t="s">
        <v>334</v>
      </c>
      <c r="O676" s="2" t="s">
        <v>96</v>
      </c>
      <c r="P676" s="2" t="str">
        <f>"2170529234                    "</f>
        <v xml:space="preserve">2170529234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3.32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0.4</v>
      </c>
      <c r="BJ676" s="2">
        <v>0.9</v>
      </c>
      <c r="BK676" s="2">
        <v>1</v>
      </c>
      <c r="BL676" s="2">
        <v>40.76</v>
      </c>
      <c r="BM676" s="2">
        <v>5.71</v>
      </c>
      <c r="BN676" s="2">
        <v>46.47</v>
      </c>
      <c r="BO676" s="2">
        <v>46.47</v>
      </c>
      <c r="BP676" s="2"/>
      <c r="BQ676" s="2" t="s">
        <v>168</v>
      </c>
      <c r="BR676" s="2" t="s">
        <v>83</v>
      </c>
      <c r="BS676" s="3">
        <v>42654</v>
      </c>
      <c r="BT676" s="4">
        <v>0.54166666666666663</v>
      </c>
      <c r="BU676" s="2" t="s">
        <v>1092</v>
      </c>
      <c r="BV676" s="2" t="s">
        <v>85</v>
      </c>
      <c r="BW676" s="2"/>
      <c r="BX676" s="2"/>
      <c r="BY676" s="2">
        <v>4727.0200000000004</v>
      </c>
      <c r="BZ676" s="2"/>
      <c r="CA676" s="2" t="s">
        <v>129</v>
      </c>
      <c r="CB676" s="2"/>
      <c r="CC676" s="2" t="s">
        <v>161</v>
      </c>
      <c r="CD676" s="2">
        <v>7945</v>
      </c>
      <c r="CE676" s="2" t="s">
        <v>108</v>
      </c>
      <c r="CF676" s="5">
        <v>42655</v>
      </c>
      <c r="CG676" s="2"/>
      <c r="CH676" s="2"/>
      <c r="CI676" s="2">
        <v>1</v>
      </c>
      <c r="CJ676" s="2">
        <v>1</v>
      </c>
      <c r="CK676" s="2">
        <v>21</v>
      </c>
      <c r="CL676" s="2" t="s">
        <v>88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"FES1162505571"</f>
        <v>FES1162505571</v>
      </c>
      <c r="F677" s="3">
        <v>42653</v>
      </c>
      <c r="G677" s="2">
        <v>201704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160</v>
      </c>
      <c r="M677" s="2" t="s">
        <v>161</v>
      </c>
      <c r="N677" s="2" t="s">
        <v>1018</v>
      </c>
      <c r="O677" s="2" t="s">
        <v>96</v>
      </c>
      <c r="P677" s="2" t="str">
        <f>"2170529246                    "</f>
        <v xml:space="preserve">2170529246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3.32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</v>
      </c>
      <c r="BJ677" s="2">
        <v>0.2</v>
      </c>
      <c r="BK677" s="2">
        <v>1</v>
      </c>
      <c r="BL677" s="2">
        <v>40.76</v>
      </c>
      <c r="BM677" s="2">
        <v>5.71</v>
      </c>
      <c r="BN677" s="2">
        <v>46.47</v>
      </c>
      <c r="BO677" s="2">
        <v>46.47</v>
      </c>
      <c r="BP677" s="2"/>
      <c r="BQ677" s="2" t="s">
        <v>1093</v>
      </c>
      <c r="BR677" s="2" t="s">
        <v>83</v>
      </c>
      <c r="BS677" s="3">
        <v>42654</v>
      </c>
      <c r="BT677" s="4">
        <v>0.47569444444444442</v>
      </c>
      <c r="BU677" s="2" t="s">
        <v>1094</v>
      </c>
      <c r="BV677" s="2" t="s">
        <v>88</v>
      </c>
      <c r="BW677" s="2" t="s">
        <v>277</v>
      </c>
      <c r="BX677" s="2" t="s">
        <v>695</v>
      </c>
      <c r="BY677" s="2">
        <v>1200</v>
      </c>
      <c r="BZ677" s="2"/>
      <c r="CA677" s="2" t="s">
        <v>129</v>
      </c>
      <c r="CB677" s="2"/>
      <c r="CC677" s="2" t="s">
        <v>161</v>
      </c>
      <c r="CD677" s="2">
        <v>7800</v>
      </c>
      <c r="CE677" s="2" t="s">
        <v>108</v>
      </c>
      <c r="CF677" s="5">
        <v>42655</v>
      </c>
      <c r="CG677" s="2"/>
      <c r="CH677" s="2"/>
      <c r="CI677" s="2">
        <v>1</v>
      </c>
      <c r="CJ677" s="2">
        <v>1</v>
      </c>
      <c r="CK677" s="2">
        <v>21</v>
      </c>
      <c r="CL677" s="2" t="s">
        <v>88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"FES1162505478"</f>
        <v>FES1162505478</v>
      </c>
      <c r="F678" s="3">
        <v>42653</v>
      </c>
      <c r="G678" s="2">
        <v>201704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137</v>
      </c>
      <c r="M678" s="2" t="s">
        <v>138</v>
      </c>
      <c r="N678" s="2" t="s">
        <v>203</v>
      </c>
      <c r="O678" s="2" t="s">
        <v>96</v>
      </c>
      <c r="P678" s="2" t="str">
        <f>"2170528999                    "</f>
        <v xml:space="preserve">2170528999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8.2899999999999991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5</v>
      </c>
      <c r="BJ678" s="2">
        <v>1.6</v>
      </c>
      <c r="BK678" s="2">
        <v>5</v>
      </c>
      <c r="BL678" s="2">
        <v>101.89</v>
      </c>
      <c r="BM678" s="2">
        <v>14.26</v>
      </c>
      <c r="BN678" s="2">
        <v>116.15</v>
      </c>
      <c r="BO678" s="2">
        <v>116.15</v>
      </c>
      <c r="BP678" s="2"/>
      <c r="BQ678" s="2" t="s">
        <v>168</v>
      </c>
      <c r="BR678" s="2" t="s">
        <v>83</v>
      </c>
      <c r="BS678" s="3">
        <v>42654</v>
      </c>
      <c r="BT678" s="4">
        <v>0.38055555555555554</v>
      </c>
      <c r="BU678" s="2" t="s">
        <v>768</v>
      </c>
      <c r="BV678" s="2"/>
      <c r="BW678" s="2"/>
      <c r="BX678" s="2"/>
      <c r="BY678" s="2">
        <v>8112</v>
      </c>
      <c r="BZ678" s="2"/>
      <c r="CA678" s="2" t="s">
        <v>613</v>
      </c>
      <c r="CB678" s="2"/>
      <c r="CC678" s="2" t="s">
        <v>138</v>
      </c>
      <c r="CD678" s="2">
        <v>3201</v>
      </c>
      <c r="CE678" s="2" t="s">
        <v>86</v>
      </c>
      <c r="CF678" s="5">
        <v>42654</v>
      </c>
      <c r="CG678" s="2"/>
      <c r="CH678" s="2"/>
      <c r="CI678" s="2">
        <v>0</v>
      </c>
      <c r="CJ678" s="2">
        <v>0</v>
      </c>
      <c r="CK678" s="2">
        <v>21</v>
      </c>
      <c r="CL678" s="2" t="s">
        <v>88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"FES1162505570"</f>
        <v>FES1162505570</v>
      </c>
      <c r="F679" s="3">
        <v>42653</v>
      </c>
      <c r="G679" s="2">
        <v>201704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153</v>
      </c>
      <c r="M679" s="2" t="s">
        <v>153</v>
      </c>
      <c r="N679" s="2" t="s">
        <v>343</v>
      </c>
      <c r="O679" s="2" t="s">
        <v>96</v>
      </c>
      <c r="P679" s="2" t="str">
        <f>"2170529243                    "</f>
        <v xml:space="preserve">2170529243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10.78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6.1</v>
      </c>
      <c r="BJ679" s="2">
        <v>3.9</v>
      </c>
      <c r="BK679" s="2">
        <v>6.5</v>
      </c>
      <c r="BL679" s="2">
        <v>132.46</v>
      </c>
      <c r="BM679" s="2">
        <v>18.54</v>
      </c>
      <c r="BN679" s="2">
        <v>151</v>
      </c>
      <c r="BO679" s="2">
        <v>151</v>
      </c>
      <c r="BP679" s="2"/>
      <c r="BQ679" s="2" t="s">
        <v>344</v>
      </c>
      <c r="BR679" s="2" t="s">
        <v>83</v>
      </c>
      <c r="BS679" s="3">
        <v>42654</v>
      </c>
      <c r="BT679" s="4">
        <v>0.60069444444444442</v>
      </c>
      <c r="BU679" s="2" t="s">
        <v>1095</v>
      </c>
      <c r="BV679" s="2" t="s">
        <v>88</v>
      </c>
      <c r="BW679" s="2" t="s">
        <v>277</v>
      </c>
      <c r="BX679" s="2" t="s">
        <v>356</v>
      </c>
      <c r="BY679" s="2">
        <v>19260.32</v>
      </c>
      <c r="BZ679" s="2"/>
      <c r="CA679" s="2"/>
      <c r="CB679" s="2"/>
      <c r="CC679" s="2" t="s">
        <v>153</v>
      </c>
      <c r="CD679" s="2">
        <v>7646</v>
      </c>
      <c r="CE679" s="2" t="s">
        <v>86</v>
      </c>
      <c r="CF679" s="5">
        <v>42655</v>
      </c>
      <c r="CG679" s="2"/>
      <c r="CH679" s="2"/>
      <c r="CI679" s="2">
        <v>1</v>
      </c>
      <c r="CJ679" s="2">
        <v>1</v>
      </c>
      <c r="CK679" s="2">
        <v>21</v>
      </c>
      <c r="CL679" s="2" t="s">
        <v>88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"FES1162505569"</f>
        <v>FES1162505569</v>
      </c>
      <c r="F680" s="3">
        <v>42653</v>
      </c>
      <c r="G680" s="2">
        <v>201704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160</v>
      </c>
      <c r="M680" s="2" t="s">
        <v>161</v>
      </c>
      <c r="N680" s="2" t="s">
        <v>302</v>
      </c>
      <c r="O680" s="2" t="s">
        <v>96</v>
      </c>
      <c r="P680" s="2" t="str">
        <f>"2170529242                    "</f>
        <v xml:space="preserve">2170529242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3.32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40.76</v>
      </c>
      <c r="BM680" s="2">
        <v>5.71</v>
      </c>
      <c r="BN680" s="2">
        <v>46.47</v>
      </c>
      <c r="BO680" s="2">
        <v>46.47</v>
      </c>
      <c r="BP680" s="2"/>
      <c r="BQ680" s="2" t="s">
        <v>303</v>
      </c>
      <c r="BR680" s="2" t="s">
        <v>83</v>
      </c>
      <c r="BS680" s="3">
        <v>42654</v>
      </c>
      <c r="BT680" s="4">
        <v>0.40277777777777773</v>
      </c>
      <c r="BU680" s="2" t="s">
        <v>303</v>
      </c>
      <c r="BV680" s="2" t="s">
        <v>85</v>
      </c>
      <c r="BW680" s="2"/>
      <c r="BX680" s="2"/>
      <c r="BY680" s="2">
        <v>1200</v>
      </c>
      <c r="BZ680" s="2"/>
      <c r="CA680" s="2"/>
      <c r="CB680" s="2"/>
      <c r="CC680" s="2" t="s">
        <v>161</v>
      </c>
      <c r="CD680" s="2">
        <v>7530</v>
      </c>
      <c r="CE680" s="2" t="s">
        <v>108</v>
      </c>
      <c r="CF680" s="5">
        <v>42655</v>
      </c>
      <c r="CG680" s="2"/>
      <c r="CH680" s="2"/>
      <c r="CI680" s="2">
        <v>1</v>
      </c>
      <c r="CJ680" s="2">
        <v>1</v>
      </c>
      <c r="CK680" s="2">
        <v>21</v>
      </c>
      <c r="CL680" s="2" t="s">
        <v>88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"FES1162505555"</f>
        <v>FES1162505555</v>
      </c>
      <c r="F681" s="3">
        <v>42653</v>
      </c>
      <c r="G681" s="2">
        <v>201704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153</v>
      </c>
      <c r="M681" s="2" t="s">
        <v>153</v>
      </c>
      <c r="N681" s="2" t="s">
        <v>200</v>
      </c>
      <c r="O681" s="2" t="s">
        <v>96</v>
      </c>
      <c r="P681" s="2" t="str">
        <f>"2170529226                    "</f>
        <v xml:space="preserve">2170529226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3.32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40.76</v>
      </c>
      <c r="BM681" s="2">
        <v>5.71</v>
      </c>
      <c r="BN681" s="2">
        <v>46.47</v>
      </c>
      <c r="BO681" s="2">
        <v>46.47</v>
      </c>
      <c r="BP681" s="2"/>
      <c r="BQ681" s="2" t="s">
        <v>201</v>
      </c>
      <c r="BR681" s="2" t="s">
        <v>83</v>
      </c>
      <c r="BS681" s="3">
        <v>42654</v>
      </c>
      <c r="BT681" s="4">
        <v>0.625</v>
      </c>
      <c r="BU681" s="2" t="s">
        <v>1096</v>
      </c>
      <c r="BV681" s="2" t="s">
        <v>88</v>
      </c>
      <c r="BW681" s="2" t="s">
        <v>277</v>
      </c>
      <c r="BX681" s="2" t="s">
        <v>356</v>
      </c>
      <c r="BY681" s="2">
        <v>1200</v>
      </c>
      <c r="BZ681" s="2"/>
      <c r="CA681" s="2" t="s">
        <v>129</v>
      </c>
      <c r="CB681" s="2"/>
      <c r="CC681" s="2" t="s">
        <v>153</v>
      </c>
      <c r="CD681" s="2">
        <v>7646</v>
      </c>
      <c r="CE681" s="2" t="s">
        <v>108</v>
      </c>
      <c r="CF681" s="5">
        <v>42655</v>
      </c>
      <c r="CG681" s="2"/>
      <c r="CH681" s="2"/>
      <c r="CI681" s="2">
        <v>1</v>
      </c>
      <c r="CJ681" s="2">
        <v>1</v>
      </c>
      <c r="CK681" s="2">
        <v>21</v>
      </c>
      <c r="CL681" s="2" t="s">
        <v>88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"FES1162505560"</f>
        <v>FES1162505560</v>
      </c>
      <c r="F682" s="3">
        <v>42653</v>
      </c>
      <c r="G682" s="2">
        <v>201704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148</v>
      </c>
      <c r="M682" s="2" t="s">
        <v>149</v>
      </c>
      <c r="N682" s="2" t="s">
        <v>211</v>
      </c>
      <c r="O682" s="2" t="s">
        <v>96</v>
      </c>
      <c r="P682" s="2" t="str">
        <f>"2170529231                    "</f>
        <v xml:space="preserve">2170529231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3.32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1.4</v>
      </c>
      <c r="BJ682" s="2">
        <v>2</v>
      </c>
      <c r="BK682" s="2">
        <v>2</v>
      </c>
      <c r="BL682" s="2">
        <v>40.76</v>
      </c>
      <c r="BM682" s="2">
        <v>5.71</v>
      </c>
      <c r="BN682" s="2">
        <v>46.47</v>
      </c>
      <c r="BO682" s="2">
        <v>46.47</v>
      </c>
      <c r="BP682" s="2"/>
      <c r="BQ682" s="2" t="s">
        <v>91</v>
      </c>
      <c r="BR682" s="2" t="s">
        <v>83</v>
      </c>
      <c r="BS682" s="3">
        <v>42654</v>
      </c>
      <c r="BT682" s="4">
        <v>0.4375</v>
      </c>
      <c r="BU682" s="2" t="s">
        <v>1097</v>
      </c>
      <c r="BV682" s="2" t="s">
        <v>85</v>
      </c>
      <c r="BW682" s="2"/>
      <c r="BX682" s="2"/>
      <c r="BY682" s="2">
        <v>9816.2199999999993</v>
      </c>
      <c r="BZ682" s="2"/>
      <c r="CA682" s="2"/>
      <c r="CB682" s="2"/>
      <c r="CC682" s="2" t="s">
        <v>149</v>
      </c>
      <c r="CD682" s="2">
        <v>4052</v>
      </c>
      <c r="CE682" s="2" t="s">
        <v>108</v>
      </c>
      <c r="CF682" s="5">
        <v>42655</v>
      </c>
      <c r="CG682" s="2"/>
      <c r="CH682" s="2"/>
      <c r="CI682" s="2">
        <v>1</v>
      </c>
      <c r="CJ682" s="2">
        <v>1</v>
      </c>
      <c r="CK682" s="2">
        <v>21</v>
      </c>
      <c r="CL682" s="2" t="s">
        <v>88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"FES1162505581"</f>
        <v>FES1162505581</v>
      </c>
      <c r="F683" s="3">
        <v>42653</v>
      </c>
      <c r="G683" s="2">
        <v>201704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98</v>
      </c>
      <c r="M683" s="2" t="s">
        <v>99</v>
      </c>
      <c r="N683" s="2" t="s">
        <v>1098</v>
      </c>
      <c r="O683" s="2" t="s">
        <v>96</v>
      </c>
      <c r="P683" s="2" t="str">
        <f>"2170529261                    "</f>
        <v xml:space="preserve">2170529261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12.44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4</v>
      </c>
      <c r="BJ683" s="2">
        <v>7.3</v>
      </c>
      <c r="BK683" s="2">
        <v>7.5</v>
      </c>
      <c r="BL683" s="2">
        <v>152.84</v>
      </c>
      <c r="BM683" s="2">
        <v>21.4</v>
      </c>
      <c r="BN683" s="2">
        <v>174.24</v>
      </c>
      <c r="BO683" s="2">
        <v>174.24</v>
      </c>
      <c r="BP683" s="2"/>
      <c r="BQ683" s="2" t="s">
        <v>1099</v>
      </c>
      <c r="BR683" s="2" t="s">
        <v>83</v>
      </c>
      <c r="BS683" s="3">
        <v>42654</v>
      </c>
      <c r="BT683" s="4">
        <v>0.31041666666666667</v>
      </c>
      <c r="BU683" s="2" t="s">
        <v>603</v>
      </c>
      <c r="BV683" s="2" t="s">
        <v>85</v>
      </c>
      <c r="BW683" s="2"/>
      <c r="BX683" s="2"/>
      <c r="BY683" s="2">
        <v>36400</v>
      </c>
      <c r="BZ683" s="2"/>
      <c r="CA683" s="2" t="s">
        <v>107</v>
      </c>
      <c r="CB683" s="2"/>
      <c r="CC683" s="2" t="s">
        <v>99</v>
      </c>
      <c r="CD683" s="2">
        <v>6012</v>
      </c>
      <c r="CE683" s="2" t="s">
        <v>86</v>
      </c>
      <c r="CF683" s="5">
        <v>42654</v>
      </c>
      <c r="CG683" s="2"/>
      <c r="CH683" s="2"/>
      <c r="CI683" s="2">
        <v>1</v>
      </c>
      <c r="CJ683" s="2">
        <v>1</v>
      </c>
      <c r="CK683" s="2">
        <v>21</v>
      </c>
      <c r="CL683" s="2" t="s">
        <v>88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"FES1162505545"</f>
        <v>FES1162505545</v>
      </c>
      <c r="F684" s="3">
        <v>42653</v>
      </c>
      <c r="G684" s="2">
        <v>201704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269</v>
      </c>
      <c r="M684" s="2" t="s">
        <v>270</v>
      </c>
      <c r="N684" s="2" t="s">
        <v>778</v>
      </c>
      <c r="O684" s="2" t="s">
        <v>96</v>
      </c>
      <c r="P684" s="2" t="str">
        <f>"2170529215                    "</f>
        <v xml:space="preserve">2170529215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8.2899999999999991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5</v>
      </c>
      <c r="BJ684" s="2">
        <v>4.0999999999999996</v>
      </c>
      <c r="BK684" s="2">
        <v>5</v>
      </c>
      <c r="BL684" s="2">
        <v>101.89</v>
      </c>
      <c r="BM684" s="2">
        <v>14.26</v>
      </c>
      <c r="BN684" s="2">
        <v>116.15</v>
      </c>
      <c r="BO684" s="2">
        <v>116.15</v>
      </c>
      <c r="BP684" s="2"/>
      <c r="BQ684" s="2" t="s">
        <v>117</v>
      </c>
      <c r="BR684" s="2" t="s">
        <v>83</v>
      </c>
      <c r="BS684" s="3">
        <v>42654</v>
      </c>
      <c r="BT684" s="4">
        <v>0.4375</v>
      </c>
      <c r="BU684" s="2" t="s">
        <v>1100</v>
      </c>
      <c r="BV684" s="2" t="s">
        <v>85</v>
      </c>
      <c r="BW684" s="2"/>
      <c r="BX684" s="2"/>
      <c r="BY684" s="2">
        <v>20358</v>
      </c>
      <c r="BZ684" s="2"/>
      <c r="CA684" s="2"/>
      <c r="CB684" s="2"/>
      <c r="CC684" s="2" t="s">
        <v>270</v>
      </c>
      <c r="CD684" s="2">
        <v>3600</v>
      </c>
      <c r="CE684" s="2" t="s">
        <v>86</v>
      </c>
      <c r="CF684" s="5">
        <v>42655</v>
      </c>
      <c r="CG684" s="2"/>
      <c r="CH684" s="2"/>
      <c r="CI684" s="2">
        <v>1</v>
      </c>
      <c r="CJ684" s="2">
        <v>1</v>
      </c>
      <c r="CK684" s="2">
        <v>21</v>
      </c>
      <c r="CL684" s="2" t="s">
        <v>88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"FES1162505575"</f>
        <v>FES1162505575</v>
      </c>
      <c r="F685" s="3">
        <v>42653</v>
      </c>
      <c r="G685" s="2">
        <v>201704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98</v>
      </c>
      <c r="M685" s="2" t="s">
        <v>99</v>
      </c>
      <c r="N685" s="2" t="s">
        <v>350</v>
      </c>
      <c r="O685" s="2" t="s">
        <v>96</v>
      </c>
      <c r="P685" s="2" t="str">
        <f>"2170529251                    "</f>
        <v xml:space="preserve">2170529251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24.05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14.5</v>
      </c>
      <c r="BJ685" s="2">
        <v>13.9</v>
      </c>
      <c r="BK685" s="2">
        <v>14.5</v>
      </c>
      <c r="BL685" s="2">
        <v>295.49</v>
      </c>
      <c r="BM685" s="2">
        <v>41.37</v>
      </c>
      <c r="BN685" s="2">
        <v>336.86</v>
      </c>
      <c r="BO685" s="2">
        <v>336.86</v>
      </c>
      <c r="BP685" s="2"/>
      <c r="BQ685" s="2" t="s">
        <v>351</v>
      </c>
      <c r="BR685" s="2" t="s">
        <v>83</v>
      </c>
      <c r="BS685" s="3">
        <v>42654</v>
      </c>
      <c r="BT685" s="4">
        <v>0.35416666666666669</v>
      </c>
      <c r="BU685" s="2" t="s">
        <v>352</v>
      </c>
      <c r="BV685" s="2" t="s">
        <v>85</v>
      </c>
      <c r="BW685" s="2"/>
      <c r="BX685" s="2"/>
      <c r="BY685" s="2">
        <v>69293.11</v>
      </c>
      <c r="BZ685" s="2"/>
      <c r="CA685" s="2" t="s">
        <v>107</v>
      </c>
      <c r="CB685" s="2"/>
      <c r="CC685" s="2" t="s">
        <v>99</v>
      </c>
      <c r="CD685" s="2">
        <v>6001</v>
      </c>
      <c r="CE685" s="2" t="s">
        <v>86</v>
      </c>
      <c r="CF685" s="5">
        <v>42654</v>
      </c>
      <c r="CG685" s="2"/>
      <c r="CH685" s="2"/>
      <c r="CI685" s="2">
        <v>1</v>
      </c>
      <c r="CJ685" s="2">
        <v>1</v>
      </c>
      <c r="CK685" s="2">
        <v>21</v>
      </c>
      <c r="CL685" s="2" t="s">
        <v>88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"FES1162505583"</f>
        <v>FES1162505583</v>
      </c>
      <c r="F686" s="3">
        <v>42653</v>
      </c>
      <c r="G686" s="2">
        <v>201704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160</v>
      </c>
      <c r="M686" s="2" t="s">
        <v>161</v>
      </c>
      <c r="N686" s="2" t="s">
        <v>774</v>
      </c>
      <c r="O686" s="2" t="s">
        <v>96</v>
      </c>
      <c r="P686" s="2" t="str">
        <f>"2170529264                    "</f>
        <v xml:space="preserve">2170529264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3.32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</v>
      </c>
      <c r="BJ686" s="2">
        <v>0.2</v>
      </c>
      <c r="BK686" s="2">
        <v>1</v>
      </c>
      <c r="BL686" s="2">
        <v>40.76</v>
      </c>
      <c r="BM686" s="2">
        <v>5.71</v>
      </c>
      <c r="BN686" s="2">
        <v>46.47</v>
      </c>
      <c r="BO686" s="2">
        <v>46.47</v>
      </c>
      <c r="BP686" s="2"/>
      <c r="BQ686" s="2" t="s">
        <v>91</v>
      </c>
      <c r="BR686" s="2" t="s">
        <v>83</v>
      </c>
      <c r="BS686" s="3">
        <v>42654</v>
      </c>
      <c r="BT686" s="4">
        <v>0.46527777777777773</v>
      </c>
      <c r="BU686" s="2" t="s">
        <v>795</v>
      </c>
      <c r="BV686" s="2"/>
      <c r="BW686" s="2" t="s">
        <v>277</v>
      </c>
      <c r="BX686" s="2" t="s">
        <v>356</v>
      </c>
      <c r="BY686" s="2">
        <v>1200</v>
      </c>
      <c r="BZ686" s="2"/>
      <c r="CA686" s="2"/>
      <c r="CB686" s="2"/>
      <c r="CC686" s="2" t="s">
        <v>161</v>
      </c>
      <c r="CD686" s="2">
        <v>8001</v>
      </c>
      <c r="CE686" s="2" t="s">
        <v>108</v>
      </c>
      <c r="CF686" s="5">
        <v>42655</v>
      </c>
      <c r="CG686" s="2"/>
      <c r="CH686" s="2"/>
      <c r="CI686" s="2">
        <v>0</v>
      </c>
      <c r="CJ686" s="2">
        <v>0</v>
      </c>
      <c r="CK686" s="2">
        <v>21</v>
      </c>
      <c r="CL686" s="2" t="s">
        <v>88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"FES1162505580"</f>
        <v>FES1162505580</v>
      </c>
      <c r="F687" s="3">
        <v>42653</v>
      </c>
      <c r="G687" s="2">
        <v>201704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98</v>
      </c>
      <c r="M687" s="2" t="s">
        <v>99</v>
      </c>
      <c r="N687" s="2" t="s">
        <v>109</v>
      </c>
      <c r="O687" s="2" t="s">
        <v>96</v>
      </c>
      <c r="P687" s="2" t="str">
        <f>"2170529260                    "</f>
        <v xml:space="preserve">2170529260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3.32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40.76</v>
      </c>
      <c r="BM687" s="2">
        <v>5.71</v>
      </c>
      <c r="BN687" s="2">
        <v>46.47</v>
      </c>
      <c r="BO687" s="2">
        <v>46.47</v>
      </c>
      <c r="BP687" s="2"/>
      <c r="BQ687" s="2" t="s">
        <v>110</v>
      </c>
      <c r="BR687" s="2" t="s">
        <v>83</v>
      </c>
      <c r="BS687" s="3">
        <v>42654</v>
      </c>
      <c r="BT687" s="4">
        <v>0.37152777777777773</v>
      </c>
      <c r="BU687" s="2" t="s">
        <v>111</v>
      </c>
      <c r="BV687" s="2" t="s">
        <v>85</v>
      </c>
      <c r="BW687" s="2"/>
      <c r="BX687" s="2"/>
      <c r="BY687" s="2">
        <v>1200</v>
      </c>
      <c r="BZ687" s="2"/>
      <c r="CA687" s="2" t="s">
        <v>107</v>
      </c>
      <c r="CB687" s="2"/>
      <c r="CC687" s="2" t="s">
        <v>99</v>
      </c>
      <c r="CD687" s="2">
        <v>6001</v>
      </c>
      <c r="CE687" s="2" t="s">
        <v>108</v>
      </c>
      <c r="CF687" s="5">
        <v>42654</v>
      </c>
      <c r="CG687" s="2"/>
      <c r="CH687" s="2"/>
      <c r="CI687" s="2">
        <v>1</v>
      </c>
      <c r="CJ687" s="2">
        <v>1</v>
      </c>
      <c r="CK687" s="2">
        <v>21</v>
      </c>
      <c r="CL687" s="2" t="s">
        <v>88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"FES1162505607"</f>
        <v>FES1162505607</v>
      </c>
      <c r="F688" s="3">
        <v>42653</v>
      </c>
      <c r="G688" s="2">
        <v>201704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614</v>
      </c>
      <c r="M688" s="2" t="s">
        <v>615</v>
      </c>
      <c r="N688" s="2" t="s">
        <v>1101</v>
      </c>
      <c r="O688" s="2" t="s">
        <v>96</v>
      </c>
      <c r="P688" s="2" t="str">
        <f>"2170529288                    "</f>
        <v xml:space="preserve">2170529288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3.32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1</v>
      </c>
      <c r="BJ688" s="2">
        <v>0.2</v>
      </c>
      <c r="BK688" s="2">
        <v>1</v>
      </c>
      <c r="BL688" s="2">
        <v>40.76</v>
      </c>
      <c r="BM688" s="2">
        <v>5.71</v>
      </c>
      <c r="BN688" s="2">
        <v>46.47</v>
      </c>
      <c r="BO688" s="2">
        <v>46.47</v>
      </c>
      <c r="BP688" s="2"/>
      <c r="BQ688" s="2" t="s">
        <v>1102</v>
      </c>
      <c r="BR688" s="2" t="s">
        <v>83</v>
      </c>
      <c r="BS688" s="3">
        <v>42654</v>
      </c>
      <c r="BT688" s="4">
        <v>0.4375</v>
      </c>
      <c r="BU688" s="2" t="s">
        <v>1103</v>
      </c>
      <c r="BV688" s="2" t="s">
        <v>85</v>
      </c>
      <c r="BW688" s="2"/>
      <c r="BX688" s="2"/>
      <c r="BY688" s="2">
        <v>1200</v>
      </c>
      <c r="BZ688" s="2"/>
      <c r="CA688" s="2" t="s">
        <v>129</v>
      </c>
      <c r="CB688" s="2"/>
      <c r="CC688" s="2" t="s">
        <v>615</v>
      </c>
      <c r="CD688" s="2">
        <v>4026</v>
      </c>
      <c r="CE688" s="2" t="s">
        <v>108</v>
      </c>
      <c r="CF688" s="5">
        <v>42655</v>
      </c>
      <c r="CG688" s="2"/>
      <c r="CH688" s="2"/>
      <c r="CI688" s="2">
        <v>1</v>
      </c>
      <c r="CJ688" s="2">
        <v>1</v>
      </c>
      <c r="CK688" s="2">
        <v>21</v>
      </c>
      <c r="CL688" s="2" t="s">
        <v>88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"FES1162505586"</f>
        <v>FES1162505586</v>
      </c>
      <c r="F689" s="3">
        <v>42653</v>
      </c>
      <c r="G689" s="2">
        <v>201704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269</v>
      </c>
      <c r="M689" s="2" t="s">
        <v>270</v>
      </c>
      <c r="N689" s="2" t="s">
        <v>1104</v>
      </c>
      <c r="O689" s="2" t="s">
        <v>96</v>
      </c>
      <c r="P689" s="2" t="str">
        <f>"2170529268                    "</f>
        <v xml:space="preserve">2170529268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3.32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1</v>
      </c>
      <c r="BJ689" s="2">
        <v>0.2</v>
      </c>
      <c r="BK689" s="2">
        <v>1</v>
      </c>
      <c r="BL689" s="2">
        <v>40.76</v>
      </c>
      <c r="BM689" s="2">
        <v>5.71</v>
      </c>
      <c r="BN689" s="2">
        <v>46.47</v>
      </c>
      <c r="BO689" s="2">
        <v>46.47</v>
      </c>
      <c r="BP689" s="2"/>
      <c r="BQ689" s="2" t="s">
        <v>82</v>
      </c>
      <c r="BR689" s="2" t="s">
        <v>83</v>
      </c>
      <c r="BS689" s="3">
        <v>42654</v>
      </c>
      <c r="BT689" s="4">
        <v>0.40763888888888888</v>
      </c>
      <c r="BU689" s="2" t="s">
        <v>1105</v>
      </c>
      <c r="BV689" s="2" t="s">
        <v>85</v>
      </c>
      <c r="BW689" s="2"/>
      <c r="BX689" s="2"/>
      <c r="BY689" s="2">
        <v>1200</v>
      </c>
      <c r="BZ689" s="2"/>
      <c r="CA689" s="2"/>
      <c r="CB689" s="2"/>
      <c r="CC689" s="2" t="s">
        <v>270</v>
      </c>
      <c r="CD689" s="2">
        <v>3610</v>
      </c>
      <c r="CE689" s="2" t="s">
        <v>108</v>
      </c>
      <c r="CF689" s="5">
        <v>42655</v>
      </c>
      <c r="CG689" s="2"/>
      <c r="CH689" s="2"/>
      <c r="CI689" s="2">
        <v>1</v>
      </c>
      <c r="CJ689" s="2">
        <v>1</v>
      </c>
      <c r="CK689" s="2">
        <v>21</v>
      </c>
      <c r="CL689" s="2" t="s">
        <v>88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"FES1162505582"</f>
        <v>FES1162505582</v>
      </c>
      <c r="F690" s="3">
        <v>42653</v>
      </c>
      <c r="G690" s="2">
        <v>201704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93</v>
      </c>
      <c r="M690" s="2" t="s">
        <v>94</v>
      </c>
      <c r="N690" s="2" t="s">
        <v>130</v>
      </c>
      <c r="O690" s="2" t="s">
        <v>96</v>
      </c>
      <c r="P690" s="2" t="str">
        <f>"2170529262                    "</f>
        <v xml:space="preserve">2170529262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3.32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</v>
      </c>
      <c r="BJ690" s="2">
        <v>0.2</v>
      </c>
      <c r="BK690" s="2">
        <v>1</v>
      </c>
      <c r="BL690" s="2">
        <v>40.76</v>
      </c>
      <c r="BM690" s="2">
        <v>5.71</v>
      </c>
      <c r="BN690" s="2">
        <v>46.47</v>
      </c>
      <c r="BO690" s="2">
        <v>46.47</v>
      </c>
      <c r="BP690" s="2"/>
      <c r="BQ690" s="2" t="s">
        <v>131</v>
      </c>
      <c r="BR690" s="2" t="s">
        <v>83</v>
      </c>
      <c r="BS690" s="3">
        <v>42654</v>
      </c>
      <c r="BT690" s="4">
        <v>0.4375</v>
      </c>
      <c r="BU690" s="2" t="s">
        <v>1106</v>
      </c>
      <c r="BV690" s="2" t="s">
        <v>85</v>
      </c>
      <c r="BW690" s="2"/>
      <c r="BX690" s="2"/>
      <c r="BY690" s="2">
        <v>1200</v>
      </c>
      <c r="BZ690" s="2"/>
      <c r="CA690" s="2"/>
      <c r="CB690" s="2"/>
      <c r="CC690" s="2" t="s">
        <v>94</v>
      </c>
      <c r="CD690" s="2">
        <v>4302</v>
      </c>
      <c r="CE690" s="2" t="s">
        <v>108</v>
      </c>
      <c r="CF690" s="5">
        <v>42655</v>
      </c>
      <c r="CG690" s="2"/>
      <c r="CH690" s="2"/>
      <c r="CI690" s="2">
        <v>1</v>
      </c>
      <c r="CJ690" s="2">
        <v>1</v>
      </c>
      <c r="CK690" s="2">
        <v>21</v>
      </c>
      <c r="CL690" s="2" t="s">
        <v>88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"FES1162505605"</f>
        <v>FES1162505605</v>
      </c>
      <c r="F691" s="3">
        <v>42653</v>
      </c>
      <c r="G691" s="2">
        <v>201704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148</v>
      </c>
      <c r="M691" s="2" t="s">
        <v>149</v>
      </c>
      <c r="N691" s="2" t="s">
        <v>1107</v>
      </c>
      <c r="O691" s="2" t="s">
        <v>96</v>
      </c>
      <c r="P691" s="2" t="str">
        <f>"2170529285                    "</f>
        <v xml:space="preserve">2170529285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32.340000000000003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8.9</v>
      </c>
      <c r="BJ691" s="2">
        <v>19.2</v>
      </c>
      <c r="BK691" s="2">
        <v>19.5</v>
      </c>
      <c r="BL691" s="2">
        <v>397.38</v>
      </c>
      <c r="BM691" s="2">
        <v>55.63</v>
      </c>
      <c r="BN691" s="2">
        <v>453.01</v>
      </c>
      <c r="BO691" s="2">
        <v>453.01</v>
      </c>
      <c r="BP691" s="2"/>
      <c r="BQ691" s="2" t="s">
        <v>91</v>
      </c>
      <c r="BR691" s="2" t="s">
        <v>83</v>
      </c>
      <c r="BS691" s="3">
        <v>42654</v>
      </c>
      <c r="BT691" s="4">
        <v>0.4375</v>
      </c>
      <c r="BU691" s="2" t="s">
        <v>1108</v>
      </c>
      <c r="BV691" s="2" t="s">
        <v>85</v>
      </c>
      <c r="BW691" s="2"/>
      <c r="BX691" s="2"/>
      <c r="BY691" s="2">
        <v>95866.69</v>
      </c>
      <c r="BZ691" s="2"/>
      <c r="CA691" s="2"/>
      <c r="CB691" s="2"/>
      <c r="CC691" s="2" t="s">
        <v>149</v>
      </c>
      <c r="CD691" s="2">
        <v>4051</v>
      </c>
      <c r="CE691" s="2" t="s">
        <v>86</v>
      </c>
      <c r="CF691" s="5">
        <v>42655</v>
      </c>
      <c r="CG691" s="2"/>
      <c r="CH691" s="2"/>
      <c r="CI691" s="2">
        <v>1</v>
      </c>
      <c r="CJ691" s="2">
        <v>1</v>
      </c>
      <c r="CK691" s="2">
        <v>21</v>
      </c>
      <c r="CL691" s="2" t="s">
        <v>88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"FES1162505602"</f>
        <v>FES1162505602</v>
      </c>
      <c r="F692" s="3">
        <v>42653</v>
      </c>
      <c r="G692" s="2">
        <v>201704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160</v>
      </c>
      <c r="M692" s="2" t="s">
        <v>161</v>
      </c>
      <c r="N692" s="2" t="s">
        <v>1109</v>
      </c>
      <c r="O692" s="2" t="s">
        <v>96</v>
      </c>
      <c r="P692" s="2" t="str">
        <f>"2170529282                    "</f>
        <v xml:space="preserve">2170529282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3.32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</v>
      </c>
      <c r="BJ692" s="2">
        <v>0.2</v>
      </c>
      <c r="BK692" s="2">
        <v>1</v>
      </c>
      <c r="BL692" s="2">
        <v>40.76</v>
      </c>
      <c r="BM692" s="2">
        <v>5.71</v>
      </c>
      <c r="BN692" s="2">
        <v>46.47</v>
      </c>
      <c r="BO692" s="2">
        <v>46.47</v>
      </c>
      <c r="BP692" s="2"/>
      <c r="BQ692" s="2" t="s">
        <v>1110</v>
      </c>
      <c r="BR692" s="2" t="s">
        <v>83</v>
      </c>
      <c r="BS692" s="3">
        <v>42654</v>
      </c>
      <c r="BT692" s="4">
        <v>0.54999999999999993</v>
      </c>
      <c r="BU692" s="2" t="s">
        <v>1111</v>
      </c>
      <c r="BV692" s="2" t="s">
        <v>88</v>
      </c>
      <c r="BW692" s="2" t="s">
        <v>277</v>
      </c>
      <c r="BX692" s="2" t="s">
        <v>695</v>
      </c>
      <c r="BY692" s="2">
        <v>1200</v>
      </c>
      <c r="BZ692" s="2"/>
      <c r="CA692" s="2" t="s">
        <v>129</v>
      </c>
      <c r="CB692" s="2"/>
      <c r="CC692" s="2" t="s">
        <v>161</v>
      </c>
      <c r="CD692" s="2">
        <v>7405</v>
      </c>
      <c r="CE692" s="2" t="s">
        <v>108</v>
      </c>
      <c r="CF692" s="5">
        <v>42655</v>
      </c>
      <c r="CG692" s="2"/>
      <c r="CH692" s="2"/>
      <c r="CI692" s="2">
        <v>1</v>
      </c>
      <c r="CJ692" s="2">
        <v>1</v>
      </c>
      <c r="CK692" s="2">
        <v>21</v>
      </c>
      <c r="CL692" s="2" t="s">
        <v>88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"FES1162505609"</f>
        <v>FES1162505609</v>
      </c>
      <c r="F693" s="3">
        <v>42653</v>
      </c>
      <c r="G693" s="2">
        <v>201704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153</v>
      </c>
      <c r="M693" s="2" t="s">
        <v>153</v>
      </c>
      <c r="N693" s="2" t="s">
        <v>343</v>
      </c>
      <c r="O693" s="2" t="s">
        <v>96</v>
      </c>
      <c r="P693" s="2" t="str">
        <f>"2170529293                    "</f>
        <v xml:space="preserve">2170529293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3.32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1</v>
      </c>
      <c r="BJ693" s="2">
        <v>0.2</v>
      </c>
      <c r="BK693" s="2">
        <v>1</v>
      </c>
      <c r="BL693" s="2">
        <v>40.76</v>
      </c>
      <c r="BM693" s="2">
        <v>5.71</v>
      </c>
      <c r="BN693" s="2">
        <v>46.47</v>
      </c>
      <c r="BO693" s="2">
        <v>46.47</v>
      </c>
      <c r="BP693" s="2"/>
      <c r="BQ693" s="2" t="s">
        <v>344</v>
      </c>
      <c r="BR693" s="2" t="s">
        <v>83</v>
      </c>
      <c r="BS693" s="3">
        <v>42654</v>
      </c>
      <c r="BT693" s="4">
        <v>0.60069444444444442</v>
      </c>
      <c r="BU693" s="2" t="s">
        <v>1089</v>
      </c>
      <c r="BV693" s="2" t="s">
        <v>88</v>
      </c>
      <c r="BW693" s="2" t="s">
        <v>277</v>
      </c>
      <c r="BX693" s="2" t="s">
        <v>356</v>
      </c>
      <c r="BY693" s="2">
        <v>1200</v>
      </c>
      <c r="BZ693" s="2"/>
      <c r="CA693" s="2"/>
      <c r="CB693" s="2"/>
      <c r="CC693" s="2" t="s">
        <v>153</v>
      </c>
      <c r="CD693" s="2">
        <v>7646</v>
      </c>
      <c r="CE693" s="2" t="s">
        <v>108</v>
      </c>
      <c r="CF693" s="5">
        <v>42655</v>
      </c>
      <c r="CG693" s="2"/>
      <c r="CH693" s="2"/>
      <c r="CI693" s="2">
        <v>1</v>
      </c>
      <c r="CJ693" s="2">
        <v>1</v>
      </c>
      <c r="CK693" s="2">
        <v>21</v>
      </c>
      <c r="CL693" s="2" t="s">
        <v>88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"FES1162505591"</f>
        <v>FES1162505591</v>
      </c>
      <c r="F694" s="3">
        <v>42653</v>
      </c>
      <c r="G694" s="2">
        <v>201704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148</v>
      </c>
      <c r="M694" s="2" t="s">
        <v>149</v>
      </c>
      <c r="N694" s="2" t="s">
        <v>663</v>
      </c>
      <c r="O694" s="2" t="s">
        <v>96</v>
      </c>
      <c r="P694" s="2" t="str">
        <f>"2170529232                    "</f>
        <v xml:space="preserve">2170529232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3.32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40.76</v>
      </c>
      <c r="BM694" s="2">
        <v>5.71</v>
      </c>
      <c r="BN694" s="2">
        <v>46.47</v>
      </c>
      <c r="BO694" s="2">
        <v>46.47</v>
      </c>
      <c r="BP694" s="2"/>
      <c r="BQ694" s="2" t="s">
        <v>91</v>
      </c>
      <c r="BR694" s="2" t="s">
        <v>83</v>
      </c>
      <c r="BS694" s="3">
        <v>42654</v>
      </c>
      <c r="BT694" s="4">
        <v>0.43263888888888885</v>
      </c>
      <c r="BU694" s="2" t="s">
        <v>1084</v>
      </c>
      <c r="BV694" s="2"/>
      <c r="BW694" s="2"/>
      <c r="BX694" s="2"/>
      <c r="BY694" s="2">
        <v>1200</v>
      </c>
      <c r="BZ694" s="2"/>
      <c r="CA694" s="2"/>
      <c r="CB694" s="2"/>
      <c r="CC694" s="2" t="s">
        <v>149</v>
      </c>
      <c r="CD694" s="2">
        <v>4001</v>
      </c>
      <c r="CE694" s="2" t="s">
        <v>108</v>
      </c>
      <c r="CF694" s="5">
        <v>42655</v>
      </c>
      <c r="CG694" s="2"/>
      <c r="CH694" s="2"/>
      <c r="CI694" s="2">
        <v>0</v>
      </c>
      <c r="CJ694" s="2">
        <v>0</v>
      </c>
      <c r="CK694" s="2">
        <v>21</v>
      </c>
      <c r="CL694" s="2" t="s">
        <v>88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"FES1162505599"</f>
        <v>FES1162505599</v>
      </c>
      <c r="F695" s="3">
        <v>42653</v>
      </c>
      <c r="G695" s="2">
        <v>201704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160</v>
      </c>
      <c r="M695" s="2" t="s">
        <v>161</v>
      </c>
      <c r="N695" s="2" t="s">
        <v>1112</v>
      </c>
      <c r="O695" s="2" t="s">
        <v>96</v>
      </c>
      <c r="P695" s="2" t="str">
        <f>"2170529276                    "</f>
        <v xml:space="preserve">2170529276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3.32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0.4</v>
      </c>
      <c r="BJ695" s="2">
        <v>1</v>
      </c>
      <c r="BK695" s="2">
        <v>1</v>
      </c>
      <c r="BL695" s="2">
        <v>40.76</v>
      </c>
      <c r="BM695" s="2">
        <v>5.71</v>
      </c>
      <c r="BN695" s="2">
        <v>46.47</v>
      </c>
      <c r="BO695" s="2">
        <v>46.47</v>
      </c>
      <c r="BP695" s="2"/>
      <c r="BQ695" s="2"/>
      <c r="BR695" s="2" t="s">
        <v>83</v>
      </c>
      <c r="BS695" s="3">
        <v>42654</v>
      </c>
      <c r="BT695" s="4">
        <v>0.56805555555555554</v>
      </c>
      <c r="BU695" s="2" t="s">
        <v>1113</v>
      </c>
      <c r="BV695" s="2" t="s">
        <v>88</v>
      </c>
      <c r="BW695" s="2" t="s">
        <v>277</v>
      </c>
      <c r="BX695" s="2" t="s">
        <v>223</v>
      </c>
      <c r="BY695" s="2">
        <v>5184.7</v>
      </c>
      <c r="BZ695" s="2"/>
      <c r="CA695" s="2" t="s">
        <v>229</v>
      </c>
      <c r="CB695" s="2"/>
      <c r="CC695" s="2" t="s">
        <v>161</v>
      </c>
      <c r="CD695" s="2">
        <v>7460</v>
      </c>
      <c r="CE695" s="2" t="s">
        <v>108</v>
      </c>
      <c r="CF695" s="5">
        <v>42654</v>
      </c>
      <c r="CG695" s="2"/>
      <c r="CH695" s="2"/>
      <c r="CI695" s="2">
        <v>1</v>
      </c>
      <c r="CJ695" s="2">
        <v>1</v>
      </c>
      <c r="CK695" s="2">
        <v>21</v>
      </c>
      <c r="CL695" s="2" t="s">
        <v>88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"FES1162505603"</f>
        <v>FES1162505603</v>
      </c>
      <c r="F696" s="3">
        <v>42653</v>
      </c>
      <c r="G696" s="2">
        <v>201704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153</v>
      </c>
      <c r="M696" s="2" t="s">
        <v>153</v>
      </c>
      <c r="N696" s="2" t="s">
        <v>343</v>
      </c>
      <c r="O696" s="2" t="s">
        <v>96</v>
      </c>
      <c r="P696" s="2" t="str">
        <f>"2170529283                    "</f>
        <v xml:space="preserve">2170529283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3.32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</v>
      </c>
      <c r="BJ696" s="2">
        <v>0.2</v>
      </c>
      <c r="BK696" s="2">
        <v>1</v>
      </c>
      <c r="BL696" s="2">
        <v>40.76</v>
      </c>
      <c r="BM696" s="2">
        <v>5.71</v>
      </c>
      <c r="BN696" s="2">
        <v>46.47</v>
      </c>
      <c r="BO696" s="2">
        <v>46.47</v>
      </c>
      <c r="BP696" s="2"/>
      <c r="BQ696" s="2" t="s">
        <v>344</v>
      </c>
      <c r="BR696" s="2" t="s">
        <v>83</v>
      </c>
      <c r="BS696" s="3">
        <v>42654</v>
      </c>
      <c r="BT696" s="4">
        <v>0.60069444444444442</v>
      </c>
      <c r="BU696" s="2" t="s">
        <v>1089</v>
      </c>
      <c r="BV696" s="2" t="s">
        <v>88</v>
      </c>
      <c r="BW696" s="2" t="s">
        <v>277</v>
      </c>
      <c r="BX696" s="2" t="s">
        <v>356</v>
      </c>
      <c r="BY696" s="2">
        <v>1200</v>
      </c>
      <c r="BZ696" s="2"/>
      <c r="CA696" s="2"/>
      <c r="CB696" s="2"/>
      <c r="CC696" s="2" t="s">
        <v>153</v>
      </c>
      <c r="CD696" s="2">
        <v>7646</v>
      </c>
      <c r="CE696" s="2" t="s">
        <v>108</v>
      </c>
      <c r="CF696" s="5">
        <v>42655</v>
      </c>
      <c r="CG696" s="2"/>
      <c r="CH696" s="2"/>
      <c r="CI696" s="2">
        <v>1</v>
      </c>
      <c r="CJ696" s="2">
        <v>1</v>
      </c>
      <c r="CK696" s="2">
        <v>21</v>
      </c>
      <c r="CL696" s="2" t="s">
        <v>88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"FES1162505649"</f>
        <v>FES1162505649</v>
      </c>
      <c r="F697" s="3">
        <v>42653</v>
      </c>
      <c r="G697" s="2">
        <v>201704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98</v>
      </c>
      <c r="M697" s="2" t="s">
        <v>99</v>
      </c>
      <c r="N697" s="2" t="s">
        <v>133</v>
      </c>
      <c r="O697" s="2" t="s">
        <v>96</v>
      </c>
      <c r="P697" s="2" t="str">
        <f>"2170529343                    "</f>
        <v xml:space="preserve">2170529343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9.1199999999999992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3.8</v>
      </c>
      <c r="BJ697" s="2">
        <v>5.3</v>
      </c>
      <c r="BK697" s="2">
        <v>5.5</v>
      </c>
      <c r="BL697" s="2">
        <v>112.08</v>
      </c>
      <c r="BM697" s="2">
        <v>15.69</v>
      </c>
      <c r="BN697" s="2">
        <v>127.77</v>
      </c>
      <c r="BO697" s="2">
        <v>127.77</v>
      </c>
      <c r="BP697" s="2"/>
      <c r="BQ697" s="2" t="s">
        <v>134</v>
      </c>
      <c r="BR697" s="2" t="s">
        <v>83</v>
      </c>
      <c r="BS697" s="3">
        <v>42653</v>
      </c>
      <c r="BT697" s="4">
        <v>0.3611111111111111</v>
      </c>
      <c r="BU697" s="2" t="s">
        <v>238</v>
      </c>
      <c r="BV697" s="2" t="s">
        <v>85</v>
      </c>
      <c r="BW697" s="2"/>
      <c r="BX697" s="2"/>
      <c r="BY697" s="2">
        <v>26737.13</v>
      </c>
      <c r="BZ697" s="2"/>
      <c r="CA697" s="2"/>
      <c r="CB697" s="2"/>
      <c r="CC697" s="2" t="s">
        <v>99</v>
      </c>
      <c r="CD697" s="2">
        <v>6001</v>
      </c>
      <c r="CE697" s="2" t="s">
        <v>86</v>
      </c>
      <c r="CF697" s="5">
        <v>42655</v>
      </c>
      <c r="CG697" s="2"/>
      <c r="CH697" s="2"/>
      <c r="CI697" s="2">
        <v>1</v>
      </c>
      <c r="CJ697" s="2">
        <v>0</v>
      </c>
      <c r="CK697" s="2">
        <v>21</v>
      </c>
      <c r="CL697" s="2" t="s">
        <v>88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"FES1162505608"</f>
        <v>FES1162505608</v>
      </c>
      <c r="F698" s="3">
        <v>42653</v>
      </c>
      <c r="G698" s="2">
        <v>201704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160</v>
      </c>
      <c r="M698" s="2" t="s">
        <v>161</v>
      </c>
      <c r="N698" s="2" t="s">
        <v>176</v>
      </c>
      <c r="O698" s="2" t="s">
        <v>96</v>
      </c>
      <c r="P698" s="2" t="str">
        <f>"2170529291                    "</f>
        <v xml:space="preserve">2170529291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3.32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</v>
      </c>
      <c r="BJ698" s="2">
        <v>0.2</v>
      </c>
      <c r="BK698" s="2">
        <v>1</v>
      </c>
      <c r="BL698" s="2">
        <v>40.76</v>
      </c>
      <c r="BM698" s="2">
        <v>5.71</v>
      </c>
      <c r="BN698" s="2">
        <v>46.47</v>
      </c>
      <c r="BO698" s="2">
        <v>46.47</v>
      </c>
      <c r="BP698" s="2"/>
      <c r="BQ698" s="2" t="s">
        <v>177</v>
      </c>
      <c r="BR698" s="2" t="s">
        <v>83</v>
      </c>
      <c r="BS698" s="3">
        <v>42654</v>
      </c>
      <c r="BT698" s="4">
        <v>0.4513888888888889</v>
      </c>
      <c r="BU698" s="2" t="s">
        <v>1114</v>
      </c>
      <c r="BV698" s="2" t="s">
        <v>85</v>
      </c>
      <c r="BW698" s="2"/>
      <c r="BX698" s="2"/>
      <c r="BY698" s="2">
        <v>1200</v>
      </c>
      <c r="BZ698" s="2"/>
      <c r="CA698" s="2" t="s">
        <v>129</v>
      </c>
      <c r="CB698" s="2"/>
      <c r="CC698" s="2" t="s">
        <v>161</v>
      </c>
      <c r="CD698" s="2">
        <v>7530</v>
      </c>
      <c r="CE698" s="2" t="s">
        <v>108</v>
      </c>
      <c r="CF698" s="5">
        <v>42655</v>
      </c>
      <c r="CG698" s="2"/>
      <c r="CH698" s="2"/>
      <c r="CI698" s="2">
        <v>1</v>
      </c>
      <c r="CJ698" s="2">
        <v>1</v>
      </c>
      <c r="CK698" s="2">
        <v>21</v>
      </c>
      <c r="CL698" s="2" t="s">
        <v>88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"FES1162505604"</f>
        <v>FES1162505604</v>
      </c>
      <c r="F699" s="3">
        <v>42653</v>
      </c>
      <c r="G699" s="2">
        <v>201704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260</v>
      </c>
      <c r="M699" s="2" t="s">
        <v>261</v>
      </c>
      <c r="N699" s="2" t="s">
        <v>262</v>
      </c>
      <c r="O699" s="2" t="s">
        <v>96</v>
      </c>
      <c r="P699" s="2" t="str">
        <f>"2170529284                    "</f>
        <v xml:space="preserve">2170529284 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3.32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1</v>
      </c>
      <c r="BJ699" s="2">
        <v>0.2</v>
      </c>
      <c r="BK699" s="2">
        <v>1</v>
      </c>
      <c r="BL699" s="2">
        <v>40.76</v>
      </c>
      <c r="BM699" s="2">
        <v>5.71</v>
      </c>
      <c r="BN699" s="2">
        <v>46.47</v>
      </c>
      <c r="BO699" s="2">
        <v>46.47</v>
      </c>
      <c r="BP699" s="2"/>
      <c r="BQ699" s="2" t="s">
        <v>91</v>
      </c>
      <c r="BR699" s="2" t="s">
        <v>83</v>
      </c>
      <c r="BS699" s="3">
        <v>42654</v>
      </c>
      <c r="BT699" s="4">
        <v>0.68541666666666667</v>
      </c>
      <c r="BU699" s="2" t="s">
        <v>1115</v>
      </c>
      <c r="BV699" s="2" t="s">
        <v>85</v>
      </c>
      <c r="BW699" s="2"/>
      <c r="BX699" s="2"/>
      <c r="BY699" s="2">
        <v>1200</v>
      </c>
      <c r="BZ699" s="2"/>
      <c r="CA699" s="2" t="s">
        <v>264</v>
      </c>
      <c r="CB699" s="2"/>
      <c r="CC699" s="2" t="s">
        <v>261</v>
      </c>
      <c r="CD699" s="2">
        <v>6850</v>
      </c>
      <c r="CE699" s="2" t="s">
        <v>108</v>
      </c>
      <c r="CF699" s="5">
        <v>42654</v>
      </c>
      <c r="CG699" s="2"/>
      <c r="CH699" s="2"/>
      <c r="CI699" s="2">
        <v>3</v>
      </c>
      <c r="CJ699" s="2">
        <v>1</v>
      </c>
      <c r="CK699" s="2">
        <v>21</v>
      </c>
      <c r="CL699" s="2" t="s">
        <v>88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"FES1162505597"</f>
        <v>FES1162505597</v>
      </c>
      <c r="F700" s="3">
        <v>42653</v>
      </c>
      <c r="G700" s="2">
        <v>201704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119</v>
      </c>
      <c r="M700" s="2" t="s">
        <v>120</v>
      </c>
      <c r="N700" s="2" t="s">
        <v>337</v>
      </c>
      <c r="O700" s="2" t="s">
        <v>96</v>
      </c>
      <c r="P700" s="2" t="str">
        <f>"2170529250                    "</f>
        <v xml:space="preserve">2170529250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3.32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40.76</v>
      </c>
      <c r="BM700" s="2">
        <v>5.71</v>
      </c>
      <c r="BN700" s="2">
        <v>46.47</v>
      </c>
      <c r="BO700" s="2">
        <v>46.47</v>
      </c>
      <c r="BP700" s="2"/>
      <c r="BQ700" s="2" t="s">
        <v>338</v>
      </c>
      <c r="BR700" s="2" t="s">
        <v>83</v>
      </c>
      <c r="BS700" s="3">
        <v>42654</v>
      </c>
      <c r="BT700" s="4">
        <v>0.31597222222222221</v>
      </c>
      <c r="BU700" s="2" t="s">
        <v>1116</v>
      </c>
      <c r="BV700" s="2" t="s">
        <v>85</v>
      </c>
      <c r="BW700" s="2"/>
      <c r="BX700" s="2"/>
      <c r="BY700" s="2">
        <v>1200</v>
      </c>
      <c r="BZ700" s="2"/>
      <c r="CA700" s="2"/>
      <c r="CB700" s="2"/>
      <c r="CC700" s="2" t="s">
        <v>120</v>
      </c>
      <c r="CD700" s="2">
        <v>6230</v>
      </c>
      <c r="CE700" s="2" t="s">
        <v>108</v>
      </c>
      <c r="CF700" s="5">
        <v>42655</v>
      </c>
      <c r="CG700" s="2"/>
      <c r="CH700" s="2"/>
      <c r="CI700" s="2">
        <v>1</v>
      </c>
      <c r="CJ700" s="2">
        <v>1</v>
      </c>
      <c r="CK700" s="2">
        <v>21</v>
      </c>
      <c r="CL700" s="2" t="s">
        <v>88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"FES1162505613"</f>
        <v>FES1162505613</v>
      </c>
      <c r="F701" s="3">
        <v>42653</v>
      </c>
      <c r="G701" s="2">
        <v>201704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148</v>
      </c>
      <c r="M701" s="2" t="s">
        <v>149</v>
      </c>
      <c r="N701" s="2" t="s">
        <v>473</v>
      </c>
      <c r="O701" s="2" t="s">
        <v>96</v>
      </c>
      <c r="P701" s="2" t="str">
        <f>"2170529298                    "</f>
        <v xml:space="preserve">2170529298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3.32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1</v>
      </c>
      <c r="BJ701" s="2">
        <v>0.2</v>
      </c>
      <c r="BK701" s="2">
        <v>1</v>
      </c>
      <c r="BL701" s="2">
        <v>40.76</v>
      </c>
      <c r="BM701" s="2">
        <v>5.71</v>
      </c>
      <c r="BN701" s="2">
        <v>46.47</v>
      </c>
      <c r="BO701" s="2">
        <v>46.47</v>
      </c>
      <c r="BP701" s="2"/>
      <c r="BQ701" s="2" t="s">
        <v>117</v>
      </c>
      <c r="BR701" s="2" t="s">
        <v>83</v>
      </c>
      <c r="BS701" s="3">
        <v>42654</v>
      </c>
      <c r="BT701" s="4">
        <v>0.4375</v>
      </c>
      <c r="BU701" s="2" t="s">
        <v>1117</v>
      </c>
      <c r="BV701" s="2" t="s">
        <v>85</v>
      </c>
      <c r="BW701" s="2"/>
      <c r="BX701" s="2"/>
      <c r="BY701" s="2">
        <v>1200</v>
      </c>
      <c r="BZ701" s="2"/>
      <c r="CA701" s="2" t="s">
        <v>129</v>
      </c>
      <c r="CB701" s="2"/>
      <c r="CC701" s="2" t="s">
        <v>149</v>
      </c>
      <c r="CD701" s="2">
        <v>4052</v>
      </c>
      <c r="CE701" s="2" t="s">
        <v>108</v>
      </c>
      <c r="CF701" s="5">
        <v>42655</v>
      </c>
      <c r="CG701" s="2"/>
      <c r="CH701" s="2"/>
      <c r="CI701" s="2">
        <v>1</v>
      </c>
      <c r="CJ701" s="2">
        <v>1</v>
      </c>
      <c r="CK701" s="2">
        <v>21</v>
      </c>
      <c r="CL701" s="2" t="s">
        <v>88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"FES1162505524"</f>
        <v>FES1162505524</v>
      </c>
      <c r="F702" s="3">
        <v>42653</v>
      </c>
      <c r="G702" s="2">
        <v>201704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269</v>
      </c>
      <c r="M702" s="2" t="s">
        <v>270</v>
      </c>
      <c r="N702" s="2" t="s">
        <v>1118</v>
      </c>
      <c r="O702" s="2" t="s">
        <v>96</v>
      </c>
      <c r="P702" s="2" t="str">
        <f>"2170529171                    "</f>
        <v xml:space="preserve">2170529171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3.32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1</v>
      </c>
      <c r="BJ702" s="2">
        <v>0.2</v>
      </c>
      <c r="BK702" s="2">
        <v>1</v>
      </c>
      <c r="BL702" s="2">
        <v>40.76</v>
      </c>
      <c r="BM702" s="2">
        <v>5.71</v>
      </c>
      <c r="BN702" s="2">
        <v>46.47</v>
      </c>
      <c r="BO702" s="2">
        <v>46.47</v>
      </c>
      <c r="BP702" s="2"/>
      <c r="BQ702" s="2" t="s">
        <v>91</v>
      </c>
      <c r="BR702" s="2" t="s">
        <v>83</v>
      </c>
      <c r="BS702" s="3">
        <v>42654</v>
      </c>
      <c r="BT702" s="4">
        <v>0.4375</v>
      </c>
      <c r="BU702" s="2" t="s">
        <v>1119</v>
      </c>
      <c r="BV702" s="2" t="s">
        <v>85</v>
      </c>
      <c r="BW702" s="2"/>
      <c r="BX702" s="2"/>
      <c r="BY702" s="2">
        <v>1200</v>
      </c>
      <c r="BZ702" s="2"/>
      <c r="CA702" s="2"/>
      <c r="CB702" s="2"/>
      <c r="CC702" s="2" t="s">
        <v>270</v>
      </c>
      <c r="CD702" s="2">
        <v>3610</v>
      </c>
      <c r="CE702" s="2" t="s">
        <v>108</v>
      </c>
      <c r="CF702" s="5">
        <v>42655</v>
      </c>
      <c r="CG702" s="2"/>
      <c r="CH702" s="2"/>
      <c r="CI702" s="2">
        <v>1</v>
      </c>
      <c r="CJ702" s="2">
        <v>1</v>
      </c>
      <c r="CK702" s="2">
        <v>21</v>
      </c>
      <c r="CL702" s="2" t="s">
        <v>88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"FES1162505519"</f>
        <v>FES1162505519</v>
      </c>
      <c r="F703" s="3">
        <v>42653</v>
      </c>
      <c r="G703" s="2">
        <v>201704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93</v>
      </c>
      <c r="M703" s="2" t="s">
        <v>94</v>
      </c>
      <c r="N703" s="2" t="s">
        <v>536</v>
      </c>
      <c r="O703" s="2" t="s">
        <v>96</v>
      </c>
      <c r="P703" s="2" t="str">
        <f>"2170529180                    "</f>
        <v xml:space="preserve">2170529180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3.32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0.5</v>
      </c>
      <c r="BJ703" s="2">
        <v>0.2</v>
      </c>
      <c r="BK703" s="2">
        <v>0.5</v>
      </c>
      <c r="BL703" s="2">
        <v>40.76</v>
      </c>
      <c r="BM703" s="2">
        <v>5.71</v>
      </c>
      <c r="BN703" s="2">
        <v>46.47</v>
      </c>
      <c r="BO703" s="2">
        <v>46.47</v>
      </c>
      <c r="BP703" s="2"/>
      <c r="BQ703" s="2" t="s">
        <v>537</v>
      </c>
      <c r="BR703" s="2" t="s">
        <v>83</v>
      </c>
      <c r="BS703" s="3">
        <v>42654</v>
      </c>
      <c r="BT703" s="4">
        <v>0.4375</v>
      </c>
      <c r="BU703" s="2" t="s">
        <v>538</v>
      </c>
      <c r="BV703" s="2" t="s">
        <v>85</v>
      </c>
      <c r="BW703" s="2"/>
      <c r="BX703" s="2"/>
      <c r="BY703" s="2">
        <v>1200</v>
      </c>
      <c r="BZ703" s="2"/>
      <c r="CA703" s="2"/>
      <c r="CB703" s="2"/>
      <c r="CC703" s="2" t="s">
        <v>94</v>
      </c>
      <c r="CD703" s="2">
        <v>4300</v>
      </c>
      <c r="CE703" s="2" t="s">
        <v>108</v>
      </c>
      <c r="CF703" s="5">
        <v>42655</v>
      </c>
      <c r="CG703" s="2"/>
      <c r="CH703" s="2"/>
      <c r="CI703" s="2">
        <v>1</v>
      </c>
      <c r="CJ703" s="2">
        <v>1</v>
      </c>
      <c r="CK703" s="2">
        <v>21</v>
      </c>
      <c r="CL703" s="2" t="s">
        <v>88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"FES1162505477"</f>
        <v>FES1162505477</v>
      </c>
      <c r="F704" s="3">
        <v>42653</v>
      </c>
      <c r="G704" s="2">
        <v>201704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160</v>
      </c>
      <c r="M704" s="2" t="s">
        <v>161</v>
      </c>
      <c r="N704" s="2" t="s">
        <v>279</v>
      </c>
      <c r="O704" s="2" t="s">
        <v>96</v>
      </c>
      <c r="P704" s="2" t="str">
        <f>"2170528689                    "</f>
        <v xml:space="preserve">2170528689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3.32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0.5</v>
      </c>
      <c r="BJ704" s="2">
        <v>0.2</v>
      </c>
      <c r="BK704" s="2">
        <v>0.5</v>
      </c>
      <c r="BL704" s="2">
        <v>40.76</v>
      </c>
      <c r="BM704" s="2">
        <v>5.71</v>
      </c>
      <c r="BN704" s="2">
        <v>46.47</v>
      </c>
      <c r="BO704" s="2">
        <v>46.47</v>
      </c>
      <c r="BP704" s="2"/>
      <c r="BQ704" s="2" t="s">
        <v>280</v>
      </c>
      <c r="BR704" s="2" t="s">
        <v>83</v>
      </c>
      <c r="BS704" s="3">
        <v>42654</v>
      </c>
      <c r="BT704" s="4">
        <v>0.39583333333333331</v>
      </c>
      <c r="BU704" s="2" t="s">
        <v>1120</v>
      </c>
      <c r="BV704" s="2" t="s">
        <v>85</v>
      </c>
      <c r="BW704" s="2"/>
      <c r="BX704" s="2"/>
      <c r="BY704" s="2">
        <v>1200</v>
      </c>
      <c r="BZ704" s="2"/>
      <c r="CA704" s="2"/>
      <c r="CB704" s="2"/>
      <c r="CC704" s="2" t="s">
        <v>161</v>
      </c>
      <c r="CD704" s="2">
        <v>7441</v>
      </c>
      <c r="CE704" s="2" t="s">
        <v>108</v>
      </c>
      <c r="CF704" s="5">
        <v>42655</v>
      </c>
      <c r="CG704" s="2"/>
      <c r="CH704" s="2"/>
      <c r="CI704" s="2">
        <v>1</v>
      </c>
      <c r="CJ704" s="2">
        <v>1</v>
      </c>
      <c r="CK704" s="2">
        <v>21</v>
      </c>
      <c r="CL704" s="2" t="s">
        <v>88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"FES1162505476"</f>
        <v>FES1162505476</v>
      </c>
      <c r="F705" s="3">
        <v>42653</v>
      </c>
      <c r="G705" s="2">
        <v>201704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160</v>
      </c>
      <c r="M705" s="2" t="s">
        <v>161</v>
      </c>
      <c r="N705" s="2" t="s">
        <v>411</v>
      </c>
      <c r="O705" s="2" t="s">
        <v>96</v>
      </c>
      <c r="P705" s="2" t="str">
        <f>"2170528664                    "</f>
        <v xml:space="preserve">2170528664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3.32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0.2</v>
      </c>
      <c r="BK705" s="2">
        <v>1</v>
      </c>
      <c r="BL705" s="2">
        <v>40.76</v>
      </c>
      <c r="BM705" s="2">
        <v>5.71</v>
      </c>
      <c r="BN705" s="2">
        <v>46.47</v>
      </c>
      <c r="BO705" s="2">
        <v>46.47</v>
      </c>
      <c r="BP705" s="2"/>
      <c r="BQ705" s="2" t="s">
        <v>412</v>
      </c>
      <c r="BR705" s="2" t="s">
        <v>83</v>
      </c>
      <c r="BS705" s="3">
        <v>42654</v>
      </c>
      <c r="BT705" s="4">
        <v>0.47916666666666669</v>
      </c>
      <c r="BU705" s="2" t="s">
        <v>1121</v>
      </c>
      <c r="BV705" s="2" t="s">
        <v>85</v>
      </c>
      <c r="BW705" s="2"/>
      <c r="BX705" s="2"/>
      <c r="BY705" s="2">
        <v>1200</v>
      </c>
      <c r="BZ705" s="2"/>
      <c r="CA705" s="2" t="s">
        <v>129</v>
      </c>
      <c r="CB705" s="2"/>
      <c r="CC705" s="2" t="s">
        <v>161</v>
      </c>
      <c r="CD705" s="2">
        <v>7945</v>
      </c>
      <c r="CE705" s="2" t="s">
        <v>108</v>
      </c>
      <c r="CF705" s="5">
        <v>42655</v>
      </c>
      <c r="CG705" s="2"/>
      <c r="CH705" s="2"/>
      <c r="CI705" s="2">
        <v>1</v>
      </c>
      <c r="CJ705" s="2">
        <v>1</v>
      </c>
      <c r="CK705" s="2">
        <v>21</v>
      </c>
      <c r="CL705" s="2" t="s">
        <v>88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"FES1162505501"</f>
        <v>FES1162505501</v>
      </c>
      <c r="F706" s="3">
        <v>42653</v>
      </c>
      <c r="G706" s="2">
        <v>201704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1122</v>
      </c>
      <c r="M706" s="2" t="s">
        <v>1123</v>
      </c>
      <c r="N706" s="2" t="s">
        <v>1124</v>
      </c>
      <c r="O706" s="2" t="s">
        <v>96</v>
      </c>
      <c r="P706" s="2" t="str">
        <f>"2170529149                    "</f>
        <v xml:space="preserve">2170529149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3.32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1</v>
      </c>
      <c r="BJ706" s="2">
        <v>0.2</v>
      </c>
      <c r="BK706" s="2">
        <v>1</v>
      </c>
      <c r="BL706" s="2">
        <v>40.76</v>
      </c>
      <c r="BM706" s="2">
        <v>5.71</v>
      </c>
      <c r="BN706" s="2">
        <v>46.47</v>
      </c>
      <c r="BO706" s="2">
        <v>46.47</v>
      </c>
      <c r="BP706" s="2"/>
      <c r="BQ706" s="2" t="s">
        <v>1125</v>
      </c>
      <c r="BR706" s="2" t="s">
        <v>83</v>
      </c>
      <c r="BS706" s="3">
        <v>42655</v>
      </c>
      <c r="BT706" s="4">
        <v>0.41666666666666669</v>
      </c>
      <c r="BU706" s="2" t="s">
        <v>378</v>
      </c>
      <c r="BV706" s="2" t="s">
        <v>88</v>
      </c>
      <c r="BW706" s="2"/>
      <c r="BX706" s="2"/>
      <c r="BY706" s="2">
        <v>1200</v>
      </c>
      <c r="BZ706" s="2"/>
      <c r="CA706" s="2"/>
      <c r="CB706" s="2"/>
      <c r="CC706" s="2" t="s">
        <v>1123</v>
      </c>
      <c r="CD706" s="2">
        <v>1911</v>
      </c>
      <c r="CE706" s="2" t="s">
        <v>108</v>
      </c>
      <c r="CF706" s="5">
        <v>42657</v>
      </c>
      <c r="CG706" s="2"/>
      <c r="CH706" s="2"/>
      <c r="CI706" s="2">
        <v>1</v>
      </c>
      <c r="CJ706" s="2">
        <v>2</v>
      </c>
      <c r="CK706" s="2">
        <v>21</v>
      </c>
      <c r="CL706" s="2" t="s">
        <v>88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"FES1162505529"</f>
        <v>FES1162505529</v>
      </c>
      <c r="F707" s="3">
        <v>42653</v>
      </c>
      <c r="G707" s="2">
        <v>201704</v>
      </c>
      <c r="H707" s="2" t="s">
        <v>74</v>
      </c>
      <c r="I707" s="2" t="s">
        <v>75</v>
      </c>
      <c r="J707" s="2" t="s">
        <v>76</v>
      </c>
      <c r="K707" s="2" t="s">
        <v>77</v>
      </c>
      <c r="L707" s="2" t="s">
        <v>98</v>
      </c>
      <c r="M707" s="2" t="s">
        <v>99</v>
      </c>
      <c r="N707" s="2" t="s">
        <v>133</v>
      </c>
      <c r="O707" s="2" t="s">
        <v>96</v>
      </c>
      <c r="P707" s="2" t="str">
        <f>"2170529116                    "</f>
        <v xml:space="preserve">2170529116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4.9800000000000004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2.8</v>
      </c>
      <c r="BJ707" s="2">
        <v>2.2999999999999998</v>
      </c>
      <c r="BK707" s="2">
        <v>3</v>
      </c>
      <c r="BL707" s="2">
        <v>61.14</v>
      </c>
      <c r="BM707" s="2">
        <v>8.56</v>
      </c>
      <c r="BN707" s="2">
        <v>69.7</v>
      </c>
      <c r="BO707" s="2">
        <v>69.7</v>
      </c>
      <c r="BP707" s="2"/>
      <c r="BQ707" s="2" t="s">
        <v>134</v>
      </c>
      <c r="BR707" s="2" t="s">
        <v>83</v>
      </c>
      <c r="BS707" s="3">
        <v>42653</v>
      </c>
      <c r="BT707" s="4">
        <v>0.3611111111111111</v>
      </c>
      <c r="BU707" s="2" t="s">
        <v>367</v>
      </c>
      <c r="BV707" s="2" t="s">
        <v>85</v>
      </c>
      <c r="BW707" s="2"/>
      <c r="BX707" s="2"/>
      <c r="BY707" s="2">
        <v>11342.03</v>
      </c>
      <c r="BZ707" s="2"/>
      <c r="CA707" s="2"/>
      <c r="CB707" s="2"/>
      <c r="CC707" s="2" t="s">
        <v>99</v>
      </c>
      <c r="CD707" s="2">
        <v>6001</v>
      </c>
      <c r="CE707" s="2" t="s">
        <v>108</v>
      </c>
      <c r="CF707" s="5">
        <v>42655</v>
      </c>
      <c r="CG707" s="2"/>
      <c r="CH707" s="2"/>
      <c r="CI707" s="2">
        <v>1</v>
      </c>
      <c r="CJ707" s="2">
        <v>0</v>
      </c>
      <c r="CK707" s="2">
        <v>21</v>
      </c>
      <c r="CL707" s="2" t="s">
        <v>88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"FES1162505445"</f>
        <v>FES1162505445</v>
      </c>
      <c r="F708" s="3">
        <v>42653</v>
      </c>
      <c r="G708" s="2">
        <v>201704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148</v>
      </c>
      <c r="M708" s="2" t="s">
        <v>149</v>
      </c>
      <c r="N708" s="2" t="s">
        <v>233</v>
      </c>
      <c r="O708" s="2" t="s">
        <v>96</v>
      </c>
      <c r="P708" s="2" t="str">
        <f>"2170529103                    "</f>
        <v xml:space="preserve">2170529103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9.9499999999999993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5.7</v>
      </c>
      <c r="BJ708" s="2">
        <v>3.5</v>
      </c>
      <c r="BK708" s="2">
        <v>6</v>
      </c>
      <c r="BL708" s="2">
        <v>122.27</v>
      </c>
      <c r="BM708" s="2">
        <v>17.12</v>
      </c>
      <c r="BN708" s="2">
        <v>139.38999999999999</v>
      </c>
      <c r="BO708" s="2">
        <v>139.38999999999999</v>
      </c>
      <c r="BP708" s="2"/>
      <c r="BQ708" s="2" t="s">
        <v>234</v>
      </c>
      <c r="BR708" s="2" t="s">
        <v>83</v>
      </c>
      <c r="BS708" s="3">
        <v>42654</v>
      </c>
      <c r="BT708" s="4">
        <v>0.4375</v>
      </c>
      <c r="BU708" s="2" t="s">
        <v>1126</v>
      </c>
      <c r="BV708" s="2"/>
      <c r="BW708" s="2"/>
      <c r="BX708" s="2"/>
      <c r="BY708" s="2">
        <v>17295.88</v>
      </c>
      <c r="BZ708" s="2"/>
      <c r="CA708" s="2"/>
      <c r="CB708" s="2"/>
      <c r="CC708" s="2" t="s">
        <v>149</v>
      </c>
      <c r="CD708" s="2">
        <v>4001</v>
      </c>
      <c r="CE708" s="2" t="s">
        <v>86</v>
      </c>
      <c r="CF708" s="5">
        <v>42655</v>
      </c>
      <c r="CG708" s="2"/>
      <c r="CH708" s="2"/>
      <c r="CI708" s="2">
        <v>0</v>
      </c>
      <c r="CJ708" s="2">
        <v>0</v>
      </c>
      <c r="CK708" s="2">
        <v>21</v>
      </c>
      <c r="CL708" s="2" t="s">
        <v>88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"FES1162505498"</f>
        <v>FES1162505498</v>
      </c>
      <c r="F709" s="3">
        <v>42653</v>
      </c>
      <c r="G709" s="2">
        <v>201704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269</v>
      </c>
      <c r="M709" s="2" t="s">
        <v>270</v>
      </c>
      <c r="N709" s="2" t="s">
        <v>565</v>
      </c>
      <c r="O709" s="2" t="s">
        <v>96</v>
      </c>
      <c r="P709" s="2" t="str">
        <f>"2170529138                    "</f>
        <v xml:space="preserve">2170529138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5.81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0.7</v>
      </c>
      <c r="BJ709" s="2">
        <v>3.3</v>
      </c>
      <c r="BK709" s="2">
        <v>3.5</v>
      </c>
      <c r="BL709" s="2">
        <v>71.33</v>
      </c>
      <c r="BM709" s="2">
        <v>9.99</v>
      </c>
      <c r="BN709" s="2">
        <v>81.319999999999993</v>
      </c>
      <c r="BO709" s="2">
        <v>81.319999999999993</v>
      </c>
      <c r="BP709" s="2"/>
      <c r="BQ709" s="2" t="s">
        <v>566</v>
      </c>
      <c r="BR709" s="2" t="s">
        <v>83</v>
      </c>
      <c r="BS709" s="3">
        <v>42654</v>
      </c>
      <c r="BT709" s="4">
        <v>0.41666666666666669</v>
      </c>
      <c r="BU709" s="2" t="s">
        <v>1029</v>
      </c>
      <c r="BV709" s="2" t="s">
        <v>85</v>
      </c>
      <c r="BW709" s="2"/>
      <c r="BX709" s="2"/>
      <c r="BY709" s="2">
        <v>16566.38</v>
      </c>
      <c r="BZ709" s="2"/>
      <c r="CA709" s="2"/>
      <c r="CB709" s="2"/>
      <c r="CC709" s="2" t="s">
        <v>270</v>
      </c>
      <c r="CD709" s="2">
        <v>3620</v>
      </c>
      <c r="CE709" s="2" t="s">
        <v>108</v>
      </c>
      <c r="CF709" s="5">
        <v>42655</v>
      </c>
      <c r="CG709" s="2"/>
      <c r="CH709" s="2"/>
      <c r="CI709" s="2">
        <v>1</v>
      </c>
      <c r="CJ709" s="2">
        <v>1</v>
      </c>
      <c r="CK709" s="2">
        <v>21</v>
      </c>
      <c r="CL709" s="2" t="s">
        <v>88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"FES1162505444"</f>
        <v>FES1162505444</v>
      </c>
      <c r="F710" s="3">
        <v>42653</v>
      </c>
      <c r="G710" s="2">
        <v>201704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148</v>
      </c>
      <c r="M710" s="2" t="s">
        <v>149</v>
      </c>
      <c r="N710" s="2" t="s">
        <v>233</v>
      </c>
      <c r="O710" s="2" t="s">
        <v>96</v>
      </c>
      <c r="P710" s="2" t="str">
        <f>"2170529101                    "</f>
        <v xml:space="preserve">2170529101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13.27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8</v>
      </c>
      <c r="BJ710" s="2">
        <v>4.4000000000000004</v>
      </c>
      <c r="BK710" s="2">
        <v>8</v>
      </c>
      <c r="BL710" s="2">
        <v>163.03</v>
      </c>
      <c r="BM710" s="2">
        <v>22.82</v>
      </c>
      <c r="BN710" s="2">
        <v>185.85</v>
      </c>
      <c r="BO710" s="2">
        <v>185.85</v>
      </c>
      <c r="BP710" s="2"/>
      <c r="BQ710" s="2" t="s">
        <v>234</v>
      </c>
      <c r="BR710" s="2" t="s">
        <v>83</v>
      </c>
      <c r="BS710" s="3">
        <v>42654</v>
      </c>
      <c r="BT710" s="4">
        <v>0.4375</v>
      </c>
      <c r="BU710" s="2" t="s">
        <v>1127</v>
      </c>
      <c r="BV710" s="2"/>
      <c r="BW710" s="2"/>
      <c r="BX710" s="2"/>
      <c r="BY710" s="2">
        <v>21888</v>
      </c>
      <c r="BZ710" s="2"/>
      <c r="CA710" s="2"/>
      <c r="CB710" s="2"/>
      <c r="CC710" s="2" t="s">
        <v>149</v>
      </c>
      <c r="CD710" s="2">
        <v>4001</v>
      </c>
      <c r="CE710" s="2" t="s">
        <v>86</v>
      </c>
      <c r="CF710" s="5">
        <v>42655</v>
      </c>
      <c r="CG710" s="2"/>
      <c r="CH710" s="2"/>
      <c r="CI710" s="2">
        <v>0</v>
      </c>
      <c r="CJ710" s="2">
        <v>0</v>
      </c>
      <c r="CK710" s="2">
        <v>21</v>
      </c>
      <c r="CL710" s="2" t="s">
        <v>88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"FES1162505480"</f>
        <v>FES1162505480</v>
      </c>
      <c r="F711" s="3">
        <v>42653</v>
      </c>
      <c r="G711" s="2">
        <v>201704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93</v>
      </c>
      <c r="M711" s="2" t="s">
        <v>94</v>
      </c>
      <c r="N711" s="2" t="s">
        <v>265</v>
      </c>
      <c r="O711" s="2" t="s">
        <v>96</v>
      </c>
      <c r="P711" s="2" t="str">
        <f>"2170529126                    "</f>
        <v xml:space="preserve">2170529126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3.32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1</v>
      </c>
      <c r="BJ711" s="2">
        <v>1</v>
      </c>
      <c r="BK711" s="2">
        <v>1</v>
      </c>
      <c r="BL711" s="2">
        <v>40.76</v>
      </c>
      <c r="BM711" s="2">
        <v>5.71</v>
      </c>
      <c r="BN711" s="2">
        <v>46.47</v>
      </c>
      <c r="BO711" s="2">
        <v>46.47</v>
      </c>
      <c r="BP711" s="2"/>
      <c r="BQ711" s="2" t="s">
        <v>91</v>
      </c>
      <c r="BR711" s="2" t="s">
        <v>83</v>
      </c>
      <c r="BS711" s="3">
        <v>42654</v>
      </c>
      <c r="BT711" s="4">
        <v>0.4375</v>
      </c>
      <c r="BU711" s="2" t="s">
        <v>1128</v>
      </c>
      <c r="BV711" s="2" t="s">
        <v>85</v>
      </c>
      <c r="BW711" s="2"/>
      <c r="BX711" s="2"/>
      <c r="BY711" s="2">
        <v>5022.42</v>
      </c>
      <c r="BZ711" s="2"/>
      <c r="CA711" s="2"/>
      <c r="CB711" s="2"/>
      <c r="CC711" s="2" t="s">
        <v>94</v>
      </c>
      <c r="CD711" s="2">
        <v>4300</v>
      </c>
      <c r="CE711" s="2" t="s">
        <v>86</v>
      </c>
      <c r="CF711" s="5">
        <v>42655</v>
      </c>
      <c r="CG711" s="2"/>
      <c r="CH711" s="2"/>
      <c r="CI711" s="2">
        <v>1</v>
      </c>
      <c r="CJ711" s="2">
        <v>1</v>
      </c>
      <c r="CK711" s="2">
        <v>21</v>
      </c>
      <c r="CL711" s="2" t="s">
        <v>88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"FES1162505518"</f>
        <v>FES1162505518</v>
      </c>
      <c r="F712" s="3">
        <v>42653</v>
      </c>
      <c r="G712" s="2">
        <v>201704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253</v>
      </c>
      <c r="M712" s="2" t="s">
        <v>254</v>
      </c>
      <c r="N712" s="2" t="s">
        <v>255</v>
      </c>
      <c r="O712" s="2" t="s">
        <v>96</v>
      </c>
      <c r="P712" s="2" t="str">
        <f>"2170529176                    "</f>
        <v xml:space="preserve">2170529176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6.43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1.5</v>
      </c>
      <c r="BJ712" s="2">
        <v>1.5</v>
      </c>
      <c r="BK712" s="2">
        <v>1.5</v>
      </c>
      <c r="BL712" s="2">
        <v>78.97</v>
      </c>
      <c r="BM712" s="2">
        <v>11.06</v>
      </c>
      <c r="BN712" s="2">
        <v>90.03</v>
      </c>
      <c r="BO712" s="2">
        <v>90.03</v>
      </c>
      <c r="BP712" s="2"/>
      <c r="BQ712" s="2" t="s">
        <v>117</v>
      </c>
      <c r="BR712" s="2" t="s">
        <v>83</v>
      </c>
      <c r="BS712" s="3">
        <v>42654</v>
      </c>
      <c r="BT712" s="4">
        <v>0.43055555555555558</v>
      </c>
      <c r="BU712" s="2" t="s">
        <v>974</v>
      </c>
      <c r="BV712" s="2" t="s">
        <v>85</v>
      </c>
      <c r="BW712" s="2"/>
      <c r="BX712" s="2"/>
      <c r="BY712" s="2">
        <v>7457.67</v>
      </c>
      <c r="BZ712" s="2"/>
      <c r="CA712" s="2"/>
      <c r="CB712" s="2"/>
      <c r="CC712" s="2" t="s">
        <v>254</v>
      </c>
      <c r="CD712" s="2">
        <v>3370</v>
      </c>
      <c r="CE712" s="2" t="s">
        <v>86</v>
      </c>
      <c r="CF712" s="5">
        <v>42656</v>
      </c>
      <c r="CG712" s="2"/>
      <c r="CH712" s="2"/>
      <c r="CI712" s="2">
        <v>3</v>
      </c>
      <c r="CJ712" s="2">
        <v>1</v>
      </c>
      <c r="CK712" s="2">
        <v>23</v>
      </c>
      <c r="CL712" s="2" t="s">
        <v>88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"FES1162505517"</f>
        <v>FES1162505517</v>
      </c>
      <c r="F713" s="3">
        <v>42653</v>
      </c>
      <c r="G713" s="2">
        <v>201704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614</v>
      </c>
      <c r="M713" s="2" t="s">
        <v>615</v>
      </c>
      <c r="N713" s="2" t="s">
        <v>616</v>
      </c>
      <c r="O713" s="2" t="s">
        <v>96</v>
      </c>
      <c r="P713" s="2" t="str">
        <f>"2170529173                    "</f>
        <v xml:space="preserve">2170529173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3.32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1</v>
      </c>
      <c r="BJ713" s="2">
        <v>0.2</v>
      </c>
      <c r="BK713" s="2">
        <v>1</v>
      </c>
      <c r="BL713" s="2">
        <v>40.76</v>
      </c>
      <c r="BM713" s="2">
        <v>5.71</v>
      </c>
      <c r="BN713" s="2">
        <v>46.47</v>
      </c>
      <c r="BO713" s="2">
        <v>46.47</v>
      </c>
      <c r="BP713" s="2"/>
      <c r="BQ713" s="2" t="s">
        <v>617</v>
      </c>
      <c r="BR713" s="2" t="s">
        <v>83</v>
      </c>
      <c r="BS713" s="3">
        <v>42654</v>
      </c>
      <c r="BT713" s="4">
        <v>0.4375</v>
      </c>
      <c r="BU713" s="2" t="s">
        <v>1129</v>
      </c>
      <c r="BV713" s="2" t="s">
        <v>85</v>
      </c>
      <c r="BW713" s="2"/>
      <c r="BX713" s="2"/>
      <c r="BY713" s="2">
        <v>1200</v>
      </c>
      <c r="BZ713" s="2"/>
      <c r="CA713" s="2" t="s">
        <v>129</v>
      </c>
      <c r="CB713" s="2"/>
      <c r="CC713" s="2" t="s">
        <v>615</v>
      </c>
      <c r="CD713" s="2">
        <v>4026</v>
      </c>
      <c r="CE713" s="2" t="s">
        <v>108</v>
      </c>
      <c r="CF713" s="5">
        <v>42655</v>
      </c>
      <c r="CG713" s="2"/>
      <c r="CH713" s="2"/>
      <c r="CI713" s="2">
        <v>1</v>
      </c>
      <c r="CJ713" s="2">
        <v>1</v>
      </c>
      <c r="CK713" s="2">
        <v>21</v>
      </c>
      <c r="CL713" s="2" t="s">
        <v>88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"FES1162505441"</f>
        <v>FES1162505441</v>
      </c>
      <c r="F714" s="3">
        <v>42653</v>
      </c>
      <c r="G714" s="2">
        <v>201704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148</v>
      </c>
      <c r="M714" s="2" t="s">
        <v>149</v>
      </c>
      <c r="N714" s="2" t="s">
        <v>432</v>
      </c>
      <c r="O714" s="2" t="s">
        <v>96</v>
      </c>
      <c r="P714" s="2" t="str">
        <f>"2170528695                    "</f>
        <v xml:space="preserve">2170528695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3.32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</v>
      </c>
      <c r="BJ714" s="2">
        <v>0.2</v>
      </c>
      <c r="BK714" s="2">
        <v>1</v>
      </c>
      <c r="BL714" s="2">
        <v>40.76</v>
      </c>
      <c r="BM714" s="2">
        <v>5.71</v>
      </c>
      <c r="BN714" s="2">
        <v>46.47</v>
      </c>
      <c r="BO714" s="2">
        <v>46.47</v>
      </c>
      <c r="BP714" s="2"/>
      <c r="BQ714" s="2" t="s">
        <v>91</v>
      </c>
      <c r="BR714" s="2" t="s">
        <v>83</v>
      </c>
      <c r="BS714" s="3">
        <v>42654</v>
      </c>
      <c r="BT714" s="4">
        <v>0.4375</v>
      </c>
      <c r="BU714" s="2" t="s">
        <v>1130</v>
      </c>
      <c r="BV714" s="2" t="s">
        <v>85</v>
      </c>
      <c r="BW714" s="2"/>
      <c r="BX714" s="2"/>
      <c r="BY714" s="2">
        <v>1200</v>
      </c>
      <c r="BZ714" s="2"/>
      <c r="CA714" s="2" t="s">
        <v>129</v>
      </c>
      <c r="CB714" s="2"/>
      <c r="CC714" s="2" t="s">
        <v>149</v>
      </c>
      <c r="CD714" s="2">
        <v>4052</v>
      </c>
      <c r="CE714" s="2" t="s">
        <v>108</v>
      </c>
      <c r="CF714" s="5">
        <v>42655</v>
      </c>
      <c r="CG714" s="2"/>
      <c r="CH714" s="2"/>
      <c r="CI714" s="2">
        <v>1</v>
      </c>
      <c r="CJ714" s="2">
        <v>1</v>
      </c>
      <c r="CK714" s="2">
        <v>21</v>
      </c>
      <c r="CL714" s="2" t="s">
        <v>88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"FES1162505458"</f>
        <v>FES1162505458</v>
      </c>
      <c r="F715" s="3">
        <v>42653</v>
      </c>
      <c r="G715" s="2">
        <v>201704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148</v>
      </c>
      <c r="M715" s="2" t="s">
        <v>149</v>
      </c>
      <c r="N715" s="2" t="s">
        <v>815</v>
      </c>
      <c r="O715" s="2" t="s">
        <v>96</v>
      </c>
      <c r="P715" s="2" t="str">
        <f>"2170529110                    "</f>
        <v xml:space="preserve">2170529110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3.32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</v>
      </c>
      <c r="BJ715" s="2">
        <v>0.2</v>
      </c>
      <c r="BK715" s="2">
        <v>1</v>
      </c>
      <c r="BL715" s="2">
        <v>40.76</v>
      </c>
      <c r="BM715" s="2">
        <v>5.71</v>
      </c>
      <c r="BN715" s="2">
        <v>46.47</v>
      </c>
      <c r="BO715" s="2">
        <v>46.47</v>
      </c>
      <c r="BP715" s="2"/>
      <c r="BQ715" s="2" t="s">
        <v>91</v>
      </c>
      <c r="BR715" s="2" t="s">
        <v>83</v>
      </c>
      <c r="BS715" s="3">
        <v>42654</v>
      </c>
      <c r="BT715" s="4">
        <v>0.4375</v>
      </c>
      <c r="BU715" s="2" t="s">
        <v>1131</v>
      </c>
      <c r="BV715" s="2" t="s">
        <v>85</v>
      </c>
      <c r="BW715" s="2"/>
      <c r="BX715" s="2"/>
      <c r="BY715" s="2">
        <v>1200</v>
      </c>
      <c r="BZ715" s="2"/>
      <c r="CA715" s="2"/>
      <c r="CB715" s="2"/>
      <c r="CC715" s="2" t="s">
        <v>149</v>
      </c>
      <c r="CD715" s="2">
        <v>4068</v>
      </c>
      <c r="CE715" s="2" t="s">
        <v>108</v>
      </c>
      <c r="CF715" s="5">
        <v>42655</v>
      </c>
      <c r="CG715" s="2"/>
      <c r="CH715" s="2"/>
      <c r="CI715" s="2">
        <v>1</v>
      </c>
      <c r="CJ715" s="2">
        <v>1</v>
      </c>
      <c r="CK715" s="2">
        <v>21</v>
      </c>
      <c r="CL715" s="2" t="s">
        <v>88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"FES1162505473"</f>
        <v>FES1162505473</v>
      </c>
      <c r="F716" s="3">
        <v>42653</v>
      </c>
      <c r="G716" s="2">
        <v>201704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253</v>
      </c>
      <c r="M716" s="2" t="s">
        <v>254</v>
      </c>
      <c r="N716" s="2" t="s">
        <v>255</v>
      </c>
      <c r="O716" s="2" t="s">
        <v>96</v>
      </c>
      <c r="P716" s="2" t="str">
        <f>"2170529124                    "</f>
        <v xml:space="preserve">2170529124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6.43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0.5</v>
      </c>
      <c r="BJ716" s="2">
        <v>0.2</v>
      </c>
      <c r="BK716" s="2">
        <v>0.5</v>
      </c>
      <c r="BL716" s="2">
        <v>78.97</v>
      </c>
      <c r="BM716" s="2">
        <v>11.06</v>
      </c>
      <c r="BN716" s="2">
        <v>90.03</v>
      </c>
      <c r="BO716" s="2">
        <v>90.03</v>
      </c>
      <c r="BP716" s="2"/>
      <c r="BQ716" s="2" t="s">
        <v>117</v>
      </c>
      <c r="BR716" s="2" t="s">
        <v>83</v>
      </c>
      <c r="BS716" s="3">
        <v>42654</v>
      </c>
      <c r="BT716" s="4">
        <v>0.43055555555555558</v>
      </c>
      <c r="BU716" s="2" t="s">
        <v>974</v>
      </c>
      <c r="BV716" s="2" t="s">
        <v>85</v>
      </c>
      <c r="BW716" s="2"/>
      <c r="BX716" s="2"/>
      <c r="BY716" s="2">
        <v>1200</v>
      </c>
      <c r="BZ716" s="2"/>
      <c r="CA716" s="2"/>
      <c r="CB716" s="2"/>
      <c r="CC716" s="2" t="s">
        <v>254</v>
      </c>
      <c r="CD716" s="2">
        <v>3370</v>
      </c>
      <c r="CE716" s="2" t="s">
        <v>108</v>
      </c>
      <c r="CF716" s="5">
        <v>42656</v>
      </c>
      <c r="CG716" s="2"/>
      <c r="CH716" s="2"/>
      <c r="CI716" s="2">
        <v>3</v>
      </c>
      <c r="CJ716" s="2">
        <v>1</v>
      </c>
      <c r="CK716" s="2">
        <v>23</v>
      </c>
      <c r="CL716" s="2" t="s">
        <v>88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"FES1162505404"</f>
        <v>FES1162505404</v>
      </c>
      <c r="F717" s="3">
        <v>42653</v>
      </c>
      <c r="G717" s="2">
        <v>201704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148</v>
      </c>
      <c r="M717" s="2" t="s">
        <v>149</v>
      </c>
      <c r="N717" s="2" t="s">
        <v>1132</v>
      </c>
      <c r="O717" s="2" t="s">
        <v>96</v>
      </c>
      <c r="P717" s="2" t="str">
        <f>"2170529068                    "</f>
        <v xml:space="preserve">2170529068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3.32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0.2</v>
      </c>
      <c r="BK717" s="2">
        <v>1</v>
      </c>
      <c r="BL717" s="2">
        <v>40.76</v>
      </c>
      <c r="BM717" s="2">
        <v>5.71</v>
      </c>
      <c r="BN717" s="2">
        <v>46.47</v>
      </c>
      <c r="BO717" s="2">
        <v>46.47</v>
      </c>
      <c r="BP717" s="2"/>
      <c r="BQ717" s="2" t="s">
        <v>91</v>
      </c>
      <c r="BR717" s="2" t="s">
        <v>83</v>
      </c>
      <c r="BS717" s="3">
        <v>42654</v>
      </c>
      <c r="BT717" s="4">
        <v>0.4375</v>
      </c>
      <c r="BU717" s="2" t="s">
        <v>1133</v>
      </c>
      <c r="BV717" s="2"/>
      <c r="BW717" s="2"/>
      <c r="BX717" s="2"/>
      <c r="BY717" s="2">
        <v>1200</v>
      </c>
      <c r="BZ717" s="2"/>
      <c r="CA717" s="2"/>
      <c r="CB717" s="2"/>
      <c r="CC717" s="2" t="s">
        <v>149</v>
      </c>
      <c r="CD717" s="2">
        <v>4000</v>
      </c>
      <c r="CE717" s="2" t="s">
        <v>108</v>
      </c>
      <c r="CF717" s="5">
        <v>42655</v>
      </c>
      <c r="CG717" s="2"/>
      <c r="CH717" s="2"/>
      <c r="CI717" s="2">
        <v>0</v>
      </c>
      <c r="CJ717" s="2">
        <v>0</v>
      </c>
      <c r="CK717" s="2">
        <v>21</v>
      </c>
      <c r="CL717" s="2" t="s">
        <v>88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"FES1162505492"</f>
        <v>FES1162505492</v>
      </c>
      <c r="F718" s="3">
        <v>42653</v>
      </c>
      <c r="G718" s="2">
        <v>201704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78</v>
      </c>
      <c r="M718" s="2" t="s">
        <v>79</v>
      </c>
      <c r="N718" s="2" t="s">
        <v>1134</v>
      </c>
      <c r="O718" s="2" t="s">
        <v>96</v>
      </c>
      <c r="P718" s="2" t="str">
        <f>"2170529140                    "</f>
        <v xml:space="preserve">2170529140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3.32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0.2</v>
      </c>
      <c r="BK718" s="2">
        <v>1</v>
      </c>
      <c r="BL718" s="2">
        <v>40.76</v>
      </c>
      <c r="BM718" s="2">
        <v>5.71</v>
      </c>
      <c r="BN718" s="2">
        <v>46.47</v>
      </c>
      <c r="BO718" s="2">
        <v>46.47</v>
      </c>
      <c r="BP718" s="2"/>
      <c r="BQ718" s="2" t="s">
        <v>91</v>
      </c>
      <c r="BR718" s="2" t="s">
        <v>83</v>
      </c>
      <c r="BS718" s="3">
        <v>42654</v>
      </c>
      <c r="BT718" s="4">
        <v>0.41666666666666669</v>
      </c>
      <c r="BU718" s="2" t="s">
        <v>1135</v>
      </c>
      <c r="BV718" s="2" t="s">
        <v>85</v>
      </c>
      <c r="BW718" s="2"/>
      <c r="BX718" s="2"/>
      <c r="BY718" s="2">
        <v>1200</v>
      </c>
      <c r="BZ718" s="2"/>
      <c r="CA718" s="2" t="s">
        <v>129</v>
      </c>
      <c r="CB718" s="2"/>
      <c r="CC718" s="2" t="s">
        <v>79</v>
      </c>
      <c r="CD718" s="2">
        <v>1939</v>
      </c>
      <c r="CE718" s="2" t="s">
        <v>108</v>
      </c>
      <c r="CF718" s="5">
        <v>42656</v>
      </c>
      <c r="CG718" s="2"/>
      <c r="CH718" s="2"/>
      <c r="CI718" s="2">
        <v>1</v>
      </c>
      <c r="CJ718" s="2">
        <v>1</v>
      </c>
      <c r="CK718" s="2">
        <v>21</v>
      </c>
      <c r="CL718" s="2" t="s">
        <v>88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"FES1162505430"</f>
        <v>FES1162505430</v>
      </c>
      <c r="F719" s="3">
        <v>42653</v>
      </c>
      <c r="G719" s="2">
        <v>201704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153</v>
      </c>
      <c r="M719" s="2" t="s">
        <v>153</v>
      </c>
      <c r="N719" s="2" t="s">
        <v>343</v>
      </c>
      <c r="O719" s="2" t="s">
        <v>96</v>
      </c>
      <c r="P719" s="2" t="str">
        <f>"2170527077                    "</f>
        <v xml:space="preserve">2170527077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3.32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1</v>
      </c>
      <c r="BJ719" s="2">
        <v>0.2</v>
      </c>
      <c r="BK719" s="2">
        <v>1</v>
      </c>
      <c r="BL719" s="2">
        <v>40.76</v>
      </c>
      <c r="BM719" s="2">
        <v>5.71</v>
      </c>
      <c r="BN719" s="2">
        <v>46.47</v>
      </c>
      <c r="BO719" s="2">
        <v>46.47</v>
      </c>
      <c r="BP719" s="2"/>
      <c r="BQ719" s="2" t="s">
        <v>344</v>
      </c>
      <c r="BR719" s="2" t="s">
        <v>83</v>
      </c>
      <c r="BS719" s="3">
        <v>42654</v>
      </c>
      <c r="BT719" s="4">
        <v>0.60069444444444442</v>
      </c>
      <c r="BU719" s="2" t="s">
        <v>1089</v>
      </c>
      <c r="BV719" s="2" t="s">
        <v>88</v>
      </c>
      <c r="BW719" s="2" t="s">
        <v>277</v>
      </c>
      <c r="BX719" s="2" t="s">
        <v>356</v>
      </c>
      <c r="BY719" s="2">
        <v>1200</v>
      </c>
      <c r="BZ719" s="2"/>
      <c r="CA719" s="2"/>
      <c r="CB719" s="2"/>
      <c r="CC719" s="2" t="s">
        <v>153</v>
      </c>
      <c r="CD719" s="2">
        <v>7646</v>
      </c>
      <c r="CE719" s="2" t="s">
        <v>108</v>
      </c>
      <c r="CF719" s="5">
        <v>42655</v>
      </c>
      <c r="CG719" s="2"/>
      <c r="CH719" s="2"/>
      <c r="CI719" s="2">
        <v>1</v>
      </c>
      <c r="CJ719" s="2">
        <v>1</v>
      </c>
      <c r="CK719" s="2">
        <v>21</v>
      </c>
      <c r="CL719" s="2" t="s">
        <v>88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"FES1162505410"</f>
        <v>FES1162505410</v>
      </c>
      <c r="F720" s="3">
        <v>42653</v>
      </c>
      <c r="G720" s="2">
        <v>201704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153</v>
      </c>
      <c r="M720" s="2" t="s">
        <v>153</v>
      </c>
      <c r="N720" s="2" t="s">
        <v>200</v>
      </c>
      <c r="O720" s="2" t="s">
        <v>96</v>
      </c>
      <c r="P720" s="2" t="str">
        <f>"2170529094                    "</f>
        <v xml:space="preserve">2170529094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3.32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1</v>
      </c>
      <c r="BJ720" s="2">
        <v>0.2</v>
      </c>
      <c r="BK720" s="2">
        <v>1</v>
      </c>
      <c r="BL720" s="2">
        <v>40.76</v>
      </c>
      <c r="BM720" s="2">
        <v>5.71</v>
      </c>
      <c r="BN720" s="2">
        <v>46.47</v>
      </c>
      <c r="BO720" s="2">
        <v>46.47</v>
      </c>
      <c r="BP720" s="2"/>
      <c r="BQ720" s="2" t="s">
        <v>201</v>
      </c>
      <c r="BR720" s="2" t="s">
        <v>83</v>
      </c>
      <c r="BS720" s="3">
        <v>42654</v>
      </c>
      <c r="BT720" s="4">
        <v>0.625</v>
      </c>
      <c r="BU720" s="2" t="s">
        <v>1096</v>
      </c>
      <c r="BV720" s="2" t="s">
        <v>88</v>
      </c>
      <c r="BW720" s="2" t="s">
        <v>277</v>
      </c>
      <c r="BX720" s="2" t="s">
        <v>356</v>
      </c>
      <c r="BY720" s="2">
        <v>1200</v>
      </c>
      <c r="BZ720" s="2"/>
      <c r="CA720" s="2" t="s">
        <v>129</v>
      </c>
      <c r="CB720" s="2"/>
      <c r="CC720" s="2" t="s">
        <v>153</v>
      </c>
      <c r="CD720" s="2">
        <v>7646</v>
      </c>
      <c r="CE720" s="2" t="s">
        <v>108</v>
      </c>
      <c r="CF720" s="5">
        <v>42655</v>
      </c>
      <c r="CG720" s="2"/>
      <c r="CH720" s="2"/>
      <c r="CI720" s="2">
        <v>1</v>
      </c>
      <c r="CJ720" s="2">
        <v>1</v>
      </c>
      <c r="CK720" s="2">
        <v>21</v>
      </c>
      <c r="CL720" s="2" t="s">
        <v>88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"FES1162505432"</f>
        <v>FES1162505432</v>
      </c>
      <c r="F721" s="3">
        <v>42653</v>
      </c>
      <c r="G721" s="2">
        <v>201704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160</v>
      </c>
      <c r="M721" s="2" t="s">
        <v>161</v>
      </c>
      <c r="N721" s="2" t="s">
        <v>176</v>
      </c>
      <c r="O721" s="2" t="s">
        <v>96</v>
      </c>
      <c r="P721" s="2" t="str">
        <f>"2170527120                    "</f>
        <v xml:space="preserve">2170527120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3.32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1</v>
      </c>
      <c r="BJ721" s="2">
        <v>0.2</v>
      </c>
      <c r="BK721" s="2">
        <v>1</v>
      </c>
      <c r="BL721" s="2">
        <v>40.76</v>
      </c>
      <c r="BM721" s="2">
        <v>5.71</v>
      </c>
      <c r="BN721" s="2">
        <v>46.47</v>
      </c>
      <c r="BO721" s="2">
        <v>46.47</v>
      </c>
      <c r="BP721" s="2"/>
      <c r="BQ721" s="2" t="s">
        <v>177</v>
      </c>
      <c r="BR721" s="2" t="s">
        <v>83</v>
      </c>
      <c r="BS721" s="3">
        <v>42654</v>
      </c>
      <c r="BT721" s="4">
        <v>0.4513888888888889</v>
      </c>
      <c r="BU721" s="2" t="s">
        <v>1114</v>
      </c>
      <c r="BV721" s="2" t="s">
        <v>85</v>
      </c>
      <c r="BW721" s="2"/>
      <c r="BX721" s="2"/>
      <c r="BY721" s="2">
        <v>1200</v>
      </c>
      <c r="BZ721" s="2"/>
      <c r="CA721" s="2" t="s">
        <v>129</v>
      </c>
      <c r="CB721" s="2"/>
      <c r="CC721" s="2" t="s">
        <v>161</v>
      </c>
      <c r="CD721" s="2">
        <v>7530</v>
      </c>
      <c r="CE721" s="2" t="s">
        <v>108</v>
      </c>
      <c r="CF721" s="5">
        <v>42655</v>
      </c>
      <c r="CG721" s="2"/>
      <c r="CH721" s="2"/>
      <c r="CI721" s="2">
        <v>1</v>
      </c>
      <c r="CJ721" s="2">
        <v>1</v>
      </c>
      <c r="CK721" s="2">
        <v>21</v>
      </c>
      <c r="CL721" s="2" t="s">
        <v>88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"FES1162505474"</f>
        <v>FES1162505474</v>
      </c>
      <c r="F722" s="3">
        <v>42653</v>
      </c>
      <c r="G722" s="2">
        <v>201704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148</v>
      </c>
      <c r="M722" s="2" t="s">
        <v>149</v>
      </c>
      <c r="N722" s="2" t="s">
        <v>432</v>
      </c>
      <c r="O722" s="2" t="s">
        <v>96</v>
      </c>
      <c r="P722" s="2" t="str">
        <f>"2170529125                    "</f>
        <v xml:space="preserve">2170529125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3.32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0.9</v>
      </c>
      <c r="BJ722" s="2">
        <v>1.6</v>
      </c>
      <c r="BK722" s="2">
        <v>2</v>
      </c>
      <c r="BL722" s="2">
        <v>40.76</v>
      </c>
      <c r="BM722" s="2">
        <v>5.71</v>
      </c>
      <c r="BN722" s="2">
        <v>46.47</v>
      </c>
      <c r="BO722" s="2">
        <v>46.47</v>
      </c>
      <c r="BP722" s="2"/>
      <c r="BQ722" s="2" t="s">
        <v>91</v>
      </c>
      <c r="BR722" s="2" t="s">
        <v>83</v>
      </c>
      <c r="BS722" s="3">
        <v>42654</v>
      </c>
      <c r="BT722" s="4">
        <v>0.4375</v>
      </c>
      <c r="BU722" s="2" t="s">
        <v>1130</v>
      </c>
      <c r="BV722" s="2" t="s">
        <v>85</v>
      </c>
      <c r="BW722" s="2"/>
      <c r="BX722" s="2"/>
      <c r="BY722" s="2">
        <v>8142.71</v>
      </c>
      <c r="BZ722" s="2"/>
      <c r="CA722" s="2" t="s">
        <v>129</v>
      </c>
      <c r="CB722" s="2"/>
      <c r="CC722" s="2" t="s">
        <v>149</v>
      </c>
      <c r="CD722" s="2">
        <v>4052</v>
      </c>
      <c r="CE722" s="2" t="s">
        <v>108</v>
      </c>
      <c r="CF722" s="5">
        <v>42655</v>
      </c>
      <c r="CG722" s="2"/>
      <c r="CH722" s="2"/>
      <c r="CI722" s="2">
        <v>1</v>
      </c>
      <c r="CJ722" s="2">
        <v>1</v>
      </c>
      <c r="CK722" s="2">
        <v>21</v>
      </c>
      <c r="CL722" s="2" t="s">
        <v>88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"FES1162505446"</f>
        <v>FES1162505446</v>
      </c>
      <c r="F723" s="3">
        <v>42653</v>
      </c>
      <c r="G723" s="2">
        <v>201704</v>
      </c>
      <c r="H723" s="2" t="s">
        <v>74</v>
      </c>
      <c r="I723" s="2" t="s">
        <v>75</v>
      </c>
      <c r="J723" s="2" t="s">
        <v>76</v>
      </c>
      <c r="K723" s="2" t="s">
        <v>77</v>
      </c>
      <c r="L723" s="2" t="s">
        <v>148</v>
      </c>
      <c r="M723" s="2" t="s">
        <v>149</v>
      </c>
      <c r="N723" s="2" t="s">
        <v>233</v>
      </c>
      <c r="O723" s="2" t="s">
        <v>96</v>
      </c>
      <c r="P723" s="2" t="str">
        <f>"2170529104                    "</f>
        <v xml:space="preserve">2170529104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3.32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1.1000000000000001</v>
      </c>
      <c r="BJ723" s="2">
        <v>0.2</v>
      </c>
      <c r="BK723" s="2">
        <v>1.5</v>
      </c>
      <c r="BL723" s="2">
        <v>40.76</v>
      </c>
      <c r="BM723" s="2">
        <v>5.71</v>
      </c>
      <c r="BN723" s="2">
        <v>46.47</v>
      </c>
      <c r="BO723" s="2">
        <v>46.47</v>
      </c>
      <c r="BP723" s="2"/>
      <c r="BQ723" s="2" t="s">
        <v>234</v>
      </c>
      <c r="BR723" s="2" t="s">
        <v>83</v>
      </c>
      <c r="BS723" s="3">
        <v>42654</v>
      </c>
      <c r="BT723" s="4">
        <v>0.4375</v>
      </c>
      <c r="BU723" s="2" t="s">
        <v>1127</v>
      </c>
      <c r="BV723" s="2"/>
      <c r="BW723" s="2"/>
      <c r="BX723" s="2"/>
      <c r="BY723" s="2">
        <v>1200</v>
      </c>
      <c r="BZ723" s="2"/>
      <c r="CA723" s="2"/>
      <c r="CB723" s="2"/>
      <c r="CC723" s="2" t="s">
        <v>149</v>
      </c>
      <c r="CD723" s="2">
        <v>4001</v>
      </c>
      <c r="CE723" s="2" t="s">
        <v>108</v>
      </c>
      <c r="CF723" s="5">
        <v>42655</v>
      </c>
      <c r="CG723" s="2"/>
      <c r="CH723" s="2"/>
      <c r="CI723" s="2">
        <v>0</v>
      </c>
      <c r="CJ723" s="2">
        <v>0</v>
      </c>
      <c r="CK723" s="2">
        <v>21</v>
      </c>
      <c r="CL723" s="2" t="s">
        <v>88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"FES1162505496"</f>
        <v>FES1162505496</v>
      </c>
      <c r="F724" s="3">
        <v>42653</v>
      </c>
      <c r="G724" s="2">
        <v>201704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160</v>
      </c>
      <c r="M724" s="2" t="s">
        <v>161</v>
      </c>
      <c r="N724" s="2" t="s">
        <v>441</v>
      </c>
      <c r="O724" s="2" t="s">
        <v>96</v>
      </c>
      <c r="P724" s="2" t="str">
        <f>"2170529086                    "</f>
        <v xml:space="preserve">2170529086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4.1500000000000004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0.5</v>
      </c>
      <c r="BJ724" s="2">
        <v>2.5</v>
      </c>
      <c r="BK724" s="2">
        <v>2.5</v>
      </c>
      <c r="BL724" s="2">
        <v>50.95</v>
      </c>
      <c r="BM724" s="2">
        <v>7.13</v>
      </c>
      <c r="BN724" s="2">
        <v>58.08</v>
      </c>
      <c r="BO724" s="2">
        <v>58.08</v>
      </c>
      <c r="BP724" s="2"/>
      <c r="BQ724" s="2" t="s">
        <v>168</v>
      </c>
      <c r="BR724" s="2" t="s">
        <v>83</v>
      </c>
      <c r="BS724" s="3">
        <v>42654</v>
      </c>
      <c r="BT724" s="4">
        <v>0.4291666666666667</v>
      </c>
      <c r="BU724" s="2" t="s">
        <v>1136</v>
      </c>
      <c r="BV724" s="2" t="s">
        <v>85</v>
      </c>
      <c r="BW724" s="2"/>
      <c r="BX724" s="2"/>
      <c r="BY724" s="2">
        <v>12561.12</v>
      </c>
      <c r="BZ724" s="2"/>
      <c r="CA724" s="2"/>
      <c r="CB724" s="2"/>
      <c r="CC724" s="2" t="s">
        <v>161</v>
      </c>
      <c r="CD724" s="2">
        <v>7580</v>
      </c>
      <c r="CE724" s="2" t="s">
        <v>108</v>
      </c>
      <c r="CF724" s="5">
        <v>42655</v>
      </c>
      <c r="CG724" s="2"/>
      <c r="CH724" s="2"/>
      <c r="CI724" s="2">
        <v>1</v>
      </c>
      <c r="CJ724" s="2">
        <v>1</v>
      </c>
      <c r="CK724" s="2">
        <v>21</v>
      </c>
      <c r="CL724" s="2" t="s">
        <v>88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"FES1162505510"</f>
        <v>FES1162505510</v>
      </c>
      <c r="F725" s="3">
        <v>42653</v>
      </c>
      <c r="G725" s="2">
        <v>201704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160</v>
      </c>
      <c r="M725" s="2" t="s">
        <v>161</v>
      </c>
      <c r="N725" s="2" t="s">
        <v>179</v>
      </c>
      <c r="O725" s="2" t="s">
        <v>96</v>
      </c>
      <c r="P725" s="2" t="str">
        <f>"2170529159                    "</f>
        <v xml:space="preserve">2170529159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3.32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1</v>
      </c>
      <c r="BJ725" s="2">
        <v>0.2</v>
      </c>
      <c r="BK725" s="2">
        <v>1</v>
      </c>
      <c r="BL725" s="2">
        <v>40.76</v>
      </c>
      <c r="BM725" s="2">
        <v>5.71</v>
      </c>
      <c r="BN725" s="2">
        <v>46.47</v>
      </c>
      <c r="BO725" s="2">
        <v>46.47</v>
      </c>
      <c r="BP725" s="2"/>
      <c r="BQ725" s="2" t="s">
        <v>180</v>
      </c>
      <c r="BR725" s="2" t="s">
        <v>83</v>
      </c>
      <c r="BS725" s="3">
        <v>42654</v>
      </c>
      <c r="BT725" s="4">
        <v>0.41666666666666669</v>
      </c>
      <c r="BU725" s="2" t="s">
        <v>1137</v>
      </c>
      <c r="BV725" s="2" t="s">
        <v>85</v>
      </c>
      <c r="BW725" s="2"/>
      <c r="BX725" s="2"/>
      <c r="BY725" s="2">
        <v>1200</v>
      </c>
      <c r="BZ725" s="2"/>
      <c r="CA725" s="2" t="s">
        <v>129</v>
      </c>
      <c r="CB725" s="2"/>
      <c r="CC725" s="2" t="s">
        <v>161</v>
      </c>
      <c r="CD725" s="2">
        <v>7405</v>
      </c>
      <c r="CE725" s="2" t="s">
        <v>108</v>
      </c>
      <c r="CF725" s="5">
        <v>42655</v>
      </c>
      <c r="CG725" s="2"/>
      <c r="CH725" s="2"/>
      <c r="CI725" s="2">
        <v>1</v>
      </c>
      <c r="CJ725" s="2">
        <v>1</v>
      </c>
      <c r="CK725" s="2">
        <v>21</v>
      </c>
      <c r="CL725" s="2" t="s">
        <v>88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"FES1162505509"</f>
        <v>FES1162505509</v>
      </c>
      <c r="F726" s="3">
        <v>42653</v>
      </c>
      <c r="G726" s="2">
        <v>201704</v>
      </c>
      <c r="H726" s="2" t="s">
        <v>74</v>
      </c>
      <c r="I726" s="2" t="s">
        <v>75</v>
      </c>
      <c r="J726" s="2" t="s">
        <v>76</v>
      </c>
      <c r="K726" s="2" t="s">
        <v>77</v>
      </c>
      <c r="L726" s="2" t="s">
        <v>260</v>
      </c>
      <c r="M726" s="2" t="s">
        <v>261</v>
      </c>
      <c r="N726" s="2" t="s">
        <v>347</v>
      </c>
      <c r="O726" s="2" t="s">
        <v>96</v>
      </c>
      <c r="P726" s="2" t="str">
        <f>"2170529158                    "</f>
        <v xml:space="preserve">2170529158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4.1500000000000004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1.1000000000000001</v>
      </c>
      <c r="BJ726" s="2">
        <v>2.2999999999999998</v>
      </c>
      <c r="BK726" s="2">
        <v>2.5</v>
      </c>
      <c r="BL726" s="2">
        <v>50.95</v>
      </c>
      <c r="BM726" s="2">
        <v>7.13</v>
      </c>
      <c r="BN726" s="2">
        <v>58.08</v>
      </c>
      <c r="BO726" s="2">
        <v>58.08</v>
      </c>
      <c r="BP726" s="2"/>
      <c r="BQ726" s="2" t="s">
        <v>91</v>
      </c>
      <c r="BR726" s="2" t="s">
        <v>83</v>
      </c>
      <c r="BS726" s="3">
        <v>42654</v>
      </c>
      <c r="BT726" s="4">
        <v>0.68611111111111101</v>
      </c>
      <c r="BU726" s="2" t="s">
        <v>868</v>
      </c>
      <c r="BV726" s="2" t="s">
        <v>85</v>
      </c>
      <c r="BW726" s="2"/>
      <c r="BX726" s="2"/>
      <c r="BY726" s="2">
        <v>11643.09</v>
      </c>
      <c r="BZ726" s="2"/>
      <c r="CA726" s="2" t="s">
        <v>264</v>
      </c>
      <c r="CB726" s="2"/>
      <c r="CC726" s="2" t="s">
        <v>261</v>
      </c>
      <c r="CD726" s="2">
        <v>6850</v>
      </c>
      <c r="CE726" s="2" t="s">
        <v>108</v>
      </c>
      <c r="CF726" s="5">
        <v>42654</v>
      </c>
      <c r="CG726" s="2"/>
      <c r="CH726" s="2"/>
      <c r="CI726" s="2">
        <v>3</v>
      </c>
      <c r="CJ726" s="2">
        <v>1</v>
      </c>
      <c r="CK726" s="2">
        <v>21</v>
      </c>
      <c r="CL726" s="2" t="s">
        <v>88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"FES1162505482"</f>
        <v>FES1162505482</v>
      </c>
      <c r="F727" s="3">
        <v>42653</v>
      </c>
      <c r="G727" s="2">
        <v>201704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160</v>
      </c>
      <c r="M727" s="2" t="s">
        <v>161</v>
      </c>
      <c r="N727" s="2" t="s">
        <v>1078</v>
      </c>
      <c r="O727" s="2" t="s">
        <v>96</v>
      </c>
      <c r="P727" s="2" t="str">
        <f>"2170529129                    "</f>
        <v xml:space="preserve">2170529129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9.9499999999999993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6</v>
      </c>
      <c r="BJ727" s="2">
        <v>3.3</v>
      </c>
      <c r="BK727" s="2">
        <v>6</v>
      </c>
      <c r="BL727" s="2">
        <v>122.27</v>
      </c>
      <c r="BM727" s="2">
        <v>17.12</v>
      </c>
      <c r="BN727" s="2">
        <v>139.38999999999999</v>
      </c>
      <c r="BO727" s="2">
        <v>139.38999999999999</v>
      </c>
      <c r="BP727" s="2"/>
      <c r="BQ727" s="2" t="s">
        <v>1079</v>
      </c>
      <c r="BR727" s="2" t="s">
        <v>83</v>
      </c>
      <c r="BS727" s="3">
        <v>42654</v>
      </c>
      <c r="BT727" s="4">
        <v>0.3888888888888889</v>
      </c>
      <c r="BU727" s="2" t="s">
        <v>1138</v>
      </c>
      <c r="BV727" s="2"/>
      <c r="BW727" s="2"/>
      <c r="BX727" s="2"/>
      <c r="BY727" s="2">
        <v>16287.27</v>
      </c>
      <c r="BZ727" s="2"/>
      <c r="CA727" s="2"/>
      <c r="CB727" s="2"/>
      <c r="CC727" s="2" t="s">
        <v>161</v>
      </c>
      <c r="CD727" s="2">
        <v>7764</v>
      </c>
      <c r="CE727" s="2" t="s">
        <v>86</v>
      </c>
      <c r="CF727" s="5">
        <v>42655</v>
      </c>
      <c r="CG727" s="2"/>
      <c r="CH727" s="2"/>
      <c r="CI727" s="2">
        <v>0</v>
      </c>
      <c r="CJ727" s="2">
        <v>0</v>
      </c>
      <c r="CK727" s="2">
        <v>21</v>
      </c>
      <c r="CL727" s="2" t="s">
        <v>88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"FES1162505411"</f>
        <v>FES1162505411</v>
      </c>
      <c r="F728" s="3">
        <v>42653</v>
      </c>
      <c r="G728" s="2">
        <v>201704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253</v>
      </c>
      <c r="M728" s="2" t="s">
        <v>254</v>
      </c>
      <c r="N728" s="2" t="s">
        <v>255</v>
      </c>
      <c r="O728" s="2" t="s">
        <v>96</v>
      </c>
      <c r="P728" s="2" t="str">
        <f>"2170529096                    "</f>
        <v xml:space="preserve">2170529096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6.43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2</v>
      </c>
      <c r="BJ728" s="2">
        <v>2</v>
      </c>
      <c r="BK728" s="2">
        <v>2</v>
      </c>
      <c r="BL728" s="2">
        <v>78.97</v>
      </c>
      <c r="BM728" s="2">
        <v>11.06</v>
      </c>
      <c r="BN728" s="2">
        <v>90.03</v>
      </c>
      <c r="BO728" s="2">
        <v>90.03</v>
      </c>
      <c r="BP728" s="2"/>
      <c r="BQ728" s="2" t="s">
        <v>117</v>
      </c>
      <c r="BR728" s="2" t="s">
        <v>83</v>
      </c>
      <c r="BS728" s="3">
        <v>42654</v>
      </c>
      <c r="BT728" s="4">
        <v>0.43055555555555558</v>
      </c>
      <c r="BU728" s="2" t="s">
        <v>974</v>
      </c>
      <c r="BV728" s="2" t="s">
        <v>85</v>
      </c>
      <c r="BW728" s="2"/>
      <c r="BX728" s="2"/>
      <c r="BY728" s="2">
        <v>9900</v>
      </c>
      <c r="BZ728" s="2"/>
      <c r="CA728" s="2"/>
      <c r="CB728" s="2"/>
      <c r="CC728" s="2" t="s">
        <v>254</v>
      </c>
      <c r="CD728" s="2">
        <v>3370</v>
      </c>
      <c r="CE728" s="2" t="s">
        <v>86</v>
      </c>
      <c r="CF728" s="5">
        <v>42656</v>
      </c>
      <c r="CG728" s="2"/>
      <c r="CH728" s="2"/>
      <c r="CI728" s="2">
        <v>3</v>
      </c>
      <c r="CJ728" s="2">
        <v>1</v>
      </c>
      <c r="CK728" s="2">
        <v>23</v>
      </c>
      <c r="CL728" s="2" t="s">
        <v>88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"FES1162505437"</f>
        <v>FES1162505437</v>
      </c>
      <c r="F729" s="3">
        <v>42653</v>
      </c>
      <c r="G729" s="2">
        <v>201704</v>
      </c>
      <c r="H729" s="2" t="s">
        <v>74</v>
      </c>
      <c r="I729" s="2" t="s">
        <v>75</v>
      </c>
      <c r="J729" s="2" t="s">
        <v>76</v>
      </c>
      <c r="K729" s="2" t="s">
        <v>77</v>
      </c>
      <c r="L729" s="2" t="s">
        <v>98</v>
      </c>
      <c r="M729" s="2" t="s">
        <v>99</v>
      </c>
      <c r="N729" s="2" t="s">
        <v>104</v>
      </c>
      <c r="O729" s="2" t="s">
        <v>96</v>
      </c>
      <c r="P729" s="2" t="str">
        <f>"2170527687                    "</f>
        <v xml:space="preserve">2170527687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3.32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1</v>
      </c>
      <c r="BJ729" s="2">
        <v>0.2</v>
      </c>
      <c r="BK729" s="2">
        <v>1</v>
      </c>
      <c r="BL729" s="2">
        <v>40.76</v>
      </c>
      <c r="BM729" s="2">
        <v>5.71</v>
      </c>
      <c r="BN729" s="2">
        <v>46.47</v>
      </c>
      <c r="BO729" s="2">
        <v>46.47</v>
      </c>
      <c r="BP729" s="2"/>
      <c r="BQ729" s="2" t="s">
        <v>105</v>
      </c>
      <c r="BR729" s="2" t="s">
        <v>83</v>
      </c>
      <c r="BS729" s="3">
        <v>42654</v>
      </c>
      <c r="BT729" s="4">
        <v>0.40277777777777773</v>
      </c>
      <c r="BU729" s="2" t="s">
        <v>106</v>
      </c>
      <c r="BV729" s="2" t="s">
        <v>85</v>
      </c>
      <c r="BW729" s="2"/>
      <c r="BX729" s="2"/>
      <c r="BY729" s="2">
        <v>1200</v>
      </c>
      <c r="BZ729" s="2"/>
      <c r="CA729" s="2" t="s">
        <v>107</v>
      </c>
      <c r="CB729" s="2"/>
      <c r="CC729" s="2" t="s">
        <v>99</v>
      </c>
      <c r="CD729" s="2">
        <v>6001</v>
      </c>
      <c r="CE729" s="2" t="s">
        <v>108</v>
      </c>
      <c r="CF729" s="5">
        <v>42654</v>
      </c>
      <c r="CG729" s="2"/>
      <c r="CH729" s="2"/>
      <c r="CI729" s="2">
        <v>1</v>
      </c>
      <c r="CJ729" s="2">
        <v>1</v>
      </c>
      <c r="CK729" s="2">
        <v>21</v>
      </c>
      <c r="CL729" s="2" t="s">
        <v>88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"FES1162505402"</f>
        <v>FES1162505402</v>
      </c>
      <c r="F730" s="3">
        <v>42653</v>
      </c>
      <c r="G730" s="2">
        <v>201704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171</v>
      </c>
      <c r="M730" s="2" t="s">
        <v>172</v>
      </c>
      <c r="N730" s="2" t="s">
        <v>429</v>
      </c>
      <c r="O730" s="2" t="s">
        <v>96</v>
      </c>
      <c r="P730" s="2" t="str">
        <f>"2170528615                    "</f>
        <v xml:space="preserve">2170528615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8.2899999999999991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5</v>
      </c>
      <c r="BJ730" s="2">
        <v>0.2</v>
      </c>
      <c r="BK730" s="2">
        <v>5</v>
      </c>
      <c r="BL730" s="2">
        <v>101.89</v>
      </c>
      <c r="BM730" s="2">
        <v>14.26</v>
      </c>
      <c r="BN730" s="2">
        <v>116.15</v>
      </c>
      <c r="BO730" s="2">
        <v>116.15</v>
      </c>
      <c r="BP730" s="2"/>
      <c r="BQ730" s="2" t="s">
        <v>430</v>
      </c>
      <c r="BR730" s="2" t="s">
        <v>83</v>
      </c>
      <c r="BS730" s="3">
        <v>42654</v>
      </c>
      <c r="BT730" s="4">
        <v>0.38194444444444442</v>
      </c>
      <c r="BU730" s="2" t="s">
        <v>431</v>
      </c>
      <c r="BV730" s="2" t="s">
        <v>85</v>
      </c>
      <c r="BW730" s="2"/>
      <c r="BX730" s="2"/>
      <c r="BY730" s="2">
        <v>1200</v>
      </c>
      <c r="BZ730" s="2"/>
      <c r="CA730" s="2"/>
      <c r="CB730" s="2"/>
      <c r="CC730" s="2" t="s">
        <v>172</v>
      </c>
      <c r="CD730" s="2">
        <v>6220</v>
      </c>
      <c r="CE730" s="2" t="s">
        <v>108</v>
      </c>
      <c r="CF730" s="5">
        <v>42655</v>
      </c>
      <c r="CG730" s="2"/>
      <c r="CH730" s="2"/>
      <c r="CI730" s="2">
        <v>1</v>
      </c>
      <c r="CJ730" s="2">
        <v>1</v>
      </c>
      <c r="CK730" s="2">
        <v>21</v>
      </c>
      <c r="CL730" s="2" t="s">
        <v>88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"FES1162505442"</f>
        <v>FES1162505442</v>
      </c>
      <c r="F731" s="3">
        <v>42653</v>
      </c>
      <c r="G731" s="2">
        <v>201704</v>
      </c>
      <c r="H731" s="2" t="s">
        <v>74</v>
      </c>
      <c r="I731" s="2" t="s">
        <v>75</v>
      </c>
      <c r="J731" s="2" t="s">
        <v>76</v>
      </c>
      <c r="K731" s="2" t="s">
        <v>77</v>
      </c>
      <c r="L731" s="2" t="s">
        <v>98</v>
      </c>
      <c r="M731" s="2" t="s">
        <v>99</v>
      </c>
      <c r="N731" s="2" t="s">
        <v>606</v>
      </c>
      <c r="O731" s="2" t="s">
        <v>96</v>
      </c>
      <c r="P731" s="2" t="str">
        <f>"2170528741                    "</f>
        <v xml:space="preserve">2170528741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3.32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1</v>
      </c>
      <c r="BJ731" s="2">
        <v>0.2</v>
      </c>
      <c r="BK731" s="2">
        <v>1</v>
      </c>
      <c r="BL731" s="2">
        <v>40.76</v>
      </c>
      <c r="BM731" s="2">
        <v>5.71</v>
      </c>
      <c r="BN731" s="2">
        <v>46.47</v>
      </c>
      <c r="BO731" s="2">
        <v>46.47</v>
      </c>
      <c r="BP731" s="2"/>
      <c r="BQ731" s="2" t="s">
        <v>607</v>
      </c>
      <c r="BR731" s="2" t="s">
        <v>83</v>
      </c>
      <c r="BS731" s="3">
        <v>42654</v>
      </c>
      <c r="BT731" s="4">
        <v>0.37361111111111112</v>
      </c>
      <c r="BU731" s="2" t="s">
        <v>1139</v>
      </c>
      <c r="BV731" s="2" t="s">
        <v>85</v>
      </c>
      <c r="BW731" s="2"/>
      <c r="BX731" s="2"/>
      <c r="BY731" s="2">
        <v>1200</v>
      </c>
      <c r="BZ731" s="2"/>
      <c r="CA731" s="2" t="s">
        <v>107</v>
      </c>
      <c r="CB731" s="2"/>
      <c r="CC731" s="2" t="s">
        <v>99</v>
      </c>
      <c r="CD731" s="2">
        <v>6001</v>
      </c>
      <c r="CE731" s="2" t="s">
        <v>108</v>
      </c>
      <c r="CF731" s="5">
        <v>42654</v>
      </c>
      <c r="CG731" s="2"/>
      <c r="CH731" s="2"/>
      <c r="CI731" s="2">
        <v>1</v>
      </c>
      <c r="CJ731" s="2">
        <v>1</v>
      </c>
      <c r="CK731" s="2">
        <v>21</v>
      </c>
      <c r="CL731" s="2" t="s">
        <v>88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"FES1162505419"</f>
        <v>FES1162505419</v>
      </c>
      <c r="F732" s="3">
        <v>42653</v>
      </c>
      <c r="G732" s="2">
        <v>201704</v>
      </c>
      <c r="H732" s="2" t="s">
        <v>74</v>
      </c>
      <c r="I732" s="2" t="s">
        <v>75</v>
      </c>
      <c r="J732" s="2" t="s">
        <v>76</v>
      </c>
      <c r="K732" s="2" t="s">
        <v>77</v>
      </c>
      <c r="L732" s="2" t="s">
        <v>143</v>
      </c>
      <c r="M732" s="2" t="s">
        <v>144</v>
      </c>
      <c r="N732" s="2" t="s">
        <v>273</v>
      </c>
      <c r="O732" s="2" t="s">
        <v>96</v>
      </c>
      <c r="P732" s="2" t="str">
        <f>"2170526174                    "</f>
        <v xml:space="preserve">2170526174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3.32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1</v>
      </c>
      <c r="BJ732" s="2">
        <v>0.2</v>
      </c>
      <c r="BK732" s="2">
        <v>1</v>
      </c>
      <c r="BL732" s="2">
        <v>40.76</v>
      </c>
      <c r="BM732" s="2">
        <v>5.71</v>
      </c>
      <c r="BN732" s="2">
        <v>46.47</v>
      </c>
      <c r="BO732" s="2">
        <v>46.47</v>
      </c>
      <c r="BP732" s="2"/>
      <c r="BQ732" s="2" t="s">
        <v>274</v>
      </c>
      <c r="BR732" s="2" t="s">
        <v>83</v>
      </c>
      <c r="BS732" s="3">
        <v>42654</v>
      </c>
      <c r="BT732" s="4">
        <v>0.4375</v>
      </c>
      <c r="BU732" s="2" t="s">
        <v>1140</v>
      </c>
      <c r="BV732" s="2" t="s">
        <v>85</v>
      </c>
      <c r="BW732" s="2"/>
      <c r="BX732" s="2"/>
      <c r="BY732" s="2">
        <v>1200</v>
      </c>
      <c r="BZ732" s="2"/>
      <c r="CA732" s="2"/>
      <c r="CB732" s="2"/>
      <c r="CC732" s="2" t="s">
        <v>144</v>
      </c>
      <c r="CD732" s="2">
        <v>5201</v>
      </c>
      <c r="CE732" s="2" t="s">
        <v>108</v>
      </c>
      <c r="CF732" s="5">
        <v>42656</v>
      </c>
      <c r="CG732" s="2"/>
      <c r="CH732" s="2"/>
      <c r="CI732" s="2">
        <v>1</v>
      </c>
      <c r="CJ732" s="2">
        <v>1</v>
      </c>
      <c r="CK732" s="2">
        <v>21</v>
      </c>
      <c r="CL732" s="2" t="s">
        <v>88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"FES1162505392"</f>
        <v>FES1162505392</v>
      </c>
      <c r="F733" s="3">
        <v>42653</v>
      </c>
      <c r="G733" s="2">
        <v>201704</v>
      </c>
      <c r="H733" s="2" t="s">
        <v>74</v>
      </c>
      <c r="I733" s="2" t="s">
        <v>75</v>
      </c>
      <c r="J733" s="2" t="s">
        <v>76</v>
      </c>
      <c r="K733" s="2" t="s">
        <v>77</v>
      </c>
      <c r="L733" s="2" t="s">
        <v>98</v>
      </c>
      <c r="M733" s="2" t="s">
        <v>99</v>
      </c>
      <c r="N733" s="2" t="s">
        <v>104</v>
      </c>
      <c r="O733" s="2" t="s">
        <v>96</v>
      </c>
      <c r="P733" s="2" t="str">
        <f>"2170528871                    "</f>
        <v xml:space="preserve">2170528871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3.32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</v>
      </c>
      <c r="BJ733" s="2">
        <v>0.2</v>
      </c>
      <c r="BK733" s="2">
        <v>1</v>
      </c>
      <c r="BL733" s="2">
        <v>40.76</v>
      </c>
      <c r="BM733" s="2">
        <v>5.71</v>
      </c>
      <c r="BN733" s="2">
        <v>46.47</v>
      </c>
      <c r="BO733" s="2">
        <v>46.47</v>
      </c>
      <c r="BP733" s="2"/>
      <c r="BQ733" s="2" t="s">
        <v>105</v>
      </c>
      <c r="BR733" s="2" t="s">
        <v>83</v>
      </c>
      <c r="BS733" s="3">
        <v>42654</v>
      </c>
      <c r="BT733" s="4">
        <v>0.40277777777777773</v>
      </c>
      <c r="BU733" s="2" t="s">
        <v>106</v>
      </c>
      <c r="BV733" s="2" t="s">
        <v>85</v>
      </c>
      <c r="BW733" s="2"/>
      <c r="BX733" s="2"/>
      <c r="BY733" s="2">
        <v>1200</v>
      </c>
      <c r="BZ733" s="2"/>
      <c r="CA733" s="2" t="s">
        <v>107</v>
      </c>
      <c r="CB733" s="2"/>
      <c r="CC733" s="2" t="s">
        <v>99</v>
      </c>
      <c r="CD733" s="2">
        <v>6001</v>
      </c>
      <c r="CE733" s="2" t="s">
        <v>108</v>
      </c>
      <c r="CF733" s="5">
        <v>42654</v>
      </c>
      <c r="CG733" s="2"/>
      <c r="CH733" s="2"/>
      <c r="CI733" s="2">
        <v>1</v>
      </c>
      <c r="CJ733" s="2">
        <v>1</v>
      </c>
      <c r="CK733" s="2">
        <v>21</v>
      </c>
      <c r="CL733" s="2" t="s">
        <v>88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"FES1162505403"</f>
        <v>FES1162505403</v>
      </c>
      <c r="F734" s="3">
        <v>42653</v>
      </c>
      <c r="G734" s="2">
        <v>201704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463</v>
      </c>
      <c r="M734" s="2" t="s">
        <v>464</v>
      </c>
      <c r="N734" s="2" t="s">
        <v>1141</v>
      </c>
      <c r="O734" s="2" t="s">
        <v>96</v>
      </c>
      <c r="P734" s="2" t="str">
        <f>"2170529019                    "</f>
        <v xml:space="preserve">2170529019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3.32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1</v>
      </c>
      <c r="BJ734" s="2">
        <v>0.2</v>
      </c>
      <c r="BK734" s="2">
        <v>1</v>
      </c>
      <c r="BL734" s="2">
        <v>40.76</v>
      </c>
      <c r="BM734" s="2">
        <v>5.71</v>
      </c>
      <c r="BN734" s="2">
        <v>46.47</v>
      </c>
      <c r="BO734" s="2">
        <v>46.47</v>
      </c>
      <c r="BP734" s="2"/>
      <c r="BQ734" s="2">
        <v>1162505403</v>
      </c>
      <c r="BR734" s="2" t="s">
        <v>83</v>
      </c>
      <c r="BS734" s="3">
        <v>42654</v>
      </c>
      <c r="BT734" s="4">
        <v>0.41666666666666669</v>
      </c>
      <c r="BU734" s="2" t="s">
        <v>1142</v>
      </c>
      <c r="BV734" s="2" t="s">
        <v>85</v>
      </c>
      <c r="BW734" s="2"/>
      <c r="BX734" s="2"/>
      <c r="BY734" s="2">
        <v>1200</v>
      </c>
      <c r="BZ734" s="2"/>
      <c r="CA734" s="2"/>
      <c r="CB734" s="2"/>
      <c r="CC734" s="2" t="s">
        <v>464</v>
      </c>
      <c r="CD734" s="2">
        <v>5257</v>
      </c>
      <c r="CE734" s="2" t="s">
        <v>108</v>
      </c>
      <c r="CF734" s="5">
        <v>42656</v>
      </c>
      <c r="CG734" s="2"/>
      <c r="CH734" s="2"/>
      <c r="CI734" s="2">
        <v>1</v>
      </c>
      <c r="CJ734" s="2">
        <v>1</v>
      </c>
      <c r="CK734" s="2">
        <v>21</v>
      </c>
      <c r="CL734" s="2" t="s">
        <v>88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"FES1162505422"</f>
        <v>FES1162505422</v>
      </c>
      <c r="F735" s="3">
        <v>42653</v>
      </c>
      <c r="G735" s="2">
        <v>201704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98</v>
      </c>
      <c r="M735" s="2" t="s">
        <v>99</v>
      </c>
      <c r="N735" s="2" t="s">
        <v>894</v>
      </c>
      <c r="O735" s="2" t="s">
        <v>96</v>
      </c>
      <c r="P735" s="2" t="str">
        <f>"2170526896                    "</f>
        <v xml:space="preserve">2170526896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3.32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1</v>
      </c>
      <c r="BJ735" s="2">
        <v>0.2</v>
      </c>
      <c r="BK735" s="2">
        <v>1</v>
      </c>
      <c r="BL735" s="2">
        <v>40.76</v>
      </c>
      <c r="BM735" s="2">
        <v>5.71</v>
      </c>
      <c r="BN735" s="2">
        <v>46.47</v>
      </c>
      <c r="BO735" s="2">
        <v>46.47</v>
      </c>
      <c r="BP735" s="2"/>
      <c r="BQ735" s="2" t="s">
        <v>895</v>
      </c>
      <c r="BR735" s="2" t="s">
        <v>83</v>
      </c>
      <c r="BS735" s="3">
        <v>42654</v>
      </c>
      <c r="BT735" s="4">
        <v>0.30208333333333331</v>
      </c>
      <c r="BU735" s="2" t="s">
        <v>1143</v>
      </c>
      <c r="BV735" s="2" t="s">
        <v>85</v>
      </c>
      <c r="BW735" s="2"/>
      <c r="BX735" s="2"/>
      <c r="BY735" s="2">
        <v>1200</v>
      </c>
      <c r="BZ735" s="2"/>
      <c r="CA735" s="2" t="s">
        <v>107</v>
      </c>
      <c r="CB735" s="2"/>
      <c r="CC735" s="2" t="s">
        <v>99</v>
      </c>
      <c r="CD735" s="2">
        <v>6012</v>
      </c>
      <c r="CE735" s="2" t="s">
        <v>108</v>
      </c>
      <c r="CF735" s="5">
        <v>42654</v>
      </c>
      <c r="CG735" s="2"/>
      <c r="CH735" s="2"/>
      <c r="CI735" s="2">
        <v>1</v>
      </c>
      <c r="CJ735" s="2">
        <v>1</v>
      </c>
      <c r="CK735" s="2">
        <v>21</v>
      </c>
      <c r="CL735" s="2" t="s">
        <v>88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"FES1162505421"</f>
        <v>FES1162505421</v>
      </c>
      <c r="F736" s="3">
        <v>42653</v>
      </c>
      <c r="G736" s="2">
        <v>201704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143</v>
      </c>
      <c r="M736" s="2" t="s">
        <v>144</v>
      </c>
      <c r="N736" s="2" t="s">
        <v>1144</v>
      </c>
      <c r="O736" s="2" t="s">
        <v>96</v>
      </c>
      <c r="P736" s="2" t="str">
        <f>"2170526802                    "</f>
        <v xml:space="preserve">2170526802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3.32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40.76</v>
      </c>
      <c r="BM736" s="2">
        <v>5.71</v>
      </c>
      <c r="BN736" s="2">
        <v>46.47</v>
      </c>
      <c r="BO736" s="2">
        <v>46.47</v>
      </c>
      <c r="BP736" s="2"/>
      <c r="BQ736" s="2" t="s">
        <v>117</v>
      </c>
      <c r="BR736" s="2" t="s">
        <v>83</v>
      </c>
      <c r="BS736" s="3">
        <v>42654</v>
      </c>
      <c r="BT736" s="4">
        <v>0.51874999999999993</v>
      </c>
      <c r="BU736" s="2" t="s">
        <v>1145</v>
      </c>
      <c r="BV736" s="2"/>
      <c r="BW736" s="2" t="s">
        <v>277</v>
      </c>
      <c r="BX736" s="2" t="s">
        <v>278</v>
      </c>
      <c r="BY736" s="2">
        <v>1200</v>
      </c>
      <c r="BZ736" s="2"/>
      <c r="CA736" s="2" t="s">
        <v>1083</v>
      </c>
      <c r="CB736" s="2"/>
      <c r="CC736" s="2" t="s">
        <v>144</v>
      </c>
      <c r="CD736" s="2">
        <v>5201</v>
      </c>
      <c r="CE736" s="2" t="s">
        <v>108</v>
      </c>
      <c r="CF736" s="5">
        <v>42654</v>
      </c>
      <c r="CG736" s="2"/>
      <c r="CH736" s="2"/>
      <c r="CI736" s="2">
        <v>0</v>
      </c>
      <c r="CJ736" s="2">
        <v>0</v>
      </c>
      <c r="CK736" s="2">
        <v>21</v>
      </c>
      <c r="CL736" s="2" t="s">
        <v>88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"FES1162505435"</f>
        <v>FES1162505435</v>
      </c>
      <c r="F737" s="3">
        <v>42653</v>
      </c>
      <c r="G737" s="2">
        <v>201704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153</v>
      </c>
      <c r="M737" s="2" t="s">
        <v>153</v>
      </c>
      <c r="N737" s="2" t="s">
        <v>154</v>
      </c>
      <c r="O737" s="2" t="s">
        <v>96</v>
      </c>
      <c r="P737" s="2" t="str">
        <f>"2170527160                    "</f>
        <v xml:space="preserve">2170527160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3.32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1</v>
      </c>
      <c r="BJ737" s="2">
        <v>0.2</v>
      </c>
      <c r="BK737" s="2">
        <v>1</v>
      </c>
      <c r="BL737" s="2">
        <v>40.76</v>
      </c>
      <c r="BM737" s="2">
        <v>5.71</v>
      </c>
      <c r="BN737" s="2">
        <v>46.47</v>
      </c>
      <c r="BO737" s="2">
        <v>46.47</v>
      </c>
      <c r="BP737" s="2"/>
      <c r="BQ737" s="2" t="s">
        <v>117</v>
      </c>
      <c r="BR737" s="2" t="s">
        <v>83</v>
      </c>
      <c r="BS737" s="3">
        <v>42654</v>
      </c>
      <c r="BT737" s="4">
        <v>0.6166666666666667</v>
      </c>
      <c r="BU737" s="2" t="s">
        <v>1146</v>
      </c>
      <c r="BV737" s="2" t="s">
        <v>88</v>
      </c>
      <c r="BW737" s="2" t="s">
        <v>277</v>
      </c>
      <c r="BX737" s="2" t="s">
        <v>356</v>
      </c>
      <c r="BY737" s="2">
        <v>1200</v>
      </c>
      <c r="BZ737" s="2"/>
      <c r="CA737" s="2" t="s">
        <v>129</v>
      </c>
      <c r="CB737" s="2"/>
      <c r="CC737" s="2" t="s">
        <v>153</v>
      </c>
      <c r="CD737" s="2">
        <v>7646</v>
      </c>
      <c r="CE737" s="2" t="s">
        <v>108</v>
      </c>
      <c r="CF737" s="5">
        <v>42655</v>
      </c>
      <c r="CG737" s="2"/>
      <c r="CH737" s="2"/>
      <c r="CI737" s="2">
        <v>1</v>
      </c>
      <c r="CJ737" s="2">
        <v>1</v>
      </c>
      <c r="CK737" s="2">
        <v>21</v>
      </c>
      <c r="CL737" s="2" t="s">
        <v>88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"FES1162505428"</f>
        <v>FES1162505428</v>
      </c>
      <c r="F738" s="3">
        <v>42653</v>
      </c>
      <c r="G738" s="2">
        <v>201704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160</v>
      </c>
      <c r="M738" s="2" t="s">
        <v>161</v>
      </c>
      <c r="N738" s="2" t="s">
        <v>279</v>
      </c>
      <c r="O738" s="2" t="s">
        <v>96</v>
      </c>
      <c r="P738" s="2" t="str">
        <f>"2170527037                    "</f>
        <v xml:space="preserve">2170527037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3.32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1</v>
      </c>
      <c r="BJ738" s="2">
        <v>0.2</v>
      </c>
      <c r="BK738" s="2">
        <v>1</v>
      </c>
      <c r="BL738" s="2">
        <v>40.76</v>
      </c>
      <c r="BM738" s="2">
        <v>5.71</v>
      </c>
      <c r="BN738" s="2">
        <v>46.47</v>
      </c>
      <c r="BO738" s="2">
        <v>46.47</v>
      </c>
      <c r="BP738" s="2"/>
      <c r="BQ738" s="2" t="s">
        <v>280</v>
      </c>
      <c r="BR738" s="2" t="s">
        <v>83</v>
      </c>
      <c r="BS738" s="3">
        <v>42654</v>
      </c>
      <c r="BT738" s="4">
        <v>0.39583333333333331</v>
      </c>
      <c r="BU738" s="2" t="s">
        <v>1120</v>
      </c>
      <c r="BV738" s="2" t="s">
        <v>85</v>
      </c>
      <c r="BW738" s="2"/>
      <c r="BX738" s="2"/>
      <c r="BY738" s="2">
        <v>1200</v>
      </c>
      <c r="BZ738" s="2"/>
      <c r="CA738" s="2"/>
      <c r="CB738" s="2"/>
      <c r="CC738" s="2" t="s">
        <v>161</v>
      </c>
      <c r="CD738" s="2">
        <v>7441</v>
      </c>
      <c r="CE738" s="2" t="s">
        <v>108</v>
      </c>
      <c r="CF738" s="5">
        <v>42655</v>
      </c>
      <c r="CG738" s="2"/>
      <c r="CH738" s="2"/>
      <c r="CI738" s="2">
        <v>1</v>
      </c>
      <c r="CJ738" s="2">
        <v>1</v>
      </c>
      <c r="CK738" s="2">
        <v>21</v>
      </c>
      <c r="CL738" s="2" t="s">
        <v>88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"FES1162505425"</f>
        <v>FES1162505425</v>
      </c>
      <c r="F739" s="3">
        <v>42653</v>
      </c>
      <c r="G739" s="2">
        <v>201704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682</v>
      </c>
      <c r="M739" s="2" t="s">
        <v>682</v>
      </c>
      <c r="N739" s="2" t="s">
        <v>683</v>
      </c>
      <c r="O739" s="2" t="s">
        <v>96</v>
      </c>
      <c r="P739" s="2" t="str">
        <f>"2170527005                    "</f>
        <v xml:space="preserve">2170527005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3.32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</v>
      </c>
      <c r="BJ739" s="2">
        <v>0.2</v>
      </c>
      <c r="BK739" s="2">
        <v>1</v>
      </c>
      <c r="BL739" s="2">
        <v>40.76</v>
      </c>
      <c r="BM739" s="2">
        <v>5.71</v>
      </c>
      <c r="BN739" s="2">
        <v>46.47</v>
      </c>
      <c r="BO739" s="2">
        <v>46.47</v>
      </c>
      <c r="BP739" s="2"/>
      <c r="BQ739" s="2" t="s">
        <v>117</v>
      </c>
      <c r="BR739" s="2" t="s">
        <v>83</v>
      </c>
      <c r="BS739" s="3">
        <v>42655</v>
      </c>
      <c r="BT739" s="4">
        <v>0.39930555555555558</v>
      </c>
      <c r="BU739" s="2" t="s">
        <v>1147</v>
      </c>
      <c r="BV739" s="2" t="s">
        <v>85</v>
      </c>
      <c r="BW739" s="2"/>
      <c r="BX739" s="2"/>
      <c r="BY739" s="2">
        <v>1200</v>
      </c>
      <c r="BZ739" s="2"/>
      <c r="CA739" s="2" t="s">
        <v>1148</v>
      </c>
      <c r="CB739" s="2"/>
      <c r="CC739" s="2" t="s">
        <v>682</v>
      </c>
      <c r="CD739" s="2">
        <v>6835</v>
      </c>
      <c r="CE739" s="2" t="s">
        <v>108</v>
      </c>
      <c r="CF739" s="5">
        <v>42655</v>
      </c>
      <c r="CG739" s="2"/>
      <c r="CH739" s="2"/>
      <c r="CI739" s="2">
        <v>3</v>
      </c>
      <c r="CJ739" s="2">
        <v>2</v>
      </c>
      <c r="CK739" s="2">
        <v>21</v>
      </c>
      <c r="CL739" s="2" t="s">
        <v>88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"FES1162505456"</f>
        <v>FES1162505456</v>
      </c>
      <c r="F740" s="3">
        <v>42653</v>
      </c>
      <c r="G740" s="2">
        <v>201704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153</v>
      </c>
      <c r="M740" s="2" t="s">
        <v>153</v>
      </c>
      <c r="N740" s="2" t="s">
        <v>154</v>
      </c>
      <c r="O740" s="2" t="s">
        <v>96</v>
      </c>
      <c r="P740" s="2" t="str">
        <f>"2170527160                    "</f>
        <v xml:space="preserve">2170527160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3.32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0.6</v>
      </c>
      <c r="BJ740" s="2">
        <v>1.6</v>
      </c>
      <c r="BK740" s="2">
        <v>2</v>
      </c>
      <c r="BL740" s="2">
        <v>40.76</v>
      </c>
      <c r="BM740" s="2">
        <v>5.71</v>
      </c>
      <c r="BN740" s="2">
        <v>46.47</v>
      </c>
      <c r="BO740" s="2">
        <v>46.47</v>
      </c>
      <c r="BP740" s="2"/>
      <c r="BQ740" s="2" t="s">
        <v>117</v>
      </c>
      <c r="BR740" s="2" t="s">
        <v>83</v>
      </c>
      <c r="BS740" s="3">
        <v>42654</v>
      </c>
      <c r="BT740" s="4">
        <v>0.6166666666666667</v>
      </c>
      <c r="BU740" s="2" t="s">
        <v>1149</v>
      </c>
      <c r="BV740" s="2" t="s">
        <v>88</v>
      </c>
      <c r="BW740" s="2" t="s">
        <v>277</v>
      </c>
      <c r="BX740" s="2" t="s">
        <v>356</v>
      </c>
      <c r="BY740" s="2">
        <v>7837.83</v>
      </c>
      <c r="BZ740" s="2"/>
      <c r="CA740" s="2" t="s">
        <v>129</v>
      </c>
      <c r="CB740" s="2"/>
      <c r="CC740" s="2" t="s">
        <v>153</v>
      </c>
      <c r="CD740" s="2">
        <v>7646</v>
      </c>
      <c r="CE740" s="2" t="s">
        <v>108</v>
      </c>
      <c r="CF740" s="5">
        <v>42655</v>
      </c>
      <c r="CG740" s="2"/>
      <c r="CH740" s="2"/>
      <c r="CI740" s="2">
        <v>1</v>
      </c>
      <c r="CJ740" s="2">
        <v>1</v>
      </c>
      <c r="CK740" s="2">
        <v>21</v>
      </c>
      <c r="CL740" s="2" t="s">
        <v>88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"FES1162505406"</f>
        <v>FES1162505406</v>
      </c>
      <c r="F741" s="3">
        <v>42653</v>
      </c>
      <c r="G741" s="2">
        <v>201704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160</v>
      </c>
      <c r="M741" s="2" t="s">
        <v>161</v>
      </c>
      <c r="N741" s="2" t="s">
        <v>1150</v>
      </c>
      <c r="O741" s="2" t="s">
        <v>96</v>
      </c>
      <c r="P741" s="2" t="str">
        <f>"2170529087                    "</f>
        <v xml:space="preserve">2170529087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3.32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1</v>
      </c>
      <c r="BI741" s="2">
        <v>1</v>
      </c>
      <c r="BJ741" s="2">
        <v>0.2</v>
      </c>
      <c r="BK741" s="2">
        <v>1</v>
      </c>
      <c r="BL741" s="2">
        <v>40.76</v>
      </c>
      <c r="BM741" s="2">
        <v>5.71</v>
      </c>
      <c r="BN741" s="2">
        <v>46.47</v>
      </c>
      <c r="BO741" s="2">
        <v>46.47</v>
      </c>
      <c r="BP741" s="2"/>
      <c r="BQ741" s="2" t="s">
        <v>1151</v>
      </c>
      <c r="BR741" s="2" t="s">
        <v>83</v>
      </c>
      <c r="BS741" s="3">
        <v>42654</v>
      </c>
      <c r="BT741" s="4">
        <v>0.39861111111111108</v>
      </c>
      <c r="BU741" s="2" t="s">
        <v>1152</v>
      </c>
      <c r="BV741" s="2" t="s">
        <v>85</v>
      </c>
      <c r="BW741" s="2"/>
      <c r="BX741" s="2"/>
      <c r="BY741" s="2">
        <v>1200</v>
      </c>
      <c r="BZ741" s="2"/>
      <c r="CA741" s="2" t="s">
        <v>129</v>
      </c>
      <c r="CB741" s="2"/>
      <c r="CC741" s="2" t="s">
        <v>161</v>
      </c>
      <c r="CD741" s="2">
        <v>7500</v>
      </c>
      <c r="CE741" s="2" t="s">
        <v>108</v>
      </c>
      <c r="CF741" s="5">
        <v>42654</v>
      </c>
      <c r="CG741" s="2"/>
      <c r="CH741" s="2"/>
      <c r="CI741" s="2">
        <v>1</v>
      </c>
      <c r="CJ741" s="2">
        <v>1</v>
      </c>
      <c r="CK741" s="2">
        <v>21</v>
      </c>
      <c r="CL741" s="2" t="s">
        <v>88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"FES1162505409"</f>
        <v>FES1162505409</v>
      </c>
      <c r="F742" s="3">
        <v>42653</v>
      </c>
      <c r="G742" s="2">
        <v>201704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160</v>
      </c>
      <c r="M742" s="2" t="s">
        <v>161</v>
      </c>
      <c r="N742" s="2" t="s">
        <v>878</v>
      </c>
      <c r="O742" s="2" t="s">
        <v>96</v>
      </c>
      <c r="P742" s="2" t="str">
        <f>"2170529093                    "</f>
        <v xml:space="preserve">2170529093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3.32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1</v>
      </c>
      <c r="BJ742" s="2">
        <v>0.2</v>
      </c>
      <c r="BK742" s="2">
        <v>1</v>
      </c>
      <c r="BL742" s="2">
        <v>40.76</v>
      </c>
      <c r="BM742" s="2">
        <v>5.71</v>
      </c>
      <c r="BN742" s="2">
        <v>46.47</v>
      </c>
      <c r="BO742" s="2">
        <v>46.47</v>
      </c>
      <c r="BP742" s="2"/>
      <c r="BQ742" s="2" t="s">
        <v>91</v>
      </c>
      <c r="BR742" s="2" t="s">
        <v>83</v>
      </c>
      <c r="BS742" s="3">
        <v>42654</v>
      </c>
      <c r="BT742" s="4">
        <v>0.5625</v>
      </c>
      <c r="BU742" s="2" t="s">
        <v>1153</v>
      </c>
      <c r="BV742" s="2" t="s">
        <v>88</v>
      </c>
      <c r="BW742" s="2" t="s">
        <v>277</v>
      </c>
      <c r="BX742" s="2" t="s">
        <v>356</v>
      </c>
      <c r="BY742" s="2">
        <v>1200</v>
      </c>
      <c r="BZ742" s="2"/>
      <c r="CA742" s="2"/>
      <c r="CB742" s="2"/>
      <c r="CC742" s="2" t="s">
        <v>161</v>
      </c>
      <c r="CD742" s="2">
        <v>7800</v>
      </c>
      <c r="CE742" s="2" t="s">
        <v>108</v>
      </c>
      <c r="CF742" s="5">
        <v>42655</v>
      </c>
      <c r="CG742" s="2"/>
      <c r="CH742" s="2"/>
      <c r="CI742" s="2">
        <v>1</v>
      </c>
      <c r="CJ742" s="2">
        <v>1</v>
      </c>
      <c r="CK742" s="2">
        <v>21</v>
      </c>
      <c r="CL742" s="2" t="s">
        <v>88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"FES1162505464"</f>
        <v>FES1162505464</v>
      </c>
      <c r="F743" s="3">
        <v>42653</v>
      </c>
      <c r="G743" s="2">
        <v>201704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98</v>
      </c>
      <c r="M743" s="2" t="s">
        <v>99</v>
      </c>
      <c r="N743" s="2" t="s">
        <v>133</v>
      </c>
      <c r="O743" s="2" t="s">
        <v>96</v>
      </c>
      <c r="P743" s="2" t="str">
        <f>"2170529116                    "</f>
        <v xml:space="preserve">2170529116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24.05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1</v>
      </c>
      <c r="BI743" s="2">
        <v>14.1</v>
      </c>
      <c r="BJ743" s="2">
        <v>4.3</v>
      </c>
      <c r="BK743" s="2">
        <v>14.5</v>
      </c>
      <c r="BL743" s="2">
        <v>295.49</v>
      </c>
      <c r="BM743" s="2">
        <v>41.37</v>
      </c>
      <c r="BN743" s="2">
        <v>336.86</v>
      </c>
      <c r="BO743" s="2">
        <v>336.86</v>
      </c>
      <c r="BP743" s="2"/>
      <c r="BQ743" s="2" t="s">
        <v>134</v>
      </c>
      <c r="BR743" s="2" t="s">
        <v>83</v>
      </c>
      <c r="BS743" s="3">
        <v>42653</v>
      </c>
      <c r="BT743" s="4">
        <v>0.3611111111111111</v>
      </c>
      <c r="BU743" s="2" t="s">
        <v>367</v>
      </c>
      <c r="BV743" s="2" t="s">
        <v>85</v>
      </c>
      <c r="BW743" s="2"/>
      <c r="BX743" s="2"/>
      <c r="BY743" s="2">
        <v>21648</v>
      </c>
      <c r="BZ743" s="2"/>
      <c r="CA743" s="2"/>
      <c r="CB743" s="2"/>
      <c r="CC743" s="2" t="s">
        <v>99</v>
      </c>
      <c r="CD743" s="2">
        <v>6001</v>
      </c>
      <c r="CE743" s="2" t="s">
        <v>368</v>
      </c>
      <c r="CF743" s="5">
        <v>42655</v>
      </c>
      <c r="CG743" s="2"/>
      <c r="CH743" s="2"/>
      <c r="CI743" s="2">
        <v>1</v>
      </c>
      <c r="CJ743" s="2">
        <v>0</v>
      </c>
      <c r="CK743" s="2">
        <v>21</v>
      </c>
      <c r="CL743" s="2" t="s">
        <v>88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"FES1162505465"</f>
        <v>FES1162505465</v>
      </c>
      <c r="F744" s="3">
        <v>42653</v>
      </c>
      <c r="G744" s="2">
        <v>201704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98</v>
      </c>
      <c r="M744" s="2" t="s">
        <v>99</v>
      </c>
      <c r="N744" s="2" t="s">
        <v>1154</v>
      </c>
      <c r="O744" s="2" t="s">
        <v>96</v>
      </c>
      <c r="P744" s="2" t="str">
        <f>"2170529118                    "</f>
        <v xml:space="preserve">2170529118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12.44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1</v>
      </c>
      <c r="BI744" s="2">
        <v>5.9</v>
      </c>
      <c r="BJ744" s="2">
        <v>7.4</v>
      </c>
      <c r="BK744" s="2">
        <v>7.5</v>
      </c>
      <c r="BL744" s="2">
        <v>152.84</v>
      </c>
      <c r="BM744" s="2">
        <v>21.4</v>
      </c>
      <c r="BN744" s="2">
        <v>174.24</v>
      </c>
      <c r="BO744" s="2">
        <v>174.24</v>
      </c>
      <c r="BP744" s="2"/>
      <c r="BQ744" s="2" t="s">
        <v>1155</v>
      </c>
      <c r="BR744" s="2" t="s">
        <v>83</v>
      </c>
      <c r="BS744" s="3">
        <v>42654</v>
      </c>
      <c r="BT744" s="4">
        <v>0.3611111111111111</v>
      </c>
      <c r="BU744" s="2" t="s">
        <v>1156</v>
      </c>
      <c r="BV744" s="2" t="s">
        <v>85</v>
      </c>
      <c r="BW744" s="2"/>
      <c r="BX744" s="2"/>
      <c r="BY744" s="2">
        <v>37170.36</v>
      </c>
      <c r="BZ744" s="2"/>
      <c r="CA744" s="2" t="s">
        <v>107</v>
      </c>
      <c r="CB744" s="2"/>
      <c r="CC744" s="2" t="s">
        <v>99</v>
      </c>
      <c r="CD744" s="2">
        <v>6001</v>
      </c>
      <c r="CE744" s="2" t="s">
        <v>368</v>
      </c>
      <c r="CF744" s="5">
        <v>42654</v>
      </c>
      <c r="CG744" s="2"/>
      <c r="CH744" s="2"/>
      <c r="CI744" s="2">
        <v>1</v>
      </c>
      <c r="CJ744" s="2">
        <v>1</v>
      </c>
      <c r="CK744" s="2">
        <v>21</v>
      </c>
      <c r="CL744" s="2" t="s">
        <v>88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"FES1162505434"</f>
        <v>FES1162505434</v>
      </c>
      <c r="F745" s="3">
        <v>42653</v>
      </c>
      <c r="G745" s="2">
        <v>201704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98</v>
      </c>
      <c r="M745" s="2" t="s">
        <v>99</v>
      </c>
      <c r="N745" s="2" t="s">
        <v>551</v>
      </c>
      <c r="O745" s="2" t="s">
        <v>96</v>
      </c>
      <c r="P745" s="2" t="str">
        <f>"2170527158                    "</f>
        <v xml:space="preserve">2170527158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4.9800000000000004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2.8</v>
      </c>
      <c r="BJ745" s="2">
        <v>1.4</v>
      </c>
      <c r="BK745" s="2">
        <v>3</v>
      </c>
      <c r="BL745" s="2">
        <v>61.14</v>
      </c>
      <c r="BM745" s="2">
        <v>8.56</v>
      </c>
      <c r="BN745" s="2">
        <v>69.7</v>
      </c>
      <c r="BO745" s="2">
        <v>69.7</v>
      </c>
      <c r="BP745" s="2"/>
      <c r="BQ745" s="2" t="s">
        <v>552</v>
      </c>
      <c r="BR745" s="2" t="s">
        <v>83</v>
      </c>
      <c r="BS745" s="3">
        <v>42654</v>
      </c>
      <c r="BT745" s="4">
        <v>0.36805555555555558</v>
      </c>
      <c r="BU745" s="2" t="s">
        <v>553</v>
      </c>
      <c r="BV745" s="2" t="s">
        <v>85</v>
      </c>
      <c r="BW745" s="2"/>
      <c r="BX745" s="2"/>
      <c r="BY745" s="2">
        <v>6826.09</v>
      </c>
      <c r="BZ745" s="2"/>
      <c r="CA745" s="2"/>
      <c r="CB745" s="2"/>
      <c r="CC745" s="2" t="s">
        <v>99</v>
      </c>
      <c r="CD745" s="2">
        <v>6001</v>
      </c>
      <c r="CE745" s="2" t="s">
        <v>368</v>
      </c>
      <c r="CF745" s="5">
        <v>42655</v>
      </c>
      <c r="CG745" s="2"/>
      <c r="CH745" s="2"/>
      <c r="CI745" s="2">
        <v>1</v>
      </c>
      <c r="CJ745" s="2">
        <v>1</v>
      </c>
      <c r="CK745" s="2">
        <v>21</v>
      </c>
      <c r="CL745" s="2" t="s">
        <v>88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"FES1162505388"</f>
        <v>FES1162505388</v>
      </c>
      <c r="F746" s="3">
        <v>42653</v>
      </c>
      <c r="G746" s="2">
        <v>201704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153</v>
      </c>
      <c r="M746" s="2" t="s">
        <v>153</v>
      </c>
      <c r="N746" s="2" t="s">
        <v>343</v>
      </c>
      <c r="O746" s="2" t="s">
        <v>96</v>
      </c>
      <c r="P746" s="2" t="str">
        <f>"2170528972                    "</f>
        <v xml:space="preserve">2170528972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3.32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1</v>
      </c>
      <c r="BI746" s="2">
        <v>2</v>
      </c>
      <c r="BJ746" s="2">
        <v>1.2</v>
      </c>
      <c r="BK746" s="2">
        <v>2</v>
      </c>
      <c r="BL746" s="2">
        <v>40.76</v>
      </c>
      <c r="BM746" s="2">
        <v>5.71</v>
      </c>
      <c r="BN746" s="2">
        <v>46.47</v>
      </c>
      <c r="BO746" s="2">
        <v>46.47</v>
      </c>
      <c r="BP746" s="2"/>
      <c r="BQ746" s="2" t="s">
        <v>344</v>
      </c>
      <c r="BR746" s="2" t="s">
        <v>83</v>
      </c>
      <c r="BS746" s="3">
        <v>42654</v>
      </c>
      <c r="BT746" s="4">
        <v>0.6</v>
      </c>
      <c r="BU746" s="2" t="s">
        <v>1095</v>
      </c>
      <c r="BV746" s="2" t="s">
        <v>88</v>
      </c>
      <c r="BW746" s="2" t="s">
        <v>277</v>
      </c>
      <c r="BX746" s="2" t="s">
        <v>356</v>
      </c>
      <c r="BY746" s="2">
        <v>5929.71</v>
      </c>
      <c r="BZ746" s="2"/>
      <c r="CA746" s="2"/>
      <c r="CB746" s="2"/>
      <c r="CC746" s="2" t="s">
        <v>153</v>
      </c>
      <c r="CD746" s="2">
        <v>7646</v>
      </c>
      <c r="CE746" s="2" t="s">
        <v>368</v>
      </c>
      <c r="CF746" s="5">
        <v>42655</v>
      </c>
      <c r="CG746" s="2"/>
      <c r="CH746" s="2"/>
      <c r="CI746" s="2">
        <v>1</v>
      </c>
      <c r="CJ746" s="2">
        <v>1</v>
      </c>
      <c r="CK746" s="2">
        <v>21</v>
      </c>
      <c r="CL746" s="2" t="s">
        <v>88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"FES1162505469"</f>
        <v>FES1162505469</v>
      </c>
      <c r="F747" s="3">
        <v>42653</v>
      </c>
      <c r="G747" s="2">
        <v>201704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160</v>
      </c>
      <c r="M747" s="2" t="s">
        <v>161</v>
      </c>
      <c r="N747" s="2" t="s">
        <v>251</v>
      </c>
      <c r="O747" s="2" t="s">
        <v>96</v>
      </c>
      <c r="P747" s="2" t="str">
        <f>"2170529112                    "</f>
        <v xml:space="preserve">2170529112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5.81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2</v>
      </c>
      <c r="BJ747" s="2">
        <v>3.3</v>
      </c>
      <c r="BK747" s="2">
        <v>3.5</v>
      </c>
      <c r="BL747" s="2">
        <v>71.33</v>
      </c>
      <c r="BM747" s="2">
        <v>9.99</v>
      </c>
      <c r="BN747" s="2">
        <v>81.319999999999993</v>
      </c>
      <c r="BO747" s="2">
        <v>81.319999999999993</v>
      </c>
      <c r="BP747" s="2"/>
      <c r="BQ747" s="2" t="s">
        <v>91</v>
      </c>
      <c r="BR747" s="2" t="s">
        <v>83</v>
      </c>
      <c r="BS747" s="3">
        <v>42654</v>
      </c>
      <c r="BT747" s="4">
        <v>0.42777777777777781</v>
      </c>
      <c r="BU747" s="2" t="s">
        <v>1157</v>
      </c>
      <c r="BV747" s="2" t="s">
        <v>85</v>
      </c>
      <c r="BW747" s="2"/>
      <c r="BX747" s="2"/>
      <c r="BY747" s="2">
        <v>16269</v>
      </c>
      <c r="BZ747" s="2"/>
      <c r="CA747" s="2" t="s">
        <v>625</v>
      </c>
      <c r="CB747" s="2"/>
      <c r="CC747" s="2" t="s">
        <v>161</v>
      </c>
      <c r="CD747" s="2">
        <v>7500</v>
      </c>
      <c r="CE747" s="2" t="s">
        <v>368</v>
      </c>
      <c r="CF747" s="5">
        <v>42654</v>
      </c>
      <c r="CG747" s="2"/>
      <c r="CH747" s="2"/>
      <c r="CI747" s="2">
        <v>1</v>
      </c>
      <c r="CJ747" s="2">
        <v>1</v>
      </c>
      <c r="CK747" s="2">
        <v>21</v>
      </c>
      <c r="CL747" s="2" t="s">
        <v>88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"FES1162505416"</f>
        <v>FES1162505416</v>
      </c>
      <c r="F748" s="3">
        <v>42653</v>
      </c>
      <c r="G748" s="2">
        <v>201704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137</v>
      </c>
      <c r="M748" s="2" t="s">
        <v>138</v>
      </c>
      <c r="N748" s="2" t="s">
        <v>291</v>
      </c>
      <c r="O748" s="2" t="s">
        <v>96</v>
      </c>
      <c r="P748" s="2" t="str">
        <f>"2170523000                    "</f>
        <v xml:space="preserve">2170523000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7.46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4.2</v>
      </c>
      <c r="BJ748" s="2">
        <v>1.7</v>
      </c>
      <c r="BK748" s="2">
        <v>4.5</v>
      </c>
      <c r="BL748" s="2">
        <v>91.7</v>
      </c>
      <c r="BM748" s="2">
        <v>12.84</v>
      </c>
      <c r="BN748" s="2">
        <v>104.54</v>
      </c>
      <c r="BO748" s="2">
        <v>104.54</v>
      </c>
      <c r="BP748" s="2"/>
      <c r="BQ748" s="2" t="s">
        <v>117</v>
      </c>
      <c r="BR748" s="2" t="s">
        <v>83</v>
      </c>
      <c r="BS748" s="3">
        <v>42654</v>
      </c>
      <c r="BT748" s="4">
        <v>0.38472222222222219</v>
      </c>
      <c r="BU748" s="2" t="s">
        <v>781</v>
      </c>
      <c r="BV748" s="2"/>
      <c r="BW748" s="2"/>
      <c r="BX748" s="2"/>
      <c r="BY748" s="2">
        <v>8746.27</v>
      </c>
      <c r="BZ748" s="2"/>
      <c r="CA748" s="2" t="s">
        <v>613</v>
      </c>
      <c r="CB748" s="2"/>
      <c r="CC748" s="2" t="s">
        <v>138</v>
      </c>
      <c r="CD748" s="2">
        <v>3201</v>
      </c>
      <c r="CE748" s="2" t="s">
        <v>368</v>
      </c>
      <c r="CF748" s="5">
        <v>42654</v>
      </c>
      <c r="CG748" s="2"/>
      <c r="CH748" s="2"/>
      <c r="CI748" s="2">
        <v>0</v>
      </c>
      <c r="CJ748" s="2">
        <v>0</v>
      </c>
      <c r="CK748" s="2">
        <v>21</v>
      </c>
      <c r="CL748" s="2" t="s">
        <v>88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"FES1162505460"</f>
        <v>FES1162505460</v>
      </c>
      <c r="F749" s="3">
        <v>42653</v>
      </c>
      <c r="G749" s="2">
        <v>201704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148</v>
      </c>
      <c r="M749" s="2" t="s">
        <v>149</v>
      </c>
      <c r="N749" s="2" t="s">
        <v>432</v>
      </c>
      <c r="O749" s="2" t="s">
        <v>96</v>
      </c>
      <c r="P749" s="2" t="str">
        <f>"2170527934                    "</f>
        <v xml:space="preserve">2170527934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3.32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1</v>
      </c>
      <c r="BJ749" s="2">
        <v>0.2</v>
      </c>
      <c r="BK749" s="2">
        <v>1</v>
      </c>
      <c r="BL749" s="2">
        <v>40.76</v>
      </c>
      <c r="BM749" s="2">
        <v>5.71</v>
      </c>
      <c r="BN749" s="2">
        <v>46.47</v>
      </c>
      <c r="BO749" s="2">
        <v>46.47</v>
      </c>
      <c r="BP749" s="2"/>
      <c r="BQ749" s="2">
        <v>1162505460</v>
      </c>
      <c r="BR749" s="2" t="s">
        <v>83</v>
      </c>
      <c r="BS749" s="3">
        <v>42654</v>
      </c>
      <c r="BT749" s="4">
        <v>0.4375</v>
      </c>
      <c r="BU749" s="2" t="s">
        <v>1130</v>
      </c>
      <c r="BV749" s="2" t="s">
        <v>85</v>
      </c>
      <c r="BW749" s="2"/>
      <c r="BX749" s="2"/>
      <c r="BY749" s="2">
        <v>1200</v>
      </c>
      <c r="BZ749" s="2"/>
      <c r="CA749" s="2" t="s">
        <v>129</v>
      </c>
      <c r="CB749" s="2"/>
      <c r="CC749" s="2" t="s">
        <v>149</v>
      </c>
      <c r="CD749" s="2">
        <v>4052</v>
      </c>
      <c r="CE749" s="2" t="s">
        <v>108</v>
      </c>
      <c r="CF749" s="5">
        <v>42655</v>
      </c>
      <c r="CG749" s="2"/>
      <c r="CH749" s="2"/>
      <c r="CI749" s="2">
        <v>1</v>
      </c>
      <c r="CJ749" s="2">
        <v>1</v>
      </c>
      <c r="CK749" s="2">
        <v>21</v>
      </c>
      <c r="CL749" s="2" t="s">
        <v>88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"FES1162505393"</f>
        <v>FES1162505393</v>
      </c>
      <c r="F750" s="3">
        <v>42653</v>
      </c>
      <c r="G750" s="2">
        <v>201704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269</v>
      </c>
      <c r="M750" s="2" t="s">
        <v>270</v>
      </c>
      <c r="N750" s="2" t="s">
        <v>946</v>
      </c>
      <c r="O750" s="2" t="s">
        <v>96</v>
      </c>
      <c r="P750" s="2" t="str">
        <f>"2170529073                    "</f>
        <v xml:space="preserve">2170529073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3.32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</v>
      </c>
      <c r="BJ750" s="2">
        <v>0.2</v>
      </c>
      <c r="BK750" s="2">
        <v>1</v>
      </c>
      <c r="BL750" s="2">
        <v>40.76</v>
      </c>
      <c r="BM750" s="2">
        <v>5.71</v>
      </c>
      <c r="BN750" s="2">
        <v>46.47</v>
      </c>
      <c r="BO750" s="2">
        <v>46.47</v>
      </c>
      <c r="BP750" s="2"/>
      <c r="BQ750" s="2" t="s">
        <v>91</v>
      </c>
      <c r="BR750" s="2" t="s">
        <v>83</v>
      </c>
      <c r="BS750" s="3">
        <v>42654</v>
      </c>
      <c r="BT750" s="4">
        <v>0.40972222222222227</v>
      </c>
      <c r="BU750" s="2" t="s">
        <v>947</v>
      </c>
      <c r="BV750" s="2" t="s">
        <v>85</v>
      </c>
      <c r="BW750" s="2"/>
      <c r="BX750" s="2"/>
      <c r="BY750" s="2">
        <v>1200</v>
      </c>
      <c r="BZ750" s="2"/>
      <c r="CA750" s="2"/>
      <c r="CB750" s="2"/>
      <c r="CC750" s="2" t="s">
        <v>270</v>
      </c>
      <c r="CD750" s="2">
        <v>3610</v>
      </c>
      <c r="CE750" s="2" t="s">
        <v>108</v>
      </c>
      <c r="CF750" s="5">
        <v>42655</v>
      </c>
      <c r="CG750" s="2"/>
      <c r="CH750" s="2"/>
      <c r="CI750" s="2">
        <v>1</v>
      </c>
      <c r="CJ750" s="2">
        <v>1</v>
      </c>
      <c r="CK750" s="2">
        <v>21</v>
      </c>
      <c r="CL750" s="2" t="s">
        <v>88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"FES1162505453"</f>
        <v>FES1162505453</v>
      </c>
      <c r="F751" s="3">
        <v>42653</v>
      </c>
      <c r="G751" s="2">
        <v>201704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148</v>
      </c>
      <c r="M751" s="2" t="s">
        <v>149</v>
      </c>
      <c r="N751" s="2" t="s">
        <v>762</v>
      </c>
      <c r="O751" s="2" t="s">
        <v>96</v>
      </c>
      <c r="P751" s="2" t="str">
        <f>"2170528517                    "</f>
        <v xml:space="preserve">2170528517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3.32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1</v>
      </c>
      <c r="BJ751" s="2">
        <v>0.2</v>
      </c>
      <c r="BK751" s="2">
        <v>1</v>
      </c>
      <c r="BL751" s="2">
        <v>40.76</v>
      </c>
      <c r="BM751" s="2">
        <v>5.71</v>
      </c>
      <c r="BN751" s="2">
        <v>46.47</v>
      </c>
      <c r="BO751" s="2">
        <v>46.47</v>
      </c>
      <c r="BP751" s="2"/>
      <c r="BQ751" s="2" t="s">
        <v>91</v>
      </c>
      <c r="BR751" s="2" t="s">
        <v>83</v>
      </c>
      <c r="BS751" s="3">
        <v>42654</v>
      </c>
      <c r="BT751" s="4">
        <v>0.4375</v>
      </c>
      <c r="BU751" s="2" t="s">
        <v>1158</v>
      </c>
      <c r="BV751" s="2" t="s">
        <v>85</v>
      </c>
      <c r="BW751" s="2"/>
      <c r="BX751" s="2"/>
      <c r="BY751" s="2">
        <v>1200</v>
      </c>
      <c r="BZ751" s="2"/>
      <c r="CA751" s="2"/>
      <c r="CB751" s="2"/>
      <c r="CC751" s="2" t="s">
        <v>149</v>
      </c>
      <c r="CD751" s="2">
        <v>4068</v>
      </c>
      <c r="CE751" s="2" t="s">
        <v>108</v>
      </c>
      <c r="CF751" s="5">
        <v>42655</v>
      </c>
      <c r="CG751" s="2"/>
      <c r="CH751" s="2"/>
      <c r="CI751" s="2">
        <v>1</v>
      </c>
      <c r="CJ751" s="2">
        <v>1</v>
      </c>
      <c r="CK751" s="2">
        <v>21</v>
      </c>
      <c r="CL751" s="2" t="s">
        <v>88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"FES1162505427"</f>
        <v>FES1162505427</v>
      </c>
      <c r="F752" s="3">
        <v>42653</v>
      </c>
      <c r="G752" s="2">
        <v>201704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148</v>
      </c>
      <c r="M752" s="2" t="s">
        <v>149</v>
      </c>
      <c r="N752" s="2" t="s">
        <v>242</v>
      </c>
      <c r="O752" s="2" t="s">
        <v>96</v>
      </c>
      <c r="P752" s="2" t="str">
        <f>"2170527036                    "</f>
        <v xml:space="preserve">2170527036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3.32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40.76</v>
      </c>
      <c r="BM752" s="2">
        <v>5.71</v>
      </c>
      <c r="BN752" s="2">
        <v>46.47</v>
      </c>
      <c r="BO752" s="2">
        <v>46.47</v>
      </c>
      <c r="BP752" s="2"/>
      <c r="BQ752" s="2" t="s">
        <v>91</v>
      </c>
      <c r="BR752" s="2" t="s">
        <v>83</v>
      </c>
      <c r="BS752" s="3">
        <v>42654</v>
      </c>
      <c r="BT752" s="4">
        <v>0.4375</v>
      </c>
      <c r="BU752" s="2" t="s">
        <v>1159</v>
      </c>
      <c r="BV752" s="2"/>
      <c r="BW752" s="2"/>
      <c r="BX752" s="2"/>
      <c r="BY752" s="2">
        <v>1200</v>
      </c>
      <c r="BZ752" s="2"/>
      <c r="CA752" s="2"/>
      <c r="CB752" s="2"/>
      <c r="CC752" s="2" t="s">
        <v>149</v>
      </c>
      <c r="CD752" s="2">
        <v>4001</v>
      </c>
      <c r="CE752" s="2" t="s">
        <v>108</v>
      </c>
      <c r="CF752" s="5">
        <v>42655</v>
      </c>
      <c r="CG752" s="2"/>
      <c r="CH752" s="2"/>
      <c r="CI752" s="2">
        <v>0</v>
      </c>
      <c r="CJ752" s="2">
        <v>0</v>
      </c>
      <c r="CK752" s="2">
        <v>21</v>
      </c>
      <c r="CL752" s="2" t="s">
        <v>88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"FES1162505440"</f>
        <v>FES1162505440</v>
      </c>
      <c r="F753" s="3">
        <v>42653</v>
      </c>
      <c r="G753" s="2">
        <v>201704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491</v>
      </c>
      <c r="M753" s="2" t="s">
        <v>492</v>
      </c>
      <c r="N753" s="2" t="s">
        <v>1160</v>
      </c>
      <c r="O753" s="2" t="s">
        <v>96</v>
      </c>
      <c r="P753" s="2" t="str">
        <f>"2170528485                    "</f>
        <v xml:space="preserve">2170528485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3.32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0.5</v>
      </c>
      <c r="BJ753" s="2">
        <v>0.2</v>
      </c>
      <c r="BK753" s="2">
        <v>0.5</v>
      </c>
      <c r="BL753" s="2">
        <v>40.76</v>
      </c>
      <c r="BM753" s="2">
        <v>5.71</v>
      </c>
      <c r="BN753" s="2">
        <v>46.47</v>
      </c>
      <c r="BO753" s="2">
        <v>46.47</v>
      </c>
      <c r="BP753" s="2"/>
      <c r="BQ753" s="2"/>
      <c r="BR753" s="2" t="s">
        <v>83</v>
      </c>
      <c r="BS753" s="3">
        <v>42654</v>
      </c>
      <c r="BT753" s="4">
        <v>0.4375</v>
      </c>
      <c r="BU753" s="2" t="s">
        <v>326</v>
      </c>
      <c r="BV753" s="2" t="s">
        <v>85</v>
      </c>
      <c r="BW753" s="2"/>
      <c r="BX753" s="2"/>
      <c r="BY753" s="2">
        <v>1200</v>
      </c>
      <c r="BZ753" s="2"/>
      <c r="CA753" s="2"/>
      <c r="CB753" s="2"/>
      <c r="CC753" s="2" t="s">
        <v>492</v>
      </c>
      <c r="CD753" s="2">
        <v>3700</v>
      </c>
      <c r="CE753" s="2" t="s">
        <v>108</v>
      </c>
      <c r="CF753" s="5">
        <v>42655</v>
      </c>
      <c r="CG753" s="2"/>
      <c r="CH753" s="2"/>
      <c r="CI753" s="2">
        <v>1</v>
      </c>
      <c r="CJ753" s="2">
        <v>1</v>
      </c>
      <c r="CK753" s="2">
        <v>21</v>
      </c>
      <c r="CL753" s="2" t="s">
        <v>88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"FES1162505233"</f>
        <v>FES1162505233</v>
      </c>
      <c r="F754" s="3">
        <v>42653</v>
      </c>
      <c r="G754" s="2">
        <v>201704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510</v>
      </c>
      <c r="M754" s="2" t="s">
        <v>511</v>
      </c>
      <c r="N754" s="2" t="s">
        <v>1161</v>
      </c>
      <c r="O754" s="2" t="s">
        <v>96</v>
      </c>
      <c r="P754" s="2" t="str">
        <f>"2170525999                    "</f>
        <v xml:space="preserve">2170525999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3.32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1</v>
      </c>
      <c r="BJ754" s="2">
        <v>0.2</v>
      </c>
      <c r="BK754" s="2">
        <v>1</v>
      </c>
      <c r="BL754" s="2">
        <v>40.76</v>
      </c>
      <c r="BM754" s="2">
        <v>5.71</v>
      </c>
      <c r="BN754" s="2">
        <v>46.47</v>
      </c>
      <c r="BO754" s="2">
        <v>46.47</v>
      </c>
      <c r="BP754" s="2"/>
      <c r="BQ754" s="2" t="s">
        <v>1162</v>
      </c>
      <c r="BR754" s="2" t="s">
        <v>83</v>
      </c>
      <c r="BS754" s="3">
        <v>42655</v>
      </c>
      <c r="BT754" s="4">
        <v>0.39583333333333331</v>
      </c>
      <c r="BU754" s="2" t="s">
        <v>1163</v>
      </c>
      <c r="BV754" s="2" t="s">
        <v>85</v>
      </c>
      <c r="BW754" s="2"/>
      <c r="BX754" s="2"/>
      <c r="BY754" s="2">
        <v>1200</v>
      </c>
      <c r="BZ754" s="2"/>
      <c r="CA754" s="2"/>
      <c r="CB754" s="2"/>
      <c r="CC754" s="2" t="s">
        <v>511</v>
      </c>
      <c r="CD754" s="2">
        <v>3244</v>
      </c>
      <c r="CE754" s="2" t="s">
        <v>108</v>
      </c>
      <c r="CF754" s="5">
        <v>42660</v>
      </c>
      <c r="CG754" s="2"/>
      <c r="CH754" s="2"/>
      <c r="CI754" s="2">
        <v>1</v>
      </c>
      <c r="CJ754" s="2">
        <v>2</v>
      </c>
      <c r="CK754" s="2">
        <v>21</v>
      </c>
      <c r="CL754" s="2" t="s">
        <v>88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"FES1162505514"</f>
        <v>FES1162505514</v>
      </c>
      <c r="F755" s="3">
        <v>42653</v>
      </c>
      <c r="G755" s="2">
        <v>201704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153</v>
      </c>
      <c r="M755" s="2" t="s">
        <v>153</v>
      </c>
      <c r="N755" s="2" t="s">
        <v>200</v>
      </c>
      <c r="O755" s="2" t="s">
        <v>96</v>
      </c>
      <c r="P755" s="2" t="str">
        <f>"2170529168                    "</f>
        <v xml:space="preserve">2170529168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3.32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</v>
      </c>
      <c r="BJ755" s="2">
        <v>1</v>
      </c>
      <c r="BK755" s="2">
        <v>1</v>
      </c>
      <c r="BL755" s="2">
        <v>40.76</v>
      </c>
      <c r="BM755" s="2">
        <v>5.71</v>
      </c>
      <c r="BN755" s="2">
        <v>46.47</v>
      </c>
      <c r="BO755" s="2">
        <v>46.47</v>
      </c>
      <c r="BP755" s="2"/>
      <c r="BQ755" s="2" t="s">
        <v>201</v>
      </c>
      <c r="BR755" s="2" t="s">
        <v>83</v>
      </c>
      <c r="BS755" s="3">
        <v>42654</v>
      </c>
      <c r="BT755" s="4">
        <v>0.625</v>
      </c>
      <c r="BU755" s="2" t="s">
        <v>1164</v>
      </c>
      <c r="BV755" s="2" t="s">
        <v>88</v>
      </c>
      <c r="BW755" s="2" t="s">
        <v>277</v>
      </c>
      <c r="BX755" s="2" t="s">
        <v>356</v>
      </c>
      <c r="BY755" s="2">
        <v>5070.72</v>
      </c>
      <c r="BZ755" s="2"/>
      <c r="CA755" s="2" t="s">
        <v>129</v>
      </c>
      <c r="CB755" s="2"/>
      <c r="CC755" s="2" t="s">
        <v>153</v>
      </c>
      <c r="CD755" s="2">
        <v>7646</v>
      </c>
      <c r="CE755" s="2" t="s">
        <v>86</v>
      </c>
      <c r="CF755" s="5">
        <v>42655</v>
      </c>
      <c r="CG755" s="2"/>
      <c r="CH755" s="2"/>
      <c r="CI755" s="2">
        <v>1</v>
      </c>
      <c r="CJ755" s="2">
        <v>1</v>
      </c>
      <c r="CK755" s="2">
        <v>21</v>
      </c>
      <c r="CL755" s="2" t="s">
        <v>88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"FES1162505429"</f>
        <v>FES1162505429</v>
      </c>
      <c r="F756" s="3">
        <v>42653</v>
      </c>
      <c r="G756" s="2">
        <v>201704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503</v>
      </c>
      <c r="M756" s="2" t="s">
        <v>504</v>
      </c>
      <c r="N756" s="2" t="s">
        <v>505</v>
      </c>
      <c r="O756" s="2" t="s">
        <v>96</v>
      </c>
      <c r="P756" s="2" t="str">
        <f>"2170527073                    "</f>
        <v xml:space="preserve">2170527073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64.48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2</v>
      </c>
      <c r="BI756" s="2">
        <v>21.9</v>
      </c>
      <c r="BJ756" s="2">
        <v>7.6</v>
      </c>
      <c r="BK756" s="2">
        <v>22</v>
      </c>
      <c r="BL756" s="2">
        <v>792.22</v>
      </c>
      <c r="BM756" s="2">
        <v>110.91</v>
      </c>
      <c r="BN756" s="2">
        <v>903.13</v>
      </c>
      <c r="BO756" s="2">
        <v>903.13</v>
      </c>
      <c r="BP756" s="2"/>
      <c r="BQ756" s="2" t="s">
        <v>91</v>
      </c>
      <c r="BR756" s="2" t="s">
        <v>83</v>
      </c>
      <c r="BS756" s="3">
        <v>42654</v>
      </c>
      <c r="BT756" s="4">
        <v>0.62916666666666665</v>
      </c>
      <c r="BU756" s="2" t="s">
        <v>1165</v>
      </c>
      <c r="BV756" s="2" t="s">
        <v>88</v>
      </c>
      <c r="BW756" s="2" t="s">
        <v>277</v>
      </c>
      <c r="BX756" s="2" t="s">
        <v>166</v>
      </c>
      <c r="BY756" s="2">
        <v>38066.83</v>
      </c>
      <c r="BZ756" s="2"/>
      <c r="CA756" s="2" t="s">
        <v>1166</v>
      </c>
      <c r="CB756" s="2"/>
      <c r="CC756" s="2" t="s">
        <v>504</v>
      </c>
      <c r="CD756" s="2">
        <v>7349</v>
      </c>
      <c r="CE756" s="2" t="s">
        <v>86</v>
      </c>
      <c r="CF756" s="5">
        <v>42654</v>
      </c>
      <c r="CG756" s="2"/>
      <c r="CH756" s="2"/>
      <c r="CI756" s="2">
        <v>1</v>
      </c>
      <c r="CJ756" s="2">
        <v>1</v>
      </c>
      <c r="CK756" s="2">
        <v>23</v>
      </c>
      <c r="CL756" s="2" t="s">
        <v>88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"FES1162505448"</f>
        <v>FES1162505448</v>
      </c>
      <c r="F757" s="3">
        <v>42653</v>
      </c>
      <c r="G757" s="2">
        <v>201704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160</v>
      </c>
      <c r="M757" s="2" t="s">
        <v>161</v>
      </c>
      <c r="N757" s="2" t="s">
        <v>357</v>
      </c>
      <c r="O757" s="2" t="s">
        <v>96</v>
      </c>
      <c r="P757" s="2" t="str">
        <f>"2170529107                    "</f>
        <v xml:space="preserve">2170529107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7.46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2</v>
      </c>
      <c r="BI757" s="2">
        <v>4.0999999999999996</v>
      </c>
      <c r="BJ757" s="2">
        <v>1.6</v>
      </c>
      <c r="BK757" s="2">
        <v>4.5</v>
      </c>
      <c r="BL757" s="2">
        <v>91.7</v>
      </c>
      <c r="BM757" s="2">
        <v>12.84</v>
      </c>
      <c r="BN757" s="2">
        <v>104.54</v>
      </c>
      <c r="BO757" s="2">
        <v>104.54</v>
      </c>
      <c r="BP757" s="2"/>
      <c r="BQ757" s="2" t="s">
        <v>358</v>
      </c>
      <c r="BR757" s="2" t="s">
        <v>83</v>
      </c>
      <c r="BS757" s="3">
        <v>42654</v>
      </c>
      <c r="BT757" s="4">
        <v>0.44791666666666669</v>
      </c>
      <c r="BU757" s="2" t="s">
        <v>1167</v>
      </c>
      <c r="BV757" s="2" t="s">
        <v>85</v>
      </c>
      <c r="BW757" s="2"/>
      <c r="BX757" s="2"/>
      <c r="BY757" s="2">
        <v>8112.29</v>
      </c>
      <c r="BZ757" s="2"/>
      <c r="CA757" s="2"/>
      <c r="CB757" s="2"/>
      <c r="CC757" s="2" t="s">
        <v>161</v>
      </c>
      <c r="CD757" s="2">
        <v>7441</v>
      </c>
      <c r="CE757" s="2" t="s">
        <v>86</v>
      </c>
      <c r="CF757" s="5">
        <v>42655</v>
      </c>
      <c r="CG757" s="2"/>
      <c r="CH757" s="2"/>
      <c r="CI757" s="2">
        <v>1</v>
      </c>
      <c r="CJ757" s="2">
        <v>1</v>
      </c>
      <c r="CK757" s="2">
        <v>21</v>
      </c>
      <c r="CL757" s="2" t="s">
        <v>88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"FES1162505439"</f>
        <v>FES1162505439</v>
      </c>
      <c r="F758" s="3">
        <v>42653</v>
      </c>
      <c r="G758" s="2">
        <v>201704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137</v>
      </c>
      <c r="M758" s="2" t="s">
        <v>138</v>
      </c>
      <c r="N758" s="2" t="s">
        <v>849</v>
      </c>
      <c r="O758" s="2" t="s">
        <v>96</v>
      </c>
      <c r="P758" s="2" t="str">
        <f>"2170527977                    "</f>
        <v xml:space="preserve">2170527977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3.32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40.76</v>
      </c>
      <c r="BM758" s="2">
        <v>5.71</v>
      </c>
      <c r="BN758" s="2">
        <v>46.47</v>
      </c>
      <c r="BO758" s="2">
        <v>46.47</v>
      </c>
      <c r="BP758" s="2"/>
      <c r="BQ758" s="2" t="s">
        <v>850</v>
      </c>
      <c r="BR758" s="2" t="s">
        <v>83</v>
      </c>
      <c r="BS758" s="3">
        <v>42655</v>
      </c>
      <c r="BT758" s="4">
        <v>0.40416666666666662</v>
      </c>
      <c r="BU758" s="2" t="s">
        <v>1168</v>
      </c>
      <c r="BV758" s="2" t="s">
        <v>88</v>
      </c>
      <c r="BW758" s="2" t="s">
        <v>277</v>
      </c>
      <c r="BX758" s="2" t="s">
        <v>1169</v>
      </c>
      <c r="BY758" s="2">
        <v>1200</v>
      </c>
      <c r="BZ758" s="2"/>
      <c r="CA758" s="2" t="s">
        <v>142</v>
      </c>
      <c r="CB758" s="2"/>
      <c r="CC758" s="2" t="s">
        <v>138</v>
      </c>
      <c r="CD758" s="2">
        <v>3201</v>
      </c>
      <c r="CE758" s="2" t="s">
        <v>108</v>
      </c>
      <c r="CF758" s="5">
        <v>42655</v>
      </c>
      <c r="CG758" s="2"/>
      <c r="CH758" s="2"/>
      <c r="CI758" s="2">
        <v>1</v>
      </c>
      <c r="CJ758" s="2">
        <v>2</v>
      </c>
      <c r="CK758" s="2">
        <v>21</v>
      </c>
      <c r="CL758" s="2" t="s">
        <v>88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"FES1162505644"</f>
        <v>FES1162505644</v>
      </c>
      <c r="F759" s="3">
        <v>42653</v>
      </c>
      <c r="G759" s="2">
        <v>201704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143</v>
      </c>
      <c r="M759" s="2" t="s">
        <v>144</v>
      </c>
      <c r="N759" s="2" t="s">
        <v>1101</v>
      </c>
      <c r="O759" s="2" t="s">
        <v>96</v>
      </c>
      <c r="P759" s="2" t="str">
        <f>"2170529339                    "</f>
        <v xml:space="preserve">2170529339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3.32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1</v>
      </c>
      <c r="BJ759" s="2">
        <v>0.2</v>
      </c>
      <c r="BK759" s="2">
        <v>1</v>
      </c>
      <c r="BL759" s="2">
        <v>40.76</v>
      </c>
      <c r="BM759" s="2">
        <v>5.71</v>
      </c>
      <c r="BN759" s="2">
        <v>46.47</v>
      </c>
      <c r="BO759" s="2">
        <v>46.47</v>
      </c>
      <c r="BP759" s="2"/>
      <c r="BQ759" s="2" t="s">
        <v>1170</v>
      </c>
      <c r="BR759" s="2" t="s">
        <v>83</v>
      </c>
      <c r="BS759" s="3">
        <v>42654</v>
      </c>
      <c r="BT759" s="4">
        <v>0.47916666666666669</v>
      </c>
      <c r="BU759" s="2" t="s">
        <v>1171</v>
      </c>
      <c r="BV759" s="2" t="s">
        <v>85</v>
      </c>
      <c r="BW759" s="2"/>
      <c r="BX759" s="2"/>
      <c r="BY759" s="2">
        <v>1200</v>
      </c>
      <c r="BZ759" s="2"/>
      <c r="CA759" s="2"/>
      <c r="CB759" s="2"/>
      <c r="CC759" s="2" t="s">
        <v>144</v>
      </c>
      <c r="CD759" s="2">
        <v>5247</v>
      </c>
      <c r="CE759" s="2" t="s">
        <v>108</v>
      </c>
      <c r="CF759" s="5">
        <v>42656</v>
      </c>
      <c r="CG759" s="2"/>
      <c r="CH759" s="2"/>
      <c r="CI759" s="2">
        <v>1</v>
      </c>
      <c r="CJ759" s="2">
        <v>1</v>
      </c>
      <c r="CK759" s="2">
        <v>21</v>
      </c>
      <c r="CL759" s="2" t="s">
        <v>88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"FES1162505650"</f>
        <v>FES1162505650</v>
      </c>
      <c r="F760" s="3">
        <v>42653</v>
      </c>
      <c r="G760" s="2">
        <v>201704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160</v>
      </c>
      <c r="M760" s="2" t="s">
        <v>161</v>
      </c>
      <c r="N760" s="2" t="s">
        <v>179</v>
      </c>
      <c r="O760" s="2" t="s">
        <v>96</v>
      </c>
      <c r="P760" s="2" t="str">
        <f>"2170529344                    "</f>
        <v xml:space="preserve">2170529344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3.32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2</v>
      </c>
      <c r="BJ760" s="2">
        <v>1</v>
      </c>
      <c r="BK760" s="2">
        <v>2</v>
      </c>
      <c r="BL760" s="2">
        <v>40.76</v>
      </c>
      <c r="BM760" s="2">
        <v>5.71</v>
      </c>
      <c r="BN760" s="2">
        <v>46.47</v>
      </c>
      <c r="BO760" s="2">
        <v>46.47</v>
      </c>
      <c r="BP760" s="2"/>
      <c r="BQ760" s="2" t="s">
        <v>180</v>
      </c>
      <c r="BR760" s="2" t="s">
        <v>83</v>
      </c>
      <c r="BS760" s="3">
        <v>42654</v>
      </c>
      <c r="BT760" s="4">
        <v>0.41666666666666669</v>
      </c>
      <c r="BU760" s="2" t="s">
        <v>1172</v>
      </c>
      <c r="BV760" s="2" t="s">
        <v>85</v>
      </c>
      <c r="BW760" s="2"/>
      <c r="BX760" s="2"/>
      <c r="BY760" s="2">
        <v>4765.07</v>
      </c>
      <c r="BZ760" s="2"/>
      <c r="CA760" s="2" t="s">
        <v>129</v>
      </c>
      <c r="CB760" s="2"/>
      <c r="CC760" s="2" t="s">
        <v>161</v>
      </c>
      <c r="CD760" s="2">
        <v>7405</v>
      </c>
      <c r="CE760" s="2" t="s">
        <v>86</v>
      </c>
      <c r="CF760" s="5">
        <v>42655</v>
      </c>
      <c r="CG760" s="2"/>
      <c r="CH760" s="2"/>
      <c r="CI760" s="2">
        <v>1</v>
      </c>
      <c r="CJ760" s="2">
        <v>1</v>
      </c>
      <c r="CK760" s="2">
        <v>21</v>
      </c>
      <c r="CL760" s="2" t="s">
        <v>88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"FES1162505596"</f>
        <v>FES1162505596</v>
      </c>
      <c r="F761" s="3">
        <v>42653</v>
      </c>
      <c r="G761" s="2">
        <v>201704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1122</v>
      </c>
      <c r="M761" s="2" t="s">
        <v>1123</v>
      </c>
      <c r="N761" s="2" t="s">
        <v>1173</v>
      </c>
      <c r="O761" s="2" t="s">
        <v>96</v>
      </c>
      <c r="P761" s="2" t="str">
        <f>"2170506619                    "</f>
        <v xml:space="preserve">2170506619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3.32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0.7</v>
      </c>
      <c r="BJ761" s="2">
        <v>1.1000000000000001</v>
      </c>
      <c r="BK761" s="2">
        <v>1.5</v>
      </c>
      <c r="BL761" s="2">
        <v>40.76</v>
      </c>
      <c r="BM761" s="2">
        <v>5.71</v>
      </c>
      <c r="BN761" s="2">
        <v>46.47</v>
      </c>
      <c r="BO761" s="2">
        <v>46.47</v>
      </c>
      <c r="BP761" s="2"/>
      <c r="BQ761" s="2" t="s">
        <v>91</v>
      </c>
      <c r="BR761" s="2" t="s">
        <v>83</v>
      </c>
      <c r="BS761" s="3">
        <v>42654</v>
      </c>
      <c r="BT761" s="4">
        <v>0.41666666666666669</v>
      </c>
      <c r="BU761" s="2" t="s">
        <v>1174</v>
      </c>
      <c r="BV761" s="2" t="s">
        <v>85</v>
      </c>
      <c r="BW761" s="2"/>
      <c r="BX761" s="2"/>
      <c r="BY761" s="2">
        <v>5497.8</v>
      </c>
      <c r="BZ761" s="2"/>
      <c r="CA761" s="2"/>
      <c r="CB761" s="2"/>
      <c r="CC761" s="2" t="s">
        <v>1123</v>
      </c>
      <c r="CD761" s="2">
        <v>1900</v>
      </c>
      <c r="CE761" s="2" t="s">
        <v>108</v>
      </c>
      <c r="CF761" s="5">
        <v>42656</v>
      </c>
      <c r="CG761" s="2"/>
      <c r="CH761" s="2"/>
      <c r="CI761" s="2">
        <v>1</v>
      </c>
      <c r="CJ761" s="2">
        <v>1</v>
      </c>
      <c r="CK761" s="2">
        <v>21</v>
      </c>
      <c r="CL761" s="2" t="s">
        <v>88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"FES1162505654"</f>
        <v>FES1162505654</v>
      </c>
      <c r="F762" s="3">
        <v>42653</v>
      </c>
      <c r="G762" s="2">
        <v>201704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1175</v>
      </c>
      <c r="M762" s="2" t="s">
        <v>1176</v>
      </c>
      <c r="N762" s="2" t="s">
        <v>1177</v>
      </c>
      <c r="O762" s="2" t="s">
        <v>96</v>
      </c>
      <c r="P762" s="2" t="str">
        <f>"2170529313                    "</f>
        <v xml:space="preserve">2170529313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3.32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</v>
      </c>
      <c r="BJ762" s="2">
        <v>0.2</v>
      </c>
      <c r="BK762" s="2">
        <v>1</v>
      </c>
      <c r="BL762" s="2">
        <v>40.76</v>
      </c>
      <c r="BM762" s="2">
        <v>5.71</v>
      </c>
      <c r="BN762" s="2">
        <v>46.47</v>
      </c>
      <c r="BO762" s="2">
        <v>46.47</v>
      </c>
      <c r="BP762" s="2"/>
      <c r="BQ762" s="2" t="s">
        <v>82</v>
      </c>
      <c r="BR762" s="2" t="s">
        <v>83</v>
      </c>
      <c r="BS762" s="3">
        <v>42654</v>
      </c>
      <c r="BT762" s="4">
        <v>0.42638888888888887</v>
      </c>
      <c r="BU762" s="2" t="s">
        <v>1178</v>
      </c>
      <c r="BV762" s="2" t="s">
        <v>85</v>
      </c>
      <c r="BW762" s="2"/>
      <c r="BX762" s="2"/>
      <c r="BY762" s="2">
        <v>1200</v>
      </c>
      <c r="BZ762" s="2"/>
      <c r="CA762" s="2" t="s">
        <v>1179</v>
      </c>
      <c r="CB762" s="2"/>
      <c r="CC762" s="2" t="s">
        <v>1176</v>
      </c>
      <c r="CD762" s="2">
        <v>3310</v>
      </c>
      <c r="CE762" s="2" t="s">
        <v>108</v>
      </c>
      <c r="CF762" s="5">
        <v>42654</v>
      </c>
      <c r="CG762" s="2"/>
      <c r="CH762" s="2"/>
      <c r="CI762" s="2">
        <v>1</v>
      </c>
      <c r="CJ762" s="2">
        <v>1</v>
      </c>
      <c r="CK762" s="2">
        <v>21</v>
      </c>
      <c r="CL762" s="2" t="s">
        <v>88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"FES1162505653"</f>
        <v>FES1162505653</v>
      </c>
      <c r="F763" s="3">
        <v>42653</v>
      </c>
      <c r="G763" s="2">
        <v>201704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143</v>
      </c>
      <c r="M763" s="2" t="s">
        <v>144</v>
      </c>
      <c r="N763" s="2" t="s">
        <v>216</v>
      </c>
      <c r="O763" s="2" t="s">
        <v>96</v>
      </c>
      <c r="P763" s="2" t="str">
        <f>"2170529256                    "</f>
        <v xml:space="preserve">2170529256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3.32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0.2</v>
      </c>
      <c r="BK763" s="2">
        <v>1</v>
      </c>
      <c r="BL763" s="2">
        <v>40.76</v>
      </c>
      <c r="BM763" s="2">
        <v>5.71</v>
      </c>
      <c r="BN763" s="2">
        <v>46.47</v>
      </c>
      <c r="BO763" s="2">
        <v>46.47</v>
      </c>
      <c r="BP763" s="2"/>
      <c r="BQ763" s="2" t="s">
        <v>91</v>
      </c>
      <c r="BR763" s="2" t="s">
        <v>83</v>
      </c>
      <c r="BS763" s="3">
        <v>42654</v>
      </c>
      <c r="BT763" s="4">
        <v>0.45902777777777781</v>
      </c>
      <c r="BU763" s="2" t="s">
        <v>706</v>
      </c>
      <c r="BV763" s="2" t="s">
        <v>88</v>
      </c>
      <c r="BW763" s="2" t="s">
        <v>277</v>
      </c>
      <c r="BX763" s="2" t="s">
        <v>548</v>
      </c>
      <c r="BY763" s="2">
        <v>1200</v>
      </c>
      <c r="BZ763" s="2"/>
      <c r="CA763" s="2"/>
      <c r="CB763" s="2"/>
      <c r="CC763" s="2" t="s">
        <v>144</v>
      </c>
      <c r="CD763" s="2">
        <v>5201</v>
      </c>
      <c r="CE763" s="2" t="s">
        <v>108</v>
      </c>
      <c r="CF763" s="5">
        <v>42655</v>
      </c>
      <c r="CG763" s="2"/>
      <c r="CH763" s="2"/>
      <c r="CI763" s="2">
        <v>1</v>
      </c>
      <c r="CJ763" s="2">
        <v>1</v>
      </c>
      <c r="CK763" s="2">
        <v>21</v>
      </c>
      <c r="CL763" s="2" t="s">
        <v>88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"FES1162505648"</f>
        <v>FES1162505648</v>
      </c>
      <c r="F764" s="3">
        <v>42653</v>
      </c>
      <c r="G764" s="2">
        <v>201704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119</v>
      </c>
      <c r="M764" s="2" t="s">
        <v>120</v>
      </c>
      <c r="N764" s="2" t="s">
        <v>337</v>
      </c>
      <c r="O764" s="2" t="s">
        <v>96</v>
      </c>
      <c r="P764" s="2" t="str">
        <f>"2170529326                    "</f>
        <v xml:space="preserve">2170529326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3.32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0.8</v>
      </c>
      <c r="BJ764" s="2">
        <v>1.9</v>
      </c>
      <c r="BK764" s="2">
        <v>2</v>
      </c>
      <c r="BL764" s="2">
        <v>40.76</v>
      </c>
      <c r="BM764" s="2">
        <v>5.71</v>
      </c>
      <c r="BN764" s="2">
        <v>46.47</v>
      </c>
      <c r="BO764" s="2">
        <v>46.47</v>
      </c>
      <c r="BP764" s="2"/>
      <c r="BQ764" s="2" t="s">
        <v>338</v>
      </c>
      <c r="BR764" s="2" t="s">
        <v>83</v>
      </c>
      <c r="BS764" s="3">
        <v>42654</v>
      </c>
      <c r="BT764" s="4">
        <v>0.31597222222222221</v>
      </c>
      <c r="BU764" s="2" t="s">
        <v>1116</v>
      </c>
      <c r="BV764" s="2" t="s">
        <v>85</v>
      </c>
      <c r="BW764" s="2"/>
      <c r="BX764" s="2"/>
      <c r="BY764" s="2">
        <v>9469.15</v>
      </c>
      <c r="BZ764" s="2"/>
      <c r="CA764" s="2"/>
      <c r="CB764" s="2"/>
      <c r="CC764" s="2" t="s">
        <v>120</v>
      </c>
      <c r="CD764" s="2">
        <v>6230</v>
      </c>
      <c r="CE764" s="2" t="s">
        <v>108</v>
      </c>
      <c r="CF764" s="5">
        <v>42655</v>
      </c>
      <c r="CG764" s="2"/>
      <c r="CH764" s="2"/>
      <c r="CI764" s="2">
        <v>1</v>
      </c>
      <c r="CJ764" s="2">
        <v>1</v>
      </c>
      <c r="CK764" s="2">
        <v>21</v>
      </c>
      <c r="CL764" s="2" t="s">
        <v>88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"FES1162505622"</f>
        <v>FES1162505622</v>
      </c>
      <c r="F765" s="3">
        <v>42653</v>
      </c>
      <c r="G765" s="2">
        <v>201704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269</v>
      </c>
      <c r="M765" s="2" t="s">
        <v>270</v>
      </c>
      <c r="N765" s="2" t="s">
        <v>299</v>
      </c>
      <c r="O765" s="2" t="s">
        <v>96</v>
      </c>
      <c r="P765" s="2" t="str">
        <f>"2170529316                    "</f>
        <v xml:space="preserve">2170529316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3.32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1</v>
      </c>
      <c r="BJ765" s="2">
        <v>0.2</v>
      </c>
      <c r="BK765" s="2">
        <v>1</v>
      </c>
      <c r="BL765" s="2">
        <v>40.76</v>
      </c>
      <c r="BM765" s="2">
        <v>5.71</v>
      </c>
      <c r="BN765" s="2">
        <v>46.47</v>
      </c>
      <c r="BO765" s="2">
        <v>46.47</v>
      </c>
      <c r="BP765" s="2"/>
      <c r="BQ765" s="2" t="s">
        <v>300</v>
      </c>
      <c r="BR765" s="2" t="s">
        <v>83</v>
      </c>
      <c r="BS765" s="3">
        <v>42654</v>
      </c>
      <c r="BT765" s="4">
        <v>0.4375</v>
      </c>
      <c r="BU765" s="2" t="s">
        <v>238</v>
      </c>
      <c r="BV765" s="2" t="s">
        <v>85</v>
      </c>
      <c r="BW765" s="2"/>
      <c r="BX765" s="2"/>
      <c r="BY765" s="2">
        <v>1200</v>
      </c>
      <c r="BZ765" s="2"/>
      <c r="CA765" s="2"/>
      <c r="CB765" s="2"/>
      <c r="CC765" s="2" t="s">
        <v>270</v>
      </c>
      <c r="CD765" s="2">
        <v>3610</v>
      </c>
      <c r="CE765" s="2" t="s">
        <v>108</v>
      </c>
      <c r="CF765" s="5">
        <v>42655</v>
      </c>
      <c r="CG765" s="2"/>
      <c r="CH765" s="2"/>
      <c r="CI765" s="2">
        <v>1</v>
      </c>
      <c r="CJ765" s="2">
        <v>1</v>
      </c>
      <c r="CK765" s="2">
        <v>21</v>
      </c>
      <c r="CL765" s="2" t="s">
        <v>88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"FES1162505547"</f>
        <v>FES1162505547</v>
      </c>
      <c r="F766" s="3">
        <v>42653</v>
      </c>
      <c r="G766" s="2">
        <v>201704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78</v>
      </c>
      <c r="M766" s="2" t="s">
        <v>79</v>
      </c>
      <c r="N766" s="2" t="s">
        <v>1180</v>
      </c>
      <c r="O766" s="2" t="s">
        <v>81</v>
      </c>
      <c r="P766" s="2" t="str">
        <f>"2170529219                    "</f>
        <v xml:space="preserve">2170529219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5.7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8</v>
      </c>
      <c r="BJ766" s="2">
        <v>1.7</v>
      </c>
      <c r="BK766" s="2">
        <v>8</v>
      </c>
      <c r="BL766" s="2">
        <v>75.05</v>
      </c>
      <c r="BM766" s="2">
        <v>10.51</v>
      </c>
      <c r="BN766" s="2">
        <v>85.56</v>
      </c>
      <c r="BO766" s="2">
        <v>85.56</v>
      </c>
      <c r="BP766" s="2"/>
      <c r="BQ766" s="2" t="s">
        <v>1181</v>
      </c>
      <c r="BR766" s="2" t="s">
        <v>83</v>
      </c>
      <c r="BS766" s="3">
        <v>42654</v>
      </c>
      <c r="BT766" s="4">
        <v>0.41666666666666669</v>
      </c>
      <c r="BU766" s="2" t="s">
        <v>1024</v>
      </c>
      <c r="BV766" s="2" t="s">
        <v>85</v>
      </c>
      <c r="BW766" s="2"/>
      <c r="BX766" s="2"/>
      <c r="BY766" s="2">
        <v>8400</v>
      </c>
      <c r="BZ766" s="2"/>
      <c r="CA766" s="2"/>
      <c r="CB766" s="2"/>
      <c r="CC766" s="2" t="s">
        <v>79</v>
      </c>
      <c r="CD766" s="2">
        <v>1871</v>
      </c>
      <c r="CE766" s="2" t="s">
        <v>86</v>
      </c>
      <c r="CF766" s="5">
        <v>42656</v>
      </c>
      <c r="CG766" s="2"/>
      <c r="CH766" s="2"/>
      <c r="CI766" s="2">
        <v>1</v>
      </c>
      <c r="CJ766" s="2">
        <v>1</v>
      </c>
      <c r="CK766" s="2" t="s">
        <v>87</v>
      </c>
      <c r="CL766" s="2" t="s">
        <v>88</v>
      </c>
      <c r="CM766" s="2"/>
    </row>
    <row r="767" spans="1:91">
      <c r="A767" s="2" t="s">
        <v>1182</v>
      </c>
      <c r="B767" s="2" t="s">
        <v>72</v>
      </c>
      <c r="C767" s="2" t="s">
        <v>73</v>
      </c>
      <c r="D767" s="2"/>
      <c r="E767" s="2" t="str">
        <f>"009935556467"</f>
        <v>009935556467</v>
      </c>
      <c r="F767" s="3">
        <v>42649</v>
      </c>
      <c r="G767" s="2">
        <v>201704</v>
      </c>
      <c r="H767" s="2" t="s">
        <v>137</v>
      </c>
      <c r="I767" s="2" t="s">
        <v>138</v>
      </c>
      <c r="J767" s="2" t="s">
        <v>1183</v>
      </c>
      <c r="K767" s="2" t="s">
        <v>77</v>
      </c>
      <c r="L767" s="2" t="s">
        <v>74</v>
      </c>
      <c r="M767" s="2" t="s">
        <v>75</v>
      </c>
      <c r="N767" s="2" t="s">
        <v>1184</v>
      </c>
      <c r="O767" s="2" t="s">
        <v>81</v>
      </c>
      <c r="P767" s="2" t="str">
        <f>"                              "</f>
        <v xml:space="preserve">          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7.81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21.6</v>
      </c>
      <c r="BJ767" s="2">
        <v>15.2</v>
      </c>
      <c r="BK767" s="2">
        <v>22</v>
      </c>
      <c r="BL767" s="2">
        <v>101</v>
      </c>
      <c r="BM767" s="2">
        <v>14.14</v>
      </c>
      <c r="BN767" s="2">
        <v>115.14</v>
      </c>
      <c r="BO767" s="2">
        <v>115.14</v>
      </c>
      <c r="BP767" s="2"/>
      <c r="BQ767" s="2" t="s">
        <v>1185</v>
      </c>
      <c r="BR767" s="2" t="s">
        <v>1186</v>
      </c>
      <c r="BS767" s="3">
        <v>42653</v>
      </c>
      <c r="BT767" s="4">
        <v>0.38472222222222219</v>
      </c>
      <c r="BU767" s="2" t="s">
        <v>1187</v>
      </c>
      <c r="BV767" s="2" t="s">
        <v>88</v>
      </c>
      <c r="BW767" s="2" t="s">
        <v>991</v>
      </c>
      <c r="BX767" s="2" t="s">
        <v>1188</v>
      </c>
      <c r="BY767" s="2">
        <v>76000</v>
      </c>
      <c r="BZ767" s="2"/>
      <c r="CA767" s="2"/>
      <c r="CB767" s="2"/>
      <c r="CC767" s="2" t="s">
        <v>75</v>
      </c>
      <c r="CD767" s="2">
        <v>1600</v>
      </c>
      <c r="CE767" s="2" t="s">
        <v>86</v>
      </c>
      <c r="CF767" s="5">
        <v>42653</v>
      </c>
      <c r="CG767" s="2"/>
      <c r="CH767" s="2"/>
      <c r="CI767" s="2">
        <v>1</v>
      </c>
      <c r="CJ767" s="2">
        <v>2</v>
      </c>
      <c r="CK767" s="2" t="s">
        <v>366</v>
      </c>
      <c r="CL767" s="2" t="s">
        <v>88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"FES1162505598"</f>
        <v>FES1162505598</v>
      </c>
      <c r="F768" s="3">
        <v>42653</v>
      </c>
      <c r="G768" s="2">
        <v>201704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1122</v>
      </c>
      <c r="M768" s="2" t="s">
        <v>1123</v>
      </c>
      <c r="N768" s="2" t="s">
        <v>422</v>
      </c>
      <c r="O768" s="2" t="s">
        <v>81</v>
      </c>
      <c r="P768" s="2" t="str">
        <f>"2170529263                    "</f>
        <v xml:space="preserve">2170529263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5.7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8.3000000000000007</v>
      </c>
      <c r="BJ768" s="2">
        <v>14.4</v>
      </c>
      <c r="BK768" s="2">
        <v>15</v>
      </c>
      <c r="BL768" s="2">
        <v>75.05</v>
      </c>
      <c r="BM768" s="2">
        <v>10.51</v>
      </c>
      <c r="BN768" s="2">
        <v>85.56</v>
      </c>
      <c r="BO768" s="2">
        <v>85.56</v>
      </c>
      <c r="BP768" s="2"/>
      <c r="BQ768" s="2" t="s">
        <v>91</v>
      </c>
      <c r="BR768" s="2" t="s">
        <v>83</v>
      </c>
      <c r="BS768" s="3">
        <v>42654</v>
      </c>
      <c r="BT768" s="4">
        <v>0.41666666666666669</v>
      </c>
      <c r="BU768" s="2" t="s">
        <v>1189</v>
      </c>
      <c r="BV768" s="2" t="s">
        <v>85</v>
      </c>
      <c r="BW768" s="2"/>
      <c r="BX768" s="2"/>
      <c r="BY768" s="2">
        <v>71829.83</v>
      </c>
      <c r="BZ768" s="2"/>
      <c r="CA768" s="2"/>
      <c r="CB768" s="2"/>
      <c r="CC768" s="2" t="s">
        <v>1123</v>
      </c>
      <c r="CD768" s="2">
        <v>1911</v>
      </c>
      <c r="CE768" s="2" t="s">
        <v>86</v>
      </c>
      <c r="CF768" s="5">
        <v>42656</v>
      </c>
      <c r="CG768" s="2"/>
      <c r="CH768" s="2"/>
      <c r="CI768" s="2">
        <v>1</v>
      </c>
      <c r="CJ768" s="2">
        <v>1</v>
      </c>
      <c r="CK768" s="2" t="s">
        <v>87</v>
      </c>
      <c r="CL768" s="2" t="s">
        <v>88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"FES1162505567"</f>
        <v>FES1162505567</v>
      </c>
      <c r="F769" s="3">
        <v>42653</v>
      </c>
      <c r="G769" s="2">
        <v>201704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78</v>
      </c>
      <c r="M769" s="2" t="s">
        <v>79</v>
      </c>
      <c r="N769" s="2" t="s">
        <v>1190</v>
      </c>
      <c r="O769" s="2" t="s">
        <v>81</v>
      </c>
      <c r="P769" s="2" t="str">
        <f>"2170529239                    "</f>
        <v xml:space="preserve">2170529239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12.05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2</v>
      </c>
      <c r="BI769" s="2">
        <v>50.6</v>
      </c>
      <c r="BJ769" s="2">
        <v>39.6</v>
      </c>
      <c r="BK769" s="2">
        <v>51</v>
      </c>
      <c r="BL769" s="2">
        <v>153.04</v>
      </c>
      <c r="BM769" s="2">
        <v>21.43</v>
      </c>
      <c r="BN769" s="2">
        <v>174.47</v>
      </c>
      <c r="BO769" s="2">
        <v>174.47</v>
      </c>
      <c r="BP769" s="2"/>
      <c r="BQ769" s="2" t="s">
        <v>168</v>
      </c>
      <c r="BR769" s="2" t="s">
        <v>83</v>
      </c>
      <c r="BS769" s="3">
        <v>42654</v>
      </c>
      <c r="BT769" s="4">
        <v>0.41666666666666669</v>
      </c>
      <c r="BU769" s="2" t="s">
        <v>1191</v>
      </c>
      <c r="BV769" s="2" t="s">
        <v>85</v>
      </c>
      <c r="BW769" s="2"/>
      <c r="BX769" s="2"/>
      <c r="BY769" s="2">
        <v>197762.89</v>
      </c>
      <c r="BZ769" s="2"/>
      <c r="CA769" s="2" t="s">
        <v>129</v>
      </c>
      <c r="CB769" s="2"/>
      <c r="CC769" s="2" t="s">
        <v>79</v>
      </c>
      <c r="CD769" s="2">
        <v>1939</v>
      </c>
      <c r="CE769" s="2" t="s">
        <v>86</v>
      </c>
      <c r="CF769" s="5">
        <v>42656</v>
      </c>
      <c r="CG769" s="2"/>
      <c r="CH769" s="2"/>
      <c r="CI769" s="2">
        <v>1</v>
      </c>
      <c r="CJ769" s="2">
        <v>1</v>
      </c>
      <c r="CK769" s="2" t="s">
        <v>87</v>
      </c>
      <c r="CL769" s="2" t="s">
        <v>88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"009932186810"</f>
        <v>009932186810</v>
      </c>
      <c r="F770" s="3">
        <v>42653</v>
      </c>
      <c r="G770" s="2">
        <v>201704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160</v>
      </c>
      <c r="M770" s="2" t="s">
        <v>161</v>
      </c>
      <c r="N770" s="2" t="s">
        <v>622</v>
      </c>
      <c r="O770" s="2" t="s">
        <v>96</v>
      </c>
      <c r="P770" s="2" t="str">
        <f>"1162504244                    "</f>
        <v xml:space="preserve">1162504244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3.32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40.76</v>
      </c>
      <c r="BM770" s="2">
        <v>5.71</v>
      </c>
      <c r="BN770" s="2">
        <v>46.47</v>
      </c>
      <c r="BO770" s="2">
        <v>46.47</v>
      </c>
      <c r="BP770" s="2" t="s">
        <v>620</v>
      </c>
      <c r="BQ770" s="2" t="s">
        <v>623</v>
      </c>
      <c r="BR770" s="2" t="s">
        <v>83</v>
      </c>
      <c r="BS770" s="3">
        <v>42654</v>
      </c>
      <c r="BT770" s="4">
        <v>0.49583333333333335</v>
      </c>
      <c r="BU770" s="2" t="s">
        <v>1192</v>
      </c>
      <c r="BV770" s="2" t="s">
        <v>88</v>
      </c>
      <c r="BW770" s="2"/>
      <c r="BX770" s="2"/>
      <c r="BY770" s="2">
        <v>1200</v>
      </c>
      <c r="BZ770" s="2"/>
      <c r="CA770" s="2" t="s">
        <v>1193</v>
      </c>
      <c r="CB770" s="2"/>
      <c r="CC770" s="2" t="s">
        <v>161</v>
      </c>
      <c r="CD770" s="2">
        <v>7490</v>
      </c>
      <c r="CE770" s="2" t="s">
        <v>108</v>
      </c>
      <c r="CF770" s="5">
        <v>42654</v>
      </c>
      <c r="CG770" s="2"/>
      <c r="CH770" s="2"/>
      <c r="CI770" s="2">
        <v>1</v>
      </c>
      <c r="CJ770" s="2">
        <v>1</v>
      </c>
      <c r="CK770" s="2">
        <v>21</v>
      </c>
      <c r="CL770" s="2" t="s">
        <v>88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"FES1162505417"</f>
        <v>FES1162505417</v>
      </c>
      <c r="F771" s="3">
        <v>42653</v>
      </c>
      <c r="G771" s="2">
        <v>201704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137</v>
      </c>
      <c r="M771" s="2" t="s">
        <v>138</v>
      </c>
      <c r="N771" s="2" t="s">
        <v>291</v>
      </c>
      <c r="O771" s="2" t="s">
        <v>96</v>
      </c>
      <c r="P771" s="2" t="str">
        <f>"2170523532                    "</f>
        <v xml:space="preserve">2170523532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9.9499999999999993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6</v>
      </c>
      <c r="BJ771" s="2">
        <v>1.7</v>
      </c>
      <c r="BK771" s="2">
        <v>6</v>
      </c>
      <c r="BL771" s="2">
        <v>122.27</v>
      </c>
      <c r="BM771" s="2">
        <v>17.12</v>
      </c>
      <c r="BN771" s="2">
        <v>139.38999999999999</v>
      </c>
      <c r="BO771" s="2">
        <v>139.38999999999999</v>
      </c>
      <c r="BP771" s="2"/>
      <c r="BQ771" s="2" t="s">
        <v>117</v>
      </c>
      <c r="BR771" s="2" t="s">
        <v>83</v>
      </c>
      <c r="BS771" s="3">
        <v>42654</v>
      </c>
      <c r="BT771" s="4">
        <v>0.38472222222222219</v>
      </c>
      <c r="BU771" s="2" t="s">
        <v>781</v>
      </c>
      <c r="BV771" s="2"/>
      <c r="BW771" s="2"/>
      <c r="BX771" s="2"/>
      <c r="BY771" s="2">
        <v>8489.66</v>
      </c>
      <c r="BZ771" s="2"/>
      <c r="CA771" s="2" t="s">
        <v>613</v>
      </c>
      <c r="CB771" s="2"/>
      <c r="CC771" s="2" t="s">
        <v>138</v>
      </c>
      <c r="CD771" s="2">
        <v>3201</v>
      </c>
      <c r="CE771" s="2" t="s">
        <v>86</v>
      </c>
      <c r="CF771" s="5">
        <v>42654</v>
      </c>
      <c r="CG771" s="2"/>
      <c r="CH771" s="2"/>
      <c r="CI771" s="2">
        <v>0</v>
      </c>
      <c r="CJ771" s="2">
        <v>0</v>
      </c>
      <c r="CK771" s="2">
        <v>21</v>
      </c>
      <c r="CL771" s="2" t="s">
        <v>88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"FES1162504670"</f>
        <v>FES1162504670</v>
      </c>
      <c r="F772" s="3">
        <v>42648</v>
      </c>
      <c r="G772" s="2">
        <v>201704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98</v>
      </c>
      <c r="M772" s="2" t="s">
        <v>99</v>
      </c>
      <c r="N772" s="2" t="s">
        <v>638</v>
      </c>
      <c r="O772" s="2" t="s">
        <v>81</v>
      </c>
      <c r="P772" s="2" t="str">
        <f>"2175023384                    "</f>
        <v xml:space="preserve">2175023384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113.73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4</v>
      </c>
      <c r="BI772" s="2">
        <v>94</v>
      </c>
      <c r="BJ772" s="2">
        <v>382.4</v>
      </c>
      <c r="BK772" s="2">
        <v>383</v>
      </c>
      <c r="BL772" s="2">
        <v>1402.41</v>
      </c>
      <c r="BM772" s="2">
        <v>196.34</v>
      </c>
      <c r="BN772" s="2">
        <v>1598.75</v>
      </c>
      <c r="BO772" s="2">
        <v>1598.75</v>
      </c>
      <c r="BP772" s="2"/>
      <c r="BQ772" s="2" t="s">
        <v>639</v>
      </c>
      <c r="BR772" s="2" t="s">
        <v>83</v>
      </c>
      <c r="BS772" s="3">
        <v>42653</v>
      </c>
      <c r="BT772" s="4">
        <v>0.625</v>
      </c>
      <c r="BU772" s="2" t="s">
        <v>481</v>
      </c>
      <c r="BV772" s="2"/>
      <c r="BW772" s="2"/>
      <c r="BX772" s="2"/>
      <c r="BY772" s="2">
        <v>1911888</v>
      </c>
      <c r="BZ772" s="2"/>
      <c r="CA772" s="2" t="s">
        <v>482</v>
      </c>
      <c r="CB772" s="2"/>
      <c r="CC772" s="2" t="s">
        <v>99</v>
      </c>
      <c r="CD772" s="2">
        <v>6001</v>
      </c>
      <c r="CE772" s="2" t="s">
        <v>368</v>
      </c>
      <c r="CF772" s="5">
        <v>42653</v>
      </c>
      <c r="CG772" s="2"/>
      <c r="CH772" s="2"/>
      <c r="CI772" s="2">
        <v>0</v>
      </c>
      <c r="CJ772" s="2">
        <v>0</v>
      </c>
      <c r="CK772" s="2" t="s">
        <v>1063</v>
      </c>
      <c r="CL772" s="2" t="s">
        <v>88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"FES1162505048"</f>
        <v>FES1162505048</v>
      </c>
      <c r="F773" s="3">
        <v>42649</v>
      </c>
      <c r="G773" s="2">
        <v>201704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823</v>
      </c>
      <c r="M773" s="2" t="s">
        <v>824</v>
      </c>
      <c r="N773" s="2" t="s">
        <v>825</v>
      </c>
      <c r="O773" s="2" t="s">
        <v>81</v>
      </c>
      <c r="P773" s="2" t="str">
        <f>"2170528705                    "</f>
        <v xml:space="preserve">2170528705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6.79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5</v>
      </c>
      <c r="BJ773" s="2">
        <v>3.4</v>
      </c>
      <c r="BK773" s="2">
        <v>5</v>
      </c>
      <c r="BL773" s="2">
        <v>88.43</v>
      </c>
      <c r="BM773" s="2">
        <v>12.38</v>
      </c>
      <c r="BN773" s="2">
        <v>100.81</v>
      </c>
      <c r="BO773" s="2">
        <v>100.81</v>
      </c>
      <c r="BP773" s="2"/>
      <c r="BQ773" s="2" t="s">
        <v>91</v>
      </c>
      <c r="BR773" s="2" t="s">
        <v>83</v>
      </c>
      <c r="BS773" s="3">
        <v>42653</v>
      </c>
      <c r="BT773" s="4">
        <v>0.41666666666666669</v>
      </c>
      <c r="BU773" s="2" t="s">
        <v>1194</v>
      </c>
      <c r="BV773" s="2"/>
      <c r="BW773" s="2"/>
      <c r="BX773" s="2"/>
      <c r="BY773" s="2">
        <v>17134.810000000001</v>
      </c>
      <c r="BZ773" s="2"/>
      <c r="CA773" s="2" t="s">
        <v>329</v>
      </c>
      <c r="CB773" s="2"/>
      <c r="CC773" s="2" t="s">
        <v>824</v>
      </c>
      <c r="CD773" s="2">
        <v>2410</v>
      </c>
      <c r="CE773" s="2" t="s">
        <v>86</v>
      </c>
      <c r="CF773" s="5">
        <v>42655</v>
      </c>
      <c r="CG773" s="2"/>
      <c r="CH773" s="2"/>
      <c r="CI773" s="2">
        <v>0</v>
      </c>
      <c r="CJ773" s="2">
        <v>0</v>
      </c>
      <c r="CK773" s="2" t="s">
        <v>1063</v>
      </c>
      <c r="CL773" s="2" t="s">
        <v>88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"FES1162504983"</f>
        <v>FES1162504983</v>
      </c>
      <c r="F774" s="3">
        <v>42649</v>
      </c>
      <c r="G774" s="2">
        <v>201704</v>
      </c>
      <c r="H774" s="2" t="s">
        <v>74</v>
      </c>
      <c r="I774" s="2" t="s">
        <v>75</v>
      </c>
      <c r="J774" s="2" t="s">
        <v>189</v>
      </c>
      <c r="K774" s="2" t="s">
        <v>77</v>
      </c>
      <c r="L774" s="2" t="s">
        <v>78</v>
      </c>
      <c r="M774" s="2" t="s">
        <v>79</v>
      </c>
      <c r="N774" s="2" t="s">
        <v>1195</v>
      </c>
      <c r="O774" s="2" t="s">
        <v>81</v>
      </c>
      <c r="P774" s="2" t="str">
        <f>"2170528614                    "</f>
        <v xml:space="preserve">2170528614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5.7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5</v>
      </c>
      <c r="BJ774" s="2">
        <v>10.4</v>
      </c>
      <c r="BK774" s="2">
        <v>11</v>
      </c>
      <c r="BL774" s="2">
        <v>75.05</v>
      </c>
      <c r="BM774" s="2">
        <v>10.51</v>
      </c>
      <c r="BN774" s="2">
        <v>85.56</v>
      </c>
      <c r="BO774" s="2">
        <v>85.56</v>
      </c>
      <c r="BP774" s="2"/>
      <c r="BQ774" s="2" t="s">
        <v>91</v>
      </c>
      <c r="BR774" s="2" t="s">
        <v>194</v>
      </c>
      <c r="BS774" s="3">
        <v>42650</v>
      </c>
      <c r="BT774" s="4">
        <v>0.41666666666666669</v>
      </c>
      <c r="BU774" s="2" t="s">
        <v>1196</v>
      </c>
      <c r="BV774" s="2" t="s">
        <v>85</v>
      </c>
      <c r="BW774" s="2"/>
      <c r="BX774" s="2"/>
      <c r="BY774" s="2">
        <v>52206</v>
      </c>
      <c r="BZ774" s="2"/>
      <c r="CA774" s="2"/>
      <c r="CB774" s="2"/>
      <c r="CC774" s="2" t="s">
        <v>79</v>
      </c>
      <c r="CD774" s="2">
        <v>1961</v>
      </c>
      <c r="CE774" s="2" t="s">
        <v>86</v>
      </c>
      <c r="CF774" s="5">
        <v>42654</v>
      </c>
      <c r="CG774" s="2"/>
      <c r="CH774" s="2"/>
      <c r="CI774" s="2">
        <v>1</v>
      </c>
      <c r="CJ774" s="2">
        <v>1</v>
      </c>
      <c r="CK774" s="2" t="s">
        <v>87</v>
      </c>
      <c r="CL774" s="2" t="s">
        <v>88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"FES1162509165"</f>
        <v>FES1162509165</v>
      </c>
      <c r="F775" s="3">
        <v>42668</v>
      </c>
      <c r="G775" s="2">
        <v>201704</v>
      </c>
      <c r="H775" s="2" t="s">
        <v>74</v>
      </c>
      <c r="I775" s="2" t="s">
        <v>75</v>
      </c>
      <c r="J775" s="2" t="s">
        <v>189</v>
      </c>
      <c r="K775" s="2" t="s">
        <v>77</v>
      </c>
      <c r="L775" s="2" t="s">
        <v>98</v>
      </c>
      <c r="M775" s="2" t="s">
        <v>99</v>
      </c>
      <c r="N775" s="2" t="s">
        <v>1197</v>
      </c>
      <c r="O775" s="2" t="s">
        <v>81</v>
      </c>
      <c r="P775" s="2" t="str">
        <f>"2170532344                    "</f>
        <v xml:space="preserve">2170532344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7.66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17.399999999999999</v>
      </c>
      <c r="BJ775" s="2">
        <v>9.1</v>
      </c>
      <c r="BK775" s="2">
        <v>18</v>
      </c>
      <c r="BL775" s="2">
        <v>99.14</v>
      </c>
      <c r="BM775" s="2">
        <v>13.88</v>
      </c>
      <c r="BN775" s="2">
        <v>113.02</v>
      </c>
      <c r="BO775" s="2">
        <v>113.02</v>
      </c>
      <c r="BP775" s="2"/>
      <c r="BQ775" s="2" t="s">
        <v>1198</v>
      </c>
      <c r="BR775" s="2" t="s">
        <v>194</v>
      </c>
      <c r="BS775" s="3">
        <v>42670</v>
      </c>
      <c r="BT775" s="4">
        <v>0.37152777777777773</v>
      </c>
      <c r="BU775" s="2" t="s">
        <v>1199</v>
      </c>
      <c r="BV775" s="2" t="s">
        <v>85</v>
      </c>
      <c r="BW775" s="2"/>
      <c r="BX775" s="2"/>
      <c r="BY775" s="2">
        <v>45522.94</v>
      </c>
      <c r="BZ775" s="2"/>
      <c r="CA775" s="2" t="s">
        <v>437</v>
      </c>
      <c r="CB775" s="2"/>
      <c r="CC775" s="2" t="s">
        <v>99</v>
      </c>
      <c r="CD775" s="2">
        <v>6001</v>
      </c>
      <c r="CE775" s="2"/>
      <c r="CF775" s="5">
        <v>42670</v>
      </c>
      <c r="CG775" s="2"/>
      <c r="CH775" s="2"/>
      <c r="CI775" s="2">
        <v>2</v>
      </c>
      <c r="CJ775" s="2">
        <v>2</v>
      </c>
      <c r="CK775" s="2" t="s">
        <v>1063</v>
      </c>
      <c r="CL775" s="2" t="s">
        <v>88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"FES1162504611"</f>
        <v>FES1162504611</v>
      </c>
      <c r="F776" s="3">
        <v>42648</v>
      </c>
      <c r="G776" s="2">
        <v>201704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98</v>
      </c>
      <c r="M776" s="2" t="s">
        <v>99</v>
      </c>
      <c r="N776" s="2" t="s">
        <v>1200</v>
      </c>
      <c r="O776" s="2" t="s">
        <v>96</v>
      </c>
      <c r="P776" s="2" t="str">
        <f>"2170527943                    "</f>
        <v xml:space="preserve">2170527943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89.56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2</v>
      </c>
      <c r="BI776" s="2">
        <v>54</v>
      </c>
      <c r="BJ776" s="2">
        <v>26.7</v>
      </c>
      <c r="BK776" s="2">
        <v>54</v>
      </c>
      <c r="BL776" s="2">
        <v>1100.44</v>
      </c>
      <c r="BM776" s="2">
        <v>154.06</v>
      </c>
      <c r="BN776" s="2">
        <v>1254.5</v>
      </c>
      <c r="BO776" s="2">
        <v>1254.5</v>
      </c>
      <c r="BP776" s="2"/>
      <c r="BQ776" s="2" t="s">
        <v>1201</v>
      </c>
      <c r="BR776" s="2" t="s">
        <v>83</v>
      </c>
      <c r="BS776" s="3">
        <v>42649</v>
      </c>
      <c r="BT776" s="4">
        <v>0.35416666666666669</v>
      </c>
      <c r="BU776" s="2" t="s">
        <v>238</v>
      </c>
      <c r="BV776" s="2" t="s">
        <v>85</v>
      </c>
      <c r="BW776" s="2"/>
      <c r="BX776" s="2"/>
      <c r="BY776" s="2">
        <v>133722</v>
      </c>
      <c r="BZ776" s="2" t="s">
        <v>27</v>
      </c>
      <c r="CA776" s="2"/>
      <c r="CB776" s="2"/>
      <c r="CC776" s="2" t="s">
        <v>99</v>
      </c>
      <c r="CD776" s="2">
        <v>6001</v>
      </c>
      <c r="CE776" s="2" t="s">
        <v>257</v>
      </c>
      <c r="CF776" s="5">
        <v>42650</v>
      </c>
      <c r="CG776" s="2"/>
      <c r="CH776" s="2"/>
      <c r="CI776" s="2">
        <v>1</v>
      </c>
      <c r="CJ776" s="2">
        <v>1</v>
      </c>
      <c r="CK776" s="2">
        <v>21</v>
      </c>
      <c r="CL776" s="2" t="s">
        <v>88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"FES1162504585"</f>
        <v>FES1162504585</v>
      </c>
      <c r="F777" s="3">
        <v>42648</v>
      </c>
      <c r="G777" s="2">
        <v>201704</v>
      </c>
      <c r="H777" s="2" t="s">
        <v>74</v>
      </c>
      <c r="I777" s="2" t="s">
        <v>75</v>
      </c>
      <c r="J777" s="2" t="s">
        <v>189</v>
      </c>
      <c r="K777" s="2" t="s">
        <v>77</v>
      </c>
      <c r="L777" s="2" t="s">
        <v>207</v>
      </c>
      <c r="M777" s="2" t="s">
        <v>208</v>
      </c>
      <c r="N777" s="2" t="s">
        <v>1202</v>
      </c>
      <c r="O777" s="2" t="s">
        <v>96</v>
      </c>
      <c r="P777" s="2" t="str">
        <f>"2170526057                    "</f>
        <v xml:space="preserve">2170526057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3.32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40.76</v>
      </c>
      <c r="BM777" s="2">
        <v>5.71</v>
      </c>
      <c r="BN777" s="2">
        <v>46.47</v>
      </c>
      <c r="BO777" s="2">
        <v>46.47</v>
      </c>
      <c r="BP777" s="2"/>
      <c r="BQ777" s="2" t="s">
        <v>1203</v>
      </c>
      <c r="BR777" s="2" t="s">
        <v>194</v>
      </c>
      <c r="BS777" s="3">
        <v>42655</v>
      </c>
      <c r="BT777" s="4">
        <v>0.54166666666666663</v>
      </c>
      <c r="BU777" s="2" t="s">
        <v>1204</v>
      </c>
      <c r="BV777" s="2" t="s">
        <v>88</v>
      </c>
      <c r="BW777" s="2" t="s">
        <v>277</v>
      </c>
      <c r="BX777" s="2" t="s">
        <v>426</v>
      </c>
      <c r="BY777" s="2">
        <v>1200</v>
      </c>
      <c r="BZ777" s="2" t="s">
        <v>27</v>
      </c>
      <c r="CA777" s="2"/>
      <c r="CB777" s="2"/>
      <c r="CC777" s="2" t="s">
        <v>208</v>
      </c>
      <c r="CD777" s="2">
        <v>4133</v>
      </c>
      <c r="CE777" s="2" t="s">
        <v>108</v>
      </c>
      <c r="CF777" s="5">
        <v>42656</v>
      </c>
      <c r="CG777" s="2"/>
      <c r="CH777" s="2"/>
      <c r="CI777" s="2">
        <v>1</v>
      </c>
      <c r="CJ777" s="2">
        <v>5</v>
      </c>
      <c r="CK777" s="2">
        <v>21</v>
      </c>
      <c r="CL777" s="2" t="s">
        <v>88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"FES1162505783"</f>
        <v>FES1162505783</v>
      </c>
      <c r="F778" s="3">
        <v>42654</v>
      </c>
      <c r="G778" s="2">
        <v>201704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148</v>
      </c>
      <c r="M778" s="2" t="s">
        <v>149</v>
      </c>
      <c r="N778" s="2" t="s">
        <v>233</v>
      </c>
      <c r="O778" s="2" t="s">
        <v>96</v>
      </c>
      <c r="P778" s="2" t="str">
        <f>"2170529410                    "</f>
        <v xml:space="preserve">2170529410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3.32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0.2</v>
      </c>
      <c r="BK778" s="2">
        <v>1</v>
      </c>
      <c r="BL778" s="2">
        <v>40.76</v>
      </c>
      <c r="BM778" s="2">
        <v>5.71</v>
      </c>
      <c r="BN778" s="2">
        <v>46.47</v>
      </c>
      <c r="BO778" s="2">
        <v>46.47</v>
      </c>
      <c r="BP778" s="2"/>
      <c r="BQ778" s="2" t="s">
        <v>234</v>
      </c>
      <c r="BR778" s="2" t="s">
        <v>83</v>
      </c>
      <c r="BS778" s="3">
        <v>42655</v>
      </c>
      <c r="BT778" s="4">
        <v>0.4375</v>
      </c>
      <c r="BU778" s="2" t="s">
        <v>1205</v>
      </c>
      <c r="BV778" s="2"/>
      <c r="BW778" s="2"/>
      <c r="BX778" s="2"/>
      <c r="BY778" s="2">
        <v>1200</v>
      </c>
      <c r="BZ778" s="2" t="s">
        <v>27</v>
      </c>
      <c r="CA778" s="2"/>
      <c r="CB778" s="2"/>
      <c r="CC778" s="2" t="s">
        <v>149</v>
      </c>
      <c r="CD778" s="2">
        <v>4001</v>
      </c>
      <c r="CE778" s="2" t="s">
        <v>108</v>
      </c>
      <c r="CF778" s="5">
        <v>42656</v>
      </c>
      <c r="CG778" s="2"/>
      <c r="CH778" s="2"/>
      <c r="CI778" s="2">
        <v>0</v>
      </c>
      <c r="CJ778" s="2">
        <v>0</v>
      </c>
      <c r="CK778" s="2">
        <v>21</v>
      </c>
      <c r="CL778" s="2" t="s">
        <v>88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"FES1162505665"</f>
        <v>FES1162505665</v>
      </c>
      <c r="F779" s="3">
        <v>42654</v>
      </c>
      <c r="G779" s="2">
        <v>201704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98</v>
      </c>
      <c r="M779" s="2" t="s">
        <v>99</v>
      </c>
      <c r="N779" s="2" t="s">
        <v>894</v>
      </c>
      <c r="O779" s="2" t="s">
        <v>191</v>
      </c>
      <c r="P779" s="2" t="str">
        <f>"2170529355                    "</f>
        <v xml:space="preserve">2170529355 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351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37.729999999999997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2</v>
      </c>
      <c r="BI779" s="2">
        <v>4</v>
      </c>
      <c r="BJ779" s="2">
        <v>0.5</v>
      </c>
      <c r="BK779" s="2">
        <v>4</v>
      </c>
      <c r="BL779" s="2">
        <v>463.61</v>
      </c>
      <c r="BM779" s="2">
        <v>64.91</v>
      </c>
      <c r="BN779" s="2">
        <v>528.52</v>
      </c>
      <c r="BO779" s="2">
        <v>528.52</v>
      </c>
      <c r="BP779" s="2" t="s">
        <v>392</v>
      </c>
      <c r="BQ779" s="2" t="s">
        <v>1206</v>
      </c>
      <c r="BR779" s="2" t="s">
        <v>83</v>
      </c>
      <c r="BS779" s="3">
        <v>42654</v>
      </c>
      <c r="BT779" s="4">
        <v>0.59027777777777779</v>
      </c>
      <c r="BU779" s="2" t="s">
        <v>1207</v>
      </c>
      <c r="BV779" s="2" t="s">
        <v>85</v>
      </c>
      <c r="BW779" s="2"/>
      <c r="BX779" s="2"/>
      <c r="BY779" s="2">
        <v>2400</v>
      </c>
      <c r="BZ779" s="2" t="s">
        <v>395</v>
      </c>
      <c r="CA779" s="2" t="s">
        <v>129</v>
      </c>
      <c r="CB779" s="2"/>
      <c r="CC779" s="2" t="s">
        <v>99</v>
      </c>
      <c r="CD779" s="2">
        <v>6012</v>
      </c>
      <c r="CE779" s="2" t="s">
        <v>103</v>
      </c>
      <c r="CF779" s="5">
        <v>42655</v>
      </c>
      <c r="CG779" s="2"/>
      <c r="CH779" s="2"/>
      <c r="CI779" s="2">
        <v>0</v>
      </c>
      <c r="CJ779" s="2">
        <v>0</v>
      </c>
      <c r="CK779" s="2">
        <v>21</v>
      </c>
      <c r="CL779" s="2" t="s">
        <v>88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"080001456792"</f>
        <v>080001456792</v>
      </c>
      <c r="F780" s="3">
        <v>42654</v>
      </c>
      <c r="G780" s="2">
        <v>201704</v>
      </c>
      <c r="H780" s="2" t="s">
        <v>160</v>
      </c>
      <c r="I780" s="2" t="s">
        <v>161</v>
      </c>
      <c r="J780" s="2" t="s">
        <v>302</v>
      </c>
      <c r="K780" s="2" t="s">
        <v>77</v>
      </c>
      <c r="L780" s="2" t="s">
        <v>74</v>
      </c>
      <c r="M780" s="2" t="s">
        <v>75</v>
      </c>
      <c r="N780" s="2" t="s">
        <v>189</v>
      </c>
      <c r="O780" s="2" t="s">
        <v>96</v>
      </c>
      <c r="P780" s="2" t="str">
        <f>"ZA1000597842                  "</f>
        <v xml:space="preserve">ZA1000597842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4.9800000000000004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3</v>
      </c>
      <c r="BJ780" s="2">
        <v>2</v>
      </c>
      <c r="BK780" s="2">
        <v>3</v>
      </c>
      <c r="BL780" s="2">
        <v>61.14</v>
      </c>
      <c r="BM780" s="2">
        <v>8.56</v>
      </c>
      <c r="BN780" s="2">
        <v>69.7</v>
      </c>
      <c r="BO780" s="2">
        <v>69.7</v>
      </c>
      <c r="BP780" s="2" t="s">
        <v>380</v>
      </c>
      <c r="BQ780" s="2" t="s">
        <v>381</v>
      </c>
      <c r="BR780" s="2" t="s">
        <v>1208</v>
      </c>
      <c r="BS780" s="3">
        <v>42655</v>
      </c>
      <c r="BT780" s="4">
        <v>0.35625000000000001</v>
      </c>
      <c r="BU780" s="2" t="s">
        <v>1209</v>
      </c>
      <c r="BV780" s="2" t="s">
        <v>85</v>
      </c>
      <c r="BW780" s="2"/>
      <c r="BX780" s="2"/>
      <c r="BY780" s="2">
        <v>9768</v>
      </c>
      <c r="BZ780" s="2"/>
      <c r="CA780" s="2"/>
      <c r="CB780" s="2"/>
      <c r="CC780" s="2" t="s">
        <v>75</v>
      </c>
      <c r="CD780" s="2">
        <v>1601</v>
      </c>
      <c r="CE780" s="2" t="s">
        <v>86</v>
      </c>
      <c r="CF780" s="5">
        <v>42655</v>
      </c>
      <c r="CG780" s="2"/>
      <c r="CH780" s="2"/>
      <c r="CI780" s="2">
        <v>1</v>
      </c>
      <c r="CJ780" s="2">
        <v>1</v>
      </c>
      <c r="CK780" s="2">
        <v>21</v>
      </c>
      <c r="CL780" s="2" t="s">
        <v>88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"FES1162505839"</f>
        <v>FES1162505839</v>
      </c>
      <c r="F781" s="3">
        <v>42654</v>
      </c>
      <c r="G781" s="2">
        <v>201704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98</v>
      </c>
      <c r="M781" s="2" t="s">
        <v>99</v>
      </c>
      <c r="N781" s="2" t="s">
        <v>190</v>
      </c>
      <c r="O781" s="2" t="s">
        <v>96</v>
      </c>
      <c r="P781" s="2" t="str">
        <f>"2170526205                    "</f>
        <v xml:space="preserve">2170526205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18.239999999999998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10.6</v>
      </c>
      <c r="BJ781" s="2">
        <v>8.4</v>
      </c>
      <c r="BK781" s="2">
        <v>11</v>
      </c>
      <c r="BL781" s="2">
        <v>224.16</v>
      </c>
      <c r="BM781" s="2">
        <v>31.38</v>
      </c>
      <c r="BN781" s="2">
        <v>255.54</v>
      </c>
      <c r="BO781" s="2">
        <v>255.54</v>
      </c>
      <c r="BP781" s="2"/>
      <c r="BQ781" s="2" t="s">
        <v>1034</v>
      </c>
      <c r="BR781" s="2" t="s">
        <v>83</v>
      </c>
      <c r="BS781" s="3">
        <v>42655</v>
      </c>
      <c r="BT781" s="4">
        <v>0.39930555555555558</v>
      </c>
      <c r="BU781" s="2" t="s">
        <v>1210</v>
      </c>
      <c r="BV781" s="2" t="s">
        <v>85</v>
      </c>
      <c r="BW781" s="2"/>
      <c r="BX781" s="2"/>
      <c r="BY781" s="2">
        <v>42210.559999999998</v>
      </c>
      <c r="BZ781" s="2" t="s">
        <v>27</v>
      </c>
      <c r="CA781" s="2"/>
      <c r="CB781" s="2"/>
      <c r="CC781" s="2" t="s">
        <v>99</v>
      </c>
      <c r="CD781" s="2">
        <v>6001</v>
      </c>
      <c r="CE781" s="2" t="s">
        <v>86</v>
      </c>
      <c r="CF781" s="5">
        <v>42656</v>
      </c>
      <c r="CG781" s="2"/>
      <c r="CH781" s="2"/>
      <c r="CI781" s="2">
        <v>1</v>
      </c>
      <c r="CJ781" s="2">
        <v>1</v>
      </c>
      <c r="CK781" s="2">
        <v>21</v>
      </c>
      <c r="CL781" s="2" t="s">
        <v>88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"080001456699"</f>
        <v>080001456699</v>
      </c>
      <c r="F782" s="3">
        <v>42654</v>
      </c>
      <c r="G782" s="2">
        <v>201704</v>
      </c>
      <c r="H782" s="2" t="s">
        <v>143</v>
      </c>
      <c r="I782" s="2" t="s">
        <v>144</v>
      </c>
      <c r="J782" s="2" t="s">
        <v>1211</v>
      </c>
      <c r="K782" s="2" t="s">
        <v>77</v>
      </c>
      <c r="L782" s="2" t="s">
        <v>74</v>
      </c>
      <c r="M782" s="2" t="s">
        <v>75</v>
      </c>
      <c r="N782" s="2" t="s">
        <v>189</v>
      </c>
      <c r="O782" s="2" t="s">
        <v>96</v>
      </c>
      <c r="P782" s="2" t="str">
        <f>"ZA1000597213/211/208          "</f>
        <v xml:space="preserve">ZA1000597213/211/208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3.32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</v>
      </c>
      <c r="BJ782" s="2">
        <v>0.2</v>
      </c>
      <c r="BK782" s="2">
        <v>1</v>
      </c>
      <c r="BL782" s="2">
        <v>40.76</v>
      </c>
      <c r="BM782" s="2">
        <v>5.71</v>
      </c>
      <c r="BN782" s="2">
        <v>46.47</v>
      </c>
      <c r="BO782" s="2">
        <v>46.47</v>
      </c>
      <c r="BP782" s="2" t="s">
        <v>1212</v>
      </c>
      <c r="BQ782" s="2" t="s">
        <v>381</v>
      </c>
      <c r="BR782" s="2" t="s">
        <v>1213</v>
      </c>
      <c r="BS782" s="3">
        <v>42655</v>
      </c>
      <c r="BT782" s="4">
        <v>0.35625000000000001</v>
      </c>
      <c r="BU782" s="2" t="s">
        <v>1209</v>
      </c>
      <c r="BV782" s="2" t="s">
        <v>85</v>
      </c>
      <c r="BW782" s="2"/>
      <c r="BX782" s="2"/>
      <c r="BY782" s="2">
        <v>1200</v>
      </c>
      <c r="BZ782" s="2"/>
      <c r="CA782" s="2"/>
      <c r="CB782" s="2"/>
      <c r="CC782" s="2" t="s">
        <v>75</v>
      </c>
      <c r="CD782" s="2">
        <v>1601</v>
      </c>
      <c r="CE782" s="2" t="s">
        <v>86</v>
      </c>
      <c r="CF782" s="5">
        <v>42655</v>
      </c>
      <c r="CG782" s="2"/>
      <c r="CH782" s="2"/>
      <c r="CI782" s="2">
        <v>1</v>
      </c>
      <c r="CJ782" s="2">
        <v>1</v>
      </c>
      <c r="CK782" s="2">
        <v>21</v>
      </c>
      <c r="CL782" s="2" t="s">
        <v>88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"FES1162505849"</f>
        <v>FES1162505849</v>
      </c>
      <c r="F783" s="3">
        <v>42654</v>
      </c>
      <c r="G783" s="2">
        <v>201704</v>
      </c>
      <c r="H783" s="2" t="s">
        <v>74</v>
      </c>
      <c r="I783" s="2" t="s">
        <v>75</v>
      </c>
      <c r="J783" s="2" t="s">
        <v>76</v>
      </c>
      <c r="K783" s="2" t="s">
        <v>77</v>
      </c>
      <c r="L783" s="2" t="s">
        <v>323</v>
      </c>
      <c r="M783" s="2" t="s">
        <v>324</v>
      </c>
      <c r="N783" s="2" t="s">
        <v>325</v>
      </c>
      <c r="O783" s="2" t="s">
        <v>96</v>
      </c>
      <c r="P783" s="2" t="str">
        <f>"2170526552                    "</f>
        <v xml:space="preserve">2170526552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58.05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13.3</v>
      </c>
      <c r="BJ783" s="2">
        <v>34.700000000000003</v>
      </c>
      <c r="BK783" s="2">
        <v>35</v>
      </c>
      <c r="BL783" s="2">
        <v>713.25</v>
      </c>
      <c r="BM783" s="2">
        <v>99.86</v>
      </c>
      <c r="BN783" s="2">
        <v>813.11</v>
      </c>
      <c r="BO783" s="2">
        <v>813.11</v>
      </c>
      <c r="BP783" s="2"/>
      <c r="BQ783" s="2" t="s">
        <v>117</v>
      </c>
      <c r="BR783" s="2" t="s">
        <v>83</v>
      </c>
      <c r="BS783" s="3">
        <v>42655</v>
      </c>
      <c r="BT783" s="4">
        <v>0.375</v>
      </c>
      <c r="BU783" s="2" t="s">
        <v>1214</v>
      </c>
      <c r="BV783" s="2"/>
      <c r="BW783" s="2"/>
      <c r="BX783" s="2"/>
      <c r="BY783" s="2">
        <v>173685.6</v>
      </c>
      <c r="BZ783" s="2" t="s">
        <v>27</v>
      </c>
      <c r="CA783" s="2" t="s">
        <v>1215</v>
      </c>
      <c r="CB783" s="2"/>
      <c r="CC783" s="2" t="s">
        <v>324</v>
      </c>
      <c r="CD783" s="2">
        <v>9301</v>
      </c>
      <c r="CE783" s="2" t="s">
        <v>86</v>
      </c>
      <c r="CF783" s="5">
        <v>42656</v>
      </c>
      <c r="CG783" s="2"/>
      <c r="CH783" s="2"/>
      <c r="CI783" s="2">
        <v>0</v>
      </c>
      <c r="CJ783" s="2">
        <v>0</v>
      </c>
      <c r="CK783" s="2">
        <v>21</v>
      </c>
      <c r="CL783" s="2" t="s">
        <v>88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"080001456760"</f>
        <v>080001456760</v>
      </c>
      <c r="F784" s="3">
        <v>42654</v>
      </c>
      <c r="G784" s="2">
        <v>201704</v>
      </c>
      <c r="H784" s="2" t="s">
        <v>510</v>
      </c>
      <c r="I784" s="2" t="s">
        <v>511</v>
      </c>
      <c r="J784" s="2" t="s">
        <v>1216</v>
      </c>
      <c r="K784" s="2" t="s">
        <v>77</v>
      </c>
      <c r="L784" s="2" t="s">
        <v>74</v>
      </c>
      <c r="M784" s="2" t="s">
        <v>75</v>
      </c>
      <c r="N784" s="2" t="s">
        <v>189</v>
      </c>
      <c r="O784" s="2" t="s">
        <v>96</v>
      </c>
      <c r="P784" s="2" t="str">
        <f>"1412298210/1412288223 over sup"</f>
        <v>1412298210/1412288223 over sup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9.9499999999999993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2</v>
      </c>
      <c r="BI784" s="2">
        <v>6</v>
      </c>
      <c r="BJ784" s="2">
        <v>4.2</v>
      </c>
      <c r="BK784" s="2">
        <v>6</v>
      </c>
      <c r="BL784" s="2">
        <v>122.27</v>
      </c>
      <c r="BM784" s="2">
        <v>17.12</v>
      </c>
      <c r="BN784" s="2">
        <v>139.38999999999999</v>
      </c>
      <c r="BO784" s="2">
        <v>139.38999999999999</v>
      </c>
      <c r="BP784" s="2" t="s">
        <v>1217</v>
      </c>
      <c r="BQ784" s="2" t="s">
        <v>381</v>
      </c>
      <c r="BR784" s="2" t="s">
        <v>1218</v>
      </c>
      <c r="BS784" s="3">
        <v>42655</v>
      </c>
      <c r="BT784" s="4">
        <v>0.35625000000000001</v>
      </c>
      <c r="BU784" s="2" t="s">
        <v>1209</v>
      </c>
      <c r="BV784" s="2" t="s">
        <v>85</v>
      </c>
      <c r="BW784" s="2"/>
      <c r="BX784" s="2"/>
      <c r="BY784" s="2">
        <v>21142</v>
      </c>
      <c r="BZ784" s="2"/>
      <c r="CA784" s="2"/>
      <c r="CB784" s="2"/>
      <c r="CC784" s="2" t="s">
        <v>75</v>
      </c>
      <c r="CD784" s="2">
        <v>1601</v>
      </c>
      <c r="CE784" s="2" t="s">
        <v>86</v>
      </c>
      <c r="CF784" s="5">
        <v>42655</v>
      </c>
      <c r="CG784" s="2"/>
      <c r="CH784" s="2"/>
      <c r="CI784" s="2">
        <v>1</v>
      </c>
      <c r="CJ784" s="2">
        <v>1</v>
      </c>
      <c r="CK784" s="2">
        <v>21</v>
      </c>
      <c r="CL784" s="2" t="s">
        <v>88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"FES1162505740"</f>
        <v>FES1162505740</v>
      </c>
      <c r="F785" s="3">
        <v>42654</v>
      </c>
      <c r="G785" s="2">
        <v>201704</v>
      </c>
      <c r="H785" s="2" t="s">
        <v>74</v>
      </c>
      <c r="I785" s="2" t="s">
        <v>75</v>
      </c>
      <c r="J785" s="2" t="s">
        <v>76</v>
      </c>
      <c r="K785" s="2" t="s">
        <v>77</v>
      </c>
      <c r="L785" s="2" t="s">
        <v>160</v>
      </c>
      <c r="M785" s="2" t="s">
        <v>161</v>
      </c>
      <c r="N785" s="2" t="s">
        <v>1219</v>
      </c>
      <c r="O785" s="2" t="s">
        <v>96</v>
      </c>
      <c r="P785" s="2" t="str">
        <f>"2170528650                    "</f>
        <v xml:space="preserve">2170528650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4.1500000000000004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2.2999999999999998</v>
      </c>
      <c r="BJ785" s="2">
        <v>1.5</v>
      </c>
      <c r="BK785" s="2">
        <v>2.5</v>
      </c>
      <c r="BL785" s="2">
        <v>50.95</v>
      </c>
      <c r="BM785" s="2">
        <v>7.13</v>
      </c>
      <c r="BN785" s="2">
        <v>58.08</v>
      </c>
      <c r="BO785" s="2">
        <v>58.08</v>
      </c>
      <c r="BP785" s="2"/>
      <c r="BQ785" s="2" t="s">
        <v>91</v>
      </c>
      <c r="BR785" s="2" t="s">
        <v>83</v>
      </c>
      <c r="BS785" s="3">
        <v>42655</v>
      </c>
      <c r="BT785" s="4">
        <v>0.41666666666666669</v>
      </c>
      <c r="BU785" s="2" t="s">
        <v>1220</v>
      </c>
      <c r="BV785" s="2" t="s">
        <v>85</v>
      </c>
      <c r="BW785" s="2"/>
      <c r="BX785" s="2"/>
      <c r="BY785" s="2">
        <v>7484.59</v>
      </c>
      <c r="BZ785" s="2" t="s">
        <v>27</v>
      </c>
      <c r="CA785" s="2"/>
      <c r="CB785" s="2"/>
      <c r="CC785" s="2" t="s">
        <v>161</v>
      </c>
      <c r="CD785" s="2">
        <v>7441</v>
      </c>
      <c r="CE785" s="2" t="s">
        <v>86</v>
      </c>
      <c r="CF785" s="5">
        <v>42656</v>
      </c>
      <c r="CG785" s="2"/>
      <c r="CH785" s="2"/>
      <c r="CI785" s="2">
        <v>1</v>
      </c>
      <c r="CJ785" s="2">
        <v>1</v>
      </c>
      <c r="CK785" s="2">
        <v>21</v>
      </c>
      <c r="CL785" s="2" t="s">
        <v>88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"FES1162505903"</f>
        <v>FES1162505903</v>
      </c>
      <c r="F786" s="3">
        <v>42654</v>
      </c>
      <c r="G786" s="2">
        <v>201704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143</v>
      </c>
      <c r="M786" s="2" t="s">
        <v>144</v>
      </c>
      <c r="N786" s="2" t="s">
        <v>1081</v>
      </c>
      <c r="O786" s="2" t="s">
        <v>96</v>
      </c>
      <c r="P786" s="2" t="str">
        <f>"2170529529                    "</f>
        <v xml:space="preserve">2170529529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11.61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3.4</v>
      </c>
      <c r="BJ786" s="2">
        <v>6.8</v>
      </c>
      <c r="BK786" s="2">
        <v>7</v>
      </c>
      <c r="BL786" s="2">
        <v>142.65</v>
      </c>
      <c r="BM786" s="2">
        <v>19.97</v>
      </c>
      <c r="BN786" s="2">
        <v>162.62</v>
      </c>
      <c r="BO786" s="2">
        <v>162.62</v>
      </c>
      <c r="BP786" s="2"/>
      <c r="BQ786" s="2" t="s">
        <v>168</v>
      </c>
      <c r="BR786" s="2" t="s">
        <v>83</v>
      </c>
      <c r="BS786" s="3">
        <v>42655</v>
      </c>
      <c r="BT786" s="4">
        <v>0.4375</v>
      </c>
      <c r="BU786" s="2" t="s">
        <v>1221</v>
      </c>
      <c r="BV786" s="2"/>
      <c r="BW786" s="2"/>
      <c r="BX786" s="2"/>
      <c r="BY786" s="2">
        <v>33993.339999999997</v>
      </c>
      <c r="BZ786" s="2" t="s">
        <v>27</v>
      </c>
      <c r="CA786" s="2"/>
      <c r="CB786" s="2"/>
      <c r="CC786" s="2" t="s">
        <v>144</v>
      </c>
      <c r="CD786" s="2">
        <v>5201</v>
      </c>
      <c r="CE786" s="2" t="s">
        <v>86</v>
      </c>
      <c r="CF786" s="5">
        <v>42657</v>
      </c>
      <c r="CG786" s="2"/>
      <c r="CH786" s="2"/>
      <c r="CI786" s="2">
        <v>0</v>
      </c>
      <c r="CJ786" s="2">
        <v>0</v>
      </c>
      <c r="CK786" s="2">
        <v>21</v>
      </c>
      <c r="CL786" s="2" t="s">
        <v>88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"FES1162505752"</f>
        <v>FES1162505752</v>
      </c>
      <c r="F787" s="3">
        <v>42654</v>
      </c>
      <c r="G787" s="2">
        <v>201704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153</v>
      </c>
      <c r="M787" s="2" t="s">
        <v>153</v>
      </c>
      <c r="N787" s="2" t="s">
        <v>353</v>
      </c>
      <c r="O787" s="2" t="s">
        <v>96</v>
      </c>
      <c r="P787" s="2" t="str">
        <f>"2170529373                    "</f>
        <v xml:space="preserve">2170529373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7.46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4.0999999999999996</v>
      </c>
      <c r="BJ787" s="2">
        <v>1.7</v>
      </c>
      <c r="BK787" s="2">
        <v>4.5</v>
      </c>
      <c r="BL787" s="2">
        <v>91.7</v>
      </c>
      <c r="BM787" s="2">
        <v>12.84</v>
      </c>
      <c r="BN787" s="2">
        <v>104.54</v>
      </c>
      <c r="BO787" s="2">
        <v>104.54</v>
      </c>
      <c r="BP787" s="2"/>
      <c r="BQ787" s="2" t="s">
        <v>354</v>
      </c>
      <c r="BR787" s="2" t="s">
        <v>83</v>
      </c>
      <c r="BS787" s="3">
        <v>42655</v>
      </c>
      <c r="BT787" s="4">
        <v>0.41666666666666669</v>
      </c>
      <c r="BU787" s="2" t="s">
        <v>1222</v>
      </c>
      <c r="BV787" s="2" t="s">
        <v>85</v>
      </c>
      <c r="BW787" s="2"/>
      <c r="BX787" s="2"/>
      <c r="BY787" s="2">
        <v>8567.14</v>
      </c>
      <c r="BZ787" s="2" t="s">
        <v>27</v>
      </c>
      <c r="CA787" s="2"/>
      <c r="CB787" s="2"/>
      <c r="CC787" s="2" t="s">
        <v>153</v>
      </c>
      <c r="CD787" s="2">
        <v>7646</v>
      </c>
      <c r="CE787" s="2" t="s">
        <v>86</v>
      </c>
      <c r="CF787" s="5">
        <v>42656</v>
      </c>
      <c r="CG787" s="2"/>
      <c r="CH787" s="2"/>
      <c r="CI787" s="2">
        <v>1</v>
      </c>
      <c r="CJ787" s="2">
        <v>1</v>
      </c>
      <c r="CK787" s="2">
        <v>21</v>
      </c>
      <c r="CL787" s="2" t="s">
        <v>88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"FES1162505737"</f>
        <v>FES1162505737</v>
      </c>
      <c r="F788" s="3">
        <v>42654</v>
      </c>
      <c r="G788" s="2">
        <v>201704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160</v>
      </c>
      <c r="M788" s="2" t="s">
        <v>161</v>
      </c>
      <c r="N788" s="2" t="s">
        <v>980</v>
      </c>
      <c r="O788" s="2" t="s">
        <v>96</v>
      </c>
      <c r="P788" s="2" t="str">
        <f>"2170528617                    "</f>
        <v xml:space="preserve">2170528617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3.32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2</v>
      </c>
      <c r="BJ788" s="2">
        <v>0.2</v>
      </c>
      <c r="BK788" s="2">
        <v>2</v>
      </c>
      <c r="BL788" s="2">
        <v>40.76</v>
      </c>
      <c r="BM788" s="2">
        <v>5.71</v>
      </c>
      <c r="BN788" s="2">
        <v>46.47</v>
      </c>
      <c r="BO788" s="2">
        <v>46.47</v>
      </c>
      <c r="BP788" s="2"/>
      <c r="BQ788" s="2" t="s">
        <v>117</v>
      </c>
      <c r="BR788" s="2" t="s">
        <v>83</v>
      </c>
      <c r="BS788" s="3">
        <v>42655</v>
      </c>
      <c r="BT788" s="4">
        <v>0.35416666666666669</v>
      </c>
      <c r="BU788" s="2" t="s">
        <v>1223</v>
      </c>
      <c r="BV788" s="2" t="s">
        <v>85</v>
      </c>
      <c r="BW788" s="2"/>
      <c r="BX788" s="2"/>
      <c r="BY788" s="2">
        <v>1200</v>
      </c>
      <c r="BZ788" s="2" t="s">
        <v>27</v>
      </c>
      <c r="CA788" s="2"/>
      <c r="CB788" s="2"/>
      <c r="CC788" s="2" t="s">
        <v>161</v>
      </c>
      <c r="CD788" s="2">
        <v>7530</v>
      </c>
      <c r="CE788" s="2" t="s">
        <v>108</v>
      </c>
      <c r="CF788" s="5">
        <v>42656</v>
      </c>
      <c r="CG788" s="2"/>
      <c r="CH788" s="2"/>
      <c r="CI788" s="2">
        <v>1</v>
      </c>
      <c r="CJ788" s="2">
        <v>1</v>
      </c>
      <c r="CK788" s="2">
        <v>21</v>
      </c>
      <c r="CL788" s="2" t="s">
        <v>88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"FES1162505894"</f>
        <v>FES1162505894</v>
      </c>
      <c r="F789" s="3">
        <v>42654</v>
      </c>
      <c r="G789" s="2">
        <v>201704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98</v>
      </c>
      <c r="M789" s="2" t="s">
        <v>99</v>
      </c>
      <c r="N789" s="2" t="s">
        <v>104</v>
      </c>
      <c r="O789" s="2" t="s">
        <v>96</v>
      </c>
      <c r="P789" s="2" t="str">
        <f>"2170529522                    "</f>
        <v xml:space="preserve">2170529522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3.32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1</v>
      </c>
      <c r="BJ789" s="2">
        <v>0.2</v>
      </c>
      <c r="BK789" s="2">
        <v>1</v>
      </c>
      <c r="BL789" s="2">
        <v>40.76</v>
      </c>
      <c r="BM789" s="2">
        <v>5.71</v>
      </c>
      <c r="BN789" s="2">
        <v>46.47</v>
      </c>
      <c r="BO789" s="2">
        <v>46.47</v>
      </c>
      <c r="BP789" s="2"/>
      <c r="BQ789" s="2" t="s">
        <v>105</v>
      </c>
      <c r="BR789" s="2" t="s">
        <v>83</v>
      </c>
      <c r="BS789" s="3">
        <v>42655</v>
      </c>
      <c r="BT789" s="4">
        <v>0.42708333333333331</v>
      </c>
      <c r="BU789" s="2" t="s">
        <v>106</v>
      </c>
      <c r="BV789" s="2" t="s">
        <v>85</v>
      </c>
      <c r="BW789" s="2"/>
      <c r="BX789" s="2"/>
      <c r="BY789" s="2">
        <v>1200</v>
      </c>
      <c r="BZ789" s="2" t="s">
        <v>27</v>
      </c>
      <c r="CA789" s="2" t="s">
        <v>107</v>
      </c>
      <c r="CB789" s="2"/>
      <c r="CC789" s="2" t="s">
        <v>99</v>
      </c>
      <c r="CD789" s="2">
        <v>6001</v>
      </c>
      <c r="CE789" s="2" t="s">
        <v>108</v>
      </c>
      <c r="CF789" s="5">
        <v>42655</v>
      </c>
      <c r="CG789" s="2"/>
      <c r="CH789" s="2"/>
      <c r="CI789" s="2">
        <v>1</v>
      </c>
      <c r="CJ789" s="2">
        <v>1</v>
      </c>
      <c r="CK789" s="2">
        <v>21</v>
      </c>
      <c r="CL789" s="2" t="s">
        <v>88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"FES1162505890"</f>
        <v>FES1162505890</v>
      </c>
      <c r="F790" s="3">
        <v>42654</v>
      </c>
      <c r="G790" s="2">
        <v>201704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171</v>
      </c>
      <c r="M790" s="2" t="s">
        <v>172</v>
      </c>
      <c r="N790" s="2" t="s">
        <v>429</v>
      </c>
      <c r="O790" s="2" t="s">
        <v>96</v>
      </c>
      <c r="P790" s="2" t="str">
        <f>"2170529513                    "</f>
        <v xml:space="preserve">2170529513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3.32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1</v>
      </c>
      <c r="BJ790" s="2">
        <v>0.2</v>
      </c>
      <c r="BK790" s="2">
        <v>1</v>
      </c>
      <c r="BL790" s="2">
        <v>40.76</v>
      </c>
      <c r="BM790" s="2">
        <v>5.71</v>
      </c>
      <c r="BN790" s="2">
        <v>46.47</v>
      </c>
      <c r="BO790" s="2">
        <v>46.47</v>
      </c>
      <c r="BP790" s="2"/>
      <c r="BQ790" s="2" t="s">
        <v>430</v>
      </c>
      <c r="BR790" s="2" t="s">
        <v>83</v>
      </c>
      <c r="BS790" s="3">
        <v>42655</v>
      </c>
      <c r="BT790" s="4">
        <v>0.42708333333333331</v>
      </c>
      <c r="BU790" s="2" t="s">
        <v>1224</v>
      </c>
      <c r="BV790" s="2" t="s">
        <v>85</v>
      </c>
      <c r="BW790" s="2"/>
      <c r="BX790" s="2"/>
      <c r="BY790" s="2">
        <v>1200</v>
      </c>
      <c r="BZ790" s="2" t="s">
        <v>27</v>
      </c>
      <c r="CA790" s="2" t="s">
        <v>129</v>
      </c>
      <c r="CB790" s="2"/>
      <c r="CC790" s="2" t="s">
        <v>172</v>
      </c>
      <c r="CD790" s="2">
        <v>6220</v>
      </c>
      <c r="CE790" s="2" t="s">
        <v>108</v>
      </c>
      <c r="CF790" s="5">
        <v>42656</v>
      </c>
      <c r="CG790" s="2"/>
      <c r="CH790" s="2"/>
      <c r="CI790" s="2">
        <v>1</v>
      </c>
      <c r="CJ790" s="2">
        <v>1</v>
      </c>
      <c r="CK790" s="2">
        <v>21</v>
      </c>
      <c r="CL790" s="2" t="s">
        <v>88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"FES1162505810"</f>
        <v>FES1162505810</v>
      </c>
      <c r="F791" s="3">
        <v>42654</v>
      </c>
      <c r="G791" s="2">
        <v>201704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148</v>
      </c>
      <c r="M791" s="2" t="s">
        <v>149</v>
      </c>
      <c r="N791" s="2" t="s">
        <v>422</v>
      </c>
      <c r="O791" s="2" t="s">
        <v>96</v>
      </c>
      <c r="P791" s="2" t="str">
        <f>"2170527624                    "</f>
        <v xml:space="preserve">2170527624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7.46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2</v>
      </c>
      <c r="BI791" s="2">
        <v>4.5</v>
      </c>
      <c r="BJ791" s="2">
        <v>3.9</v>
      </c>
      <c r="BK791" s="2">
        <v>4.5</v>
      </c>
      <c r="BL791" s="2">
        <v>91.7</v>
      </c>
      <c r="BM791" s="2">
        <v>12.84</v>
      </c>
      <c r="BN791" s="2">
        <v>104.54</v>
      </c>
      <c r="BO791" s="2">
        <v>104.54</v>
      </c>
      <c r="BP791" s="2"/>
      <c r="BQ791" s="2" t="s">
        <v>423</v>
      </c>
      <c r="BR791" s="2" t="s">
        <v>83</v>
      </c>
      <c r="BS791" s="3">
        <v>42655</v>
      </c>
      <c r="BT791" s="4">
        <v>0.4375</v>
      </c>
      <c r="BU791" s="2" t="s">
        <v>238</v>
      </c>
      <c r="BV791" s="2" t="s">
        <v>85</v>
      </c>
      <c r="BW791" s="2"/>
      <c r="BX791" s="2"/>
      <c r="BY791" s="2">
        <v>19532.78</v>
      </c>
      <c r="BZ791" s="2" t="s">
        <v>27</v>
      </c>
      <c r="CA791" s="2"/>
      <c r="CB791" s="2"/>
      <c r="CC791" s="2" t="s">
        <v>149</v>
      </c>
      <c r="CD791" s="2">
        <v>4052</v>
      </c>
      <c r="CE791" s="2" t="s">
        <v>86</v>
      </c>
      <c r="CF791" s="5">
        <v>42656</v>
      </c>
      <c r="CG791" s="2"/>
      <c r="CH791" s="2"/>
      <c r="CI791" s="2">
        <v>1</v>
      </c>
      <c r="CJ791" s="2">
        <v>1</v>
      </c>
      <c r="CK791" s="2">
        <v>21</v>
      </c>
      <c r="CL791" s="2" t="s">
        <v>88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"FES1162505725"</f>
        <v>FES1162505725</v>
      </c>
      <c r="F792" s="3">
        <v>42654</v>
      </c>
      <c r="G792" s="2">
        <v>201704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153</v>
      </c>
      <c r="M792" s="2" t="s">
        <v>153</v>
      </c>
      <c r="N792" s="2" t="s">
        <v>343</v>
      </c>
      <c r="O792" s="2" t="s">
        <v>96</v>
      </c>
      <c r="P792" s="2" t="str">
        <f>"2170528208                    "</f>
        <v xml:space="preserve">2170528208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3.32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</v>
      </c>
      <c r="BJ792" s="2">
        <v>0.2</v>
      </c>
      <c r="BK792" s="2">
        <v>1</v>
      </c>
      <c r="BL792" s="2">
        <v>40.76</v>
      </c>
      <c r="BM792" s="2">
        <v>5.71</v>
      </c>
      <c r="BN792" s="2">
        <v>46.47</v>
      </c>
      <c r="BO792" s="2">
        <v>46.47</v>
      </c>
      <c r="BP792" s="2"/>
      <c r="BQ792" s="2" t="s">
        <v>344</v>
      </c>
      <c r="BR792" s="2" t="s">
        <v>83</v>
      </c>
      <c r="BS792" s="3">
        <v>42655</v>
      </c>
      <c r="BT792" s="4">
        <v>0.4513888888888889</v>
      </c>
      <c r="BU792" s="2" t="s">
        <v>458</v>
      </c>
      <c r="BV792" s="2" t="s">
        <v>85</v>
      </c>
      <c r="BW792" s="2"/>
      <c r="BX792" s="2"/>
      <c r="BY792" s="2">
        <v>1200</v>
      </c>
      <c r="BZ792" s="2" t="s">
        <v>27</v>
      </c>
      <c r="CA792" s="2"/>
      <c r="CB792" s="2"/>
      <c r="CC792" s="2" t="s">
        <v>153</v>
      </c>
      <c r="CD792" s="2">
        <v>7646</v>
      </c>
      <c r="CE792" s="2" t="s">
        <v>108</v>
      </c>
      <c r="CF792" s="5">
        <v>42656</v>
      </c>
      <c r="CG792" s="2"/>
      <c r="CH792" s="2"/>
      <c r="CI792" s="2">
        <v>1</v>
      </c>
      <c r="CJ792" s="2">
        <v>1</v>
      </c>
      <c r="CK792" s="2">
        <v>21</v>
      </c>
      <c r="CL792" s="2" t="s">
        <v>88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"FES1162505952"</f>
        <v>FES1162505952</v>
      </c>
      <c r="F793" s="3">
        <v>42654</v>
      </c>
      <c r="G793" s="2">
        <v>201704</v>
      </c>
      <c r="H793" s="2" t="s">
        <v>74</v>
      </c>
      <c r="I793" s="2" t="s">
        <v>75</v>
      </c>
      <c r="J793" s="2" t="s">
        <v>76</v>
      </c>
      <c r="K793" s="2" t="s">
        <v>77</v>
      </c>
      <c r="L793" s="2" t="s">
        <v>1225</v>
      </c>
      <c r="M793" s="2" t="s">
        <v>1226</v>
      </c>
      <c r="N793" s="2" t="s">
        <v>1227</v>
      </c>
      <c r="O793" s="2" t="s">
        <v>96</v>
      </c>
      <c r="P793" s="2" t="str">
        <f>"2170529566                    "</f>
        <v xml:space="preserve">2170529566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6.43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1</v>
      </c>
      <c r="BJ793" s="2">
        <v>0.2</v>
      </c>
      <c r="BK793" s="2">
        <v>1</v>
      </c>
      <c r="BL793" s="2">
        <v>78.97</v>
      </c>
      <c r="BM793" s="2">
        <v>11.06</v>
      </c>
      <c r="BN793" s="2">
        <v>90.03</v>
      </c>
      <c r="BO793" s="2">
        <v>90.03</v>
      </c>
      <c r="BP793" s="2"/>
      <c r="BQ793" s="2" t="s">
        <v>91</v>
      </c>
      <c r="BR793" s="2" t="s">
        <v>83</v>
      </c>
      <c r="BS793" s="3">
        <v>42655</v>
      </c>
      <c r="BT793" s="4">
        <v>0</v>
      </c>
      <c r="BU793" s="2" t="s">
        <v>1228</v>
      </c>
      <c r="BV793" s="2" t="s">
        <v>85</v>
      </c>
      <c r="BW793" s="2"/>
      <c r="BX793" s="2"/>
      <c r="BY793" s="2">
        <v>1200</v>
      </c>
      <c r="BZ793" s="2" t="s">
        <v>27</v>
      </c>
      <c r="CA793" s="2"/>
      <c r="CB793" s="2"/>
      <c r="CC793" s="2" t="s">
        <v>1226</v>
      </c>
      <c r="CD793" s="2">
        <v>5605</v>
      </c>
      <c r="CE793" s="2" t="s">
        <v>108</v>
      </c>
      <c r="CF793" s="5">
        <v>42660</v>
      </c>
      <c r="CG793" s="2"/>
      <c r="CH793" s="2"/>
      <c r="CI793" s="2">
        <v>4</v>
      </c>
      <c r="CJ793" s="2">
        <v>1</v>
      </c>
      <c r="CK793" s="2">
        <v>23</v>
      </c>
      <c r="CL793" s="2" t="s">
        <v>88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"FES1162505901"</f>
        <v>FES1162505901</v>
      </c>
      <c r="F794" s="3">
        <v>42654</v>
      </c>
      <c r="G794" s="2">
        <v>201704</v>
      </c>
      <c r="H794" s="2" t="s">
        <v>74</v>
      </c>
      <c r="I794" s="2" t="s">
        <v>75</v>
      </c>
      <c r="J794" s="2" t="s">
        <v>76</v>
      </c>
      <c r="K794" s="2" t="s">
        <v>77</v>
      </c>
      <c r="L794" s="2" t="s">
        <v>148</v>
      </c>
      <c r="M794" s="2" t="s">
        <v>149</v>
      </c>
      <c r="N794" s="2" t="s">
        <v>521</v>
      </c>
      <c r="O794" s="2" t="s">
        <v>96</v>
      </c>
      <c r="P794" s="2" t="str">
        <f>"2170529416                    "</f>
        <v xml:space="preserve">2170529416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14.1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8.1</v>
      </c>
      <c r="BJ794" s="2">
        <v>3.6</v>
      </c>
      <c r="BK794" s="2">
        <v>8.5</v>
      </c>
      <c r="BL794" s="2">
        <v>173.22</v>
      </c>
      <c r="BM794" s="2">
        <v>24.25</v>
      </c>
      <c r="BN794" s="2">
        <v>197.47</v>
      </c>
      <c r="BO794" s="2">
        <v>197.47</v>
      </c>
      <c r="BP794" s="2"/>
      <c r="BQ794" s="2" t="s">
        <v>168</v>
      </c>
      <c r="BR794" s="2" t="s">
        <v>83</v>
      </c>
      <c r="BS794" s="3">
        <v>42655</v>
      </c>
      <c r="BT794" s="4">
        <v>0.3430555555555555</v>
      </c>
      <c r="BU794" s="2" t="s">
        <v>1229</v>
      </c>
      <c r="BV794" s="2" t="s">
        <v>85</v>
      </c>
      <c r="BW794" s="2"/>
      <c r="BX794" s="2"/>
      <c r="BY794" s="2">
        <v>17985.32</v>
      </c>
      <c r="BZ794" s="2" t="s">
        <v>27</v>
      </c>
      <c r="CA794" s="2"/>
      <c r="CB794" s="2"/>
      <c r="CC794" s="2" t="s">
        <v>149</v>
      </c>
      <c r="CD794" s="2">
        <v>4052</v>
      </c>
      <c r="CE794" s="2" t="s">
        <v>86</v>
      </c>
      <c r="CF794" s="5">
        <v>42656</v>
      </c>
      <c r="CG794" s="2"/>
      <c r="CH794" s="2"/>
      <c r="CI794" s="2">
        <v>1</v>
      </c>
      <c r="CJ794" s="2">
        <v>1</v>
      </c>
      <c r="CK794" s="2">
        <v>21</v>
      </c>
      <c r="CL794" s="2" t="s">
        <v>88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"FES1162505852"</f>
        <v>FES1162505852</v>
      </c>
      <c r="F795" s="3">
        <v>42654</v>
      </c>
      <c r="G795" s="2">
        <v>201704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269</v>
      </c>
      <c r="M795" s="2" t="s">
        <v>270</v>
      </c>
      <c r="N795" s="2" t="s">
        <v>284</v>
      </c>
      <c r="O795" s="2" t="s">
        <v>96</v>
      </c>
      <c r="P795" s="2" t="str">
        <f>"2170526164                    "</f>
        <v xml:space="preserve">2170526164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17.420000000000002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2</v>
      </c>
      <c r="BI795" s="2">
        <v>10.1</v>
      </c>
      <c r="BJ795" s="2">
        <v>3.2</v>
      </c>
      <c r="BK795" s="2">
        <v>10.5</v>
      </c>
      <c r="BL795" s="2">
        <v>213.98</v>
      </c>
      <c r="BM795" s="2">
        <v>29.96</v>
      </c>
      <c r="BN795" s="2">
        <v>243.94</v>
      </c>
      <c r="BO795" s="2">
        <v>243.94</v>
      </c>
      <c r="BP795" s="2"/>
      <c r="BQ795" s="2" t="s">
        <v>117</v>
      </c>
      <c r="BR795" s="2" t="s">
        <v>83</v>
      </c>
      <c r="BS795" s="3">
        <v>42655</v>
      </c>
      <c r="BT795" s="4">
        <v>0.39583333333333331</v>
      </c>
      <c r="BU795" s="2" t="s">
        <v>285</v>
      </c>
      <c r="BV795" s="2" t="s">
        <v>85</v>
      </c>
      <c r="BW795" s="2"/>
      <c r="BX795" s="2"/>
      <c r="BY795" s="2">
        <v>16114.33</v>
      </c>
      <c r="BZ795" s="2" t="s">
        <v>27</v>
      </c>
      <c r="CA795" s="2"/>
      <c r="CB795" s="2"/>
      <c r="CC795" s="2" t="s">
        <v>270</v>
      </c>
      <c r="CD795" s="2">
        <v>3610</v>
      </c>
      <c r="CE795" s="2" t="s">
        <v>86</v>
      </c>
      <c r="CF795" s="5">
        <v>42656</v>
      </c>
      <c r="CG795" s="2"/>
      <c r="CH795" s="2"/>
      <c r="CI795" s="2">
        <v>1</v>
      </c>
      <c r="CJ795" s="2">
        <v>1</v>
      </c>
      <c r="CK795" s="2">
        <v>21</v>
      </c>
      <c r="CL795" s="2" t="s">
        <v>88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"FES1162505806"</f>
        <v>FES1162505806</v>
      </c>
      <c r="F796" s="3">
        <v>42654</v>
      </c>
      <c r="G796" s="2">
        <v>201704</v>
      </c>
      <c r="H796" s="2" t="s">
        <v>74</v>
      </c>
      <c r="I796" s="2" t="s">
        <v>75</v>
      </c>
      <c r="J796" s="2" t="s">
        <v>76</v>
      </c>
      <c r="K796" s="2" t="s">
        <v>77</v>
      </c>
      <c r="L796" s="2" t="s">
        <v>98</v>
      </c>
      <c r="M796" s="2" t="s">
        <v>99</v>
      </c>
      <c r="N796" s="2" t="s">
        <v>350</v>
      </c>
      <c r="O796" s="2" t="s">
        <v>96</v>
      </c>
      <c r="P796" s="2" t="str">
        <f>"2170529441                    "</f>
        <v xml:space="preserve">2170529441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3.32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1.6</v>
      </c>
      <c r="BJ796" s="2">
        <v>0.2</v>
      </c>
      <c r="BK796" s="2">
        <v>2</v>
      </c>
      <c r="BL796" s="2">
        <v>40.76</v>
      </c>
      <c r="BM796" s="2">
        <v>5.71</v>
      </c>
      <c r="BN796" s="2">
        <v>46.47</v>
      </c>
      <c r="BO796" s="2">
        <v>46.47</v>
      </c>
      <c r="BP796" s="2"/>
      <c r="BQ796" s="2" t="s">
        <v>351</v>
      </c>
      <c r="BR796" s="2" t="s">
        <v>83</v>
      </c>
      <c r="BS796" s="3">
        <v>42655</v>
      </c>
      <c r="BT796" s="4">
        <v>0.3888888888888889</v>
      </c>
      <c r="BU796" s="2" t="s">
        <v>352</v>
      </c>
      <c r="BV796" s="2" t="s">
        <v>85</v>
      </c>
      <c r="BW796" s="2"/>
      <c r="BX796" s="2"/>
      <c r="BY796" s="2">
        <v>1200</v>
      </c>
      <c r="BZ796" s="2" t="s">
        <v>27</v>
      </c>
      <c r="CA796" s="2" t="s">
        <v>107</v>
      </c>
      <c r="CB796" s="2"/>
      <c r="CC796" s="2" t="s">
        <v>99</v>
      </c>
      <c r="CD796" s="2">
        <v>6001</v>
      </c>
      <c r="CE796" s="2" t="s">
        <v>108</v>
      </c>
      <c r="CF796" s="5">
        <v>42655</v>
      </c>
      <c r="CG796" s="2"/>
      <c r="CH796" s="2"/>
      <c r="CI796" s="2">
        <v>1</v>
      </c>
      <c r="CJ796" s="2">
        <v>1</v>
      </c>
      <c r="CK796" s="2">
        <v>21</v>
      </c>
      <c r="CL796" s="2" t="s">
        <v>88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"FES1162505924"</f>
        <v>FES1162505924</v>
      </c>
      <c r="F797" s="3">
        <v>42654</v>
      </c>
      <c r="G797" s="2">
        <v>201704</v>
      </c>
      <c r="H797" s="2" t="s">
        <v>74</v>
      </c>
      <c r="I797" s="2" t="s">
        <v>75</v>
      </c>
      <c r="J797" s="2" t="s">
        <v>76</v>
      </c>
      <c r="K797" s="2" t="s">
        <v>77</v>
      </c>
      <c r="L797" s="2" t="s">
        <v>143</v>
      </c>
      <c r="M797" s="2" t="s">
        <v>144</v>
      </c>
      <c r="N797" s="2" t="s">
        <v>1230</v>
      </c>
      <c r="O797" s="2" t="s">
        <v>96</v>
      </c>
      <c r="P797" s="2" t="str">
        <f>"2170528090                    "</f>
        <v xml:space="preserve">2170528090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11.61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6.9</v>
      </c>
      <c r="BJ797" s="2">
        <v>3.5</v>
      </c>
      <c r="BK797" s="2">
        <v>7</v>
      </c>
      <c r="BL797" s="2">
        <v>142.65</v>
      </c>
      <c r="BM797" s="2">
        <v>19.97</v>
      </c>
      <c r="BN797" s="2">
        <v>162.62</v>
      </c>
      <c r="BO797" s="2">
        <v>162.62</v>
      </c>
      <c r="BP797" s="2"/>
      <c r="BQ797" s="2" t="s">
        <v>82</v>
      </c>
      <c r="BR797" s="2" t="s">
        <v>83</v>
      </c>
      <c r="BS797" s="3">
        <v>42655</v>
      </c>
      <c r="BT797" s="4">
        <v>0.4375</v>
      </c>
      <c r="BU797" s="2" t="s">
        <v>1231</v>
      </c>
      <c r="BV797" s="2" t="s">
        <v>85</v>
      </c>
      <c r="BW797" s="2"/>
      <c r="BX797" s="2"/>
      <c r="BY797" s="2">
        <v>17304.669999999998</v>
      </c>
      <c r="BZ797" s="2" t="s">
        <v>27</v>
      </c>
      <c r="CA797" s="2"/>
      <c r="CB797" s="2"/>
      <c r="CC797" s="2" t="s">
        <v>144</v>
      </c>
      <c r="CD797" s="2">
        <v>5218</v>
      </c>
      <c r="CE797" s="2" t="s">
        <v>86</v>
      </c>
      <c r="CF797" s="5">
        <v>42657</v>
      </c>
      <c r="CG797" s="2"/>
      <c r="CH797" s="2"/>
      <c r="CI797" s="2">
        <v>1</v>
      </c>
      <c r="CJ797" s="2">
        <v>1</v>
      </c>
      <c r="CK797" s="2">
        <v>21</v>
      </c>
      <c r="CL797" s="2" t="s">
        <v>88</v>
      </c>
      <c r="CM797" s="2"/>
    </row>
    <row r="798" spans="1:91">
      <c r="A798" s="2" t="s">
        <v>71</v>
      </c>
      <c r="B798" s="2" t="s">
        <v>72</v>
      </c>
      <c r="C798" s="2" t="s">
        <v>73</v>
      </c>
      <c r="D798" s="2"/>
      <c r="E798" s="2" t="str">
        <f>"FES1162505887"</f>
        <v>FES1162505887</v>
      </c>
      <c r="F798" s="3">
        <v>42654</v>
      </c>
      <c r="G798" s="2">
        <v>201704</v>
      </c>
      <c r="H798" s="2" t="s">
        <v>74</v>
      </c>
      <c r="I798" s="2" t="s">
        <v>75</v>
      </c>
      <c r="J798" s="2" t="s">
        <v>76</v>
      </c>
      <c r="K798" s="2" t="s">
        <v>77</v>
      </c>
      <c r="L798" s="2" t="s">
        <v>148</v>
      </c>
      <c r="M798" s="2" t="s">
        <v>149</v>
      </c>
      <c r="N798" s="2" t="s">
        <v>1232</v>
      </c>
      <c r="O798" s="2" t="s">
        <v>96</v>
      </c>
      <c r="P798" s="2" t="str">
        <f>"2170529512                    "</f>
        <v xml:space="preserve">2170529512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5.81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2.1</v>
      </c>
      <c r="BJ798" s="2">
        <v>3.3</v>
      </c>
      <c r="BK798" s="2">
        <v>3.5</v>
      </c>
      <c r="BL798" s="2">
        <v>71.33</v>
      </c>
      <c r="BM798" s="2">
        <v>9.99</v>
      </c>
      <c r="BN798" s="2">
        <v>81.319999999999993</v>
      </c>
      <c r="BO798" s="2">
        <v>81.319999999999993</v>
      </c>
      <c r="BP798" s="2"/>
      <c r="BQ798" s="2" t="s">
        <v>117</v>
      </c>
      <c r="BR798" s="2" t="s">
        <v>83</v>
      </c>
      <c r="BS798" s="3">
        <v>42655</v>
      </c>
      <c r="BT798" s="4">
        <v>0.4375</v>
      </c>
      <c r="BU798" s="2" t="s">
        <v>1233</v>
      </c>
      <c r="BV798" s="2" t="s">
        <v>85</v>
      </c>
      <c r="BW798" s="2"/>
      <c r="BX798" s="2"/>
      <c r="BY798" s="2">
        <v>16385.580000000002</v>
      </c>
      <c r="BZ798" s="2" t="s">
        <v>27</v>
      </c>
      <c r="CA798" s="2"/>
      <c r="CB798" s="2"/>
      <c r="CC798" s="2" t="s">
        <v>149</v>
      </c>
      <c r="CD798" s="2">
        <v>4068</v>
      </c>
      <c r="CE798" s="2" t="s">
        <v>86</v>
      </c>
      <c r="CF798" s="5">
        <v>42656</v>
      </c>
      <c r="CG798" s="2"/>
      <c r="CH798" s="2"/>
      <c r="CI798" s="2">
        <v>1</v>
      </c>
      <c r="CJ798" s="2">
        <v>1</v>
      </c>
      <c r="CK798" s="2">
        <v>21</v>
      </c>
      <c r="CL798" s="2" t="s">
        <v>88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"FES1162505760"</f>
        <v>FES1162505760</v>
      </c>
      <c r="F799" s="3">
        <v>42654</v>
      </c>
      <c r="G799" s="2">
        <v>201704</v>
      </c>
      <c r="H799" s="2" t="s">
        <v>74</v>
      </c>
      <c r="I799" s="2" t="s">
        <v>75</v>
      </c>
      <c r="J799" s="2" t="s">
        <v>76</v>
      </c>
      <c r="K799" s="2" t="s">
        <v>77</v>
      </c>
      <c r="L799" s="2" t="s">
        <v>98</v>
      </c>
      <c r="M799" s="2" t="s">
        <v>99</v>
      </c>
      <c r="N799" s="2" t="s">
        <v>133</v>
      </c>
      <c r="O799" s="2" t="s">
        <v>96</v>
      </c>
      <c r="P799" s="2" t="str">
        <f>"2170529383                    "</f>
        <v xml:space="preserve">2170529383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3.32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1</v>
      </c>
      <c r="BJ799" s="2">
        <v>0.2</v>
      </c>
      <c r="BK799" s="2">
        <v>1</v>
      </c>
      <c r="BL799" s="2">
        <v>40.76</v>
      </c>
      <c r="BM799" s="2">
        <v>5.71</v>
      </c>
      <c r="BN799" s="2">
        <v>46.47</v>
      </c>
      <c r="BO799" s="2">
        <v>46.47</v>
      </c>
      <c r="BP799" s="2"/>
      <c r="BQ799" s="2" t="s">
        <v>134</v>
      </c>
      <c r="BR799" s="2" t="s">
        <v>83</v>
      </c>
      <c r="BS799" s="3">
        <v>42655</v>
      </c>
      <c r="BT799" s="4">
        <v>0.33333333333333331</v>
      </c>
      <c r="BU799" s="2" t="s">
        <v>881</v>
      </c>
      <c r="BV799" s="2" t="s">
        <v>85</v>
      </c>
      <c r="BW799" s="2"/>
      <c r="BX799" s="2"/>
      <c r="BY799" s="2">
        <v>1200</v>
      </c>
      <c r="BZ799" s="2" t="s">
        <v>27</v>
      </c>
      <c r="CA799" s="2"/>
      <c r="CB799" s="2"/>
      <c r="CC799" s="2" t="s">
        <v>99</v>
      </c>
      <c r="CD799" s="2">
        <v>6001</v>
      </c>
      <c r="CE799" s="2" t="s">
        <v>108</v>
      </c>
      <c r="CF799" s="5">
        <v>42656</v>
      </c>
      <c r="CG799" s="2"/>
      <c r="CH799" s="2"/>
      <c r="CI799" s="2">
        <v>1</v>
      </c>
      <c r="CJ799" s="2">
        <v>1</v>
      </c>
      <c r="CK799" s="2">
        <v>21</v>
      </c>
      <c r="CL799" s="2" t="s">
        <v>88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"FES1162505821"</f>
        <v>FES1162505821</v>
      </c>
      <c r="F800" s="3">
        <v>42654</v>
      </c>
      <c r="G800" s="2">
        <v>201704</v>
      </c>
      <c r="H800" s="2" t="s">
        <v>74</v>
      </c>
      <c r="I800" s="2" t="s">
        <v>75</v>
      </c>
      <c r="J800" s="2" t="s">
        <v>76</v>
      </c>
      <c r="K800" s="2" t="s">
        <v>77</v>
      </c>
      <c r="L800" s="2" t="s">
        <v>93</v>
      </c>
      <c r="M800" s="2" t="s">
        <v>94</v>
      </c>
      <c r="N800" s="2" t="s">
        <v>536</v>
      </c>
      <c r="O800" s="2" t="s">
        <v>96</v>
      </c>
      <c r="P800" s="2" t="str">
        <f>"2170529453                    "</f>
        <v xml:space="preserve">2170529453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6.63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3.7</v>
      </c>
      <c r="BJ800" s="2">
        <v>1</v>
      </c>
      <c r="BK800" s="2">
        <v>4</v>
      </c>
      <c r="BL800" s="2">
        <v>81.510000000000005</v>
      </c>
      <c r="BM800" s="2">
        <v>11.41</v>
      </c>
      <c r="BN800" s="2">
        <v>92.92</v>
      </c>
      <c r="BO800" s="2">
        <v>92.92</v>
      </c>
      <c r="BP800" s="2"/>
      <c r="BQ800" s="2" t="s">
        <v>537</v>
      </c>
      <c r="BR800" s="2" t="s">
        <v>83</v>
      </c>
      <c r="BS800" s="3">
        <v>42655</v>
      </c>
      <c r="BT800" s="4">
        <v>0.4375</v>
      </c>
      <c r="BU800" s="2" t="s">
        <v>540</v>
      </c>
      <c r="BV800" s="2" t="s">
        <v>85</v>
      </c>
      <c r="BW800" s="2"/>
      <c r="BX800" s="2"/>
      <c r="BY800" s="2">
        <v>5165.34</v>
      </c>
      <c r="BZ800" s="2" t="s">
        <v>27</v>
      </c>
      <c r="CA800" s="2"/>
      <c r="CB800" s="2"/>
      <c r="CC800" s="2" t="s">
        <v>94</v>
      </c>
      <c r="CD800" s="2">
        <v>4300</v>
      </c>
      <c r="CE800" s="2" t="s">
        <v>86</v>
      </c>
      <c r="CF800" s="5">
        <v>42656</v>
      </c>
      <c r="CG800" s="2"/>
      <c r="CH800" s="2"/>
      <c r="CI800" s="2">
        <v>1</v>
      </c>
      <c r="CJ800" s="2">
        <v>1</v>
      </c>
      <c r="CK800" s="2">
        <v>21</v>
      </c>
      <c r="CL800" s="2" t="s">
        <v>88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"FES1162505834"</f>
        <v>FES1162505834</v>
      </c>
      <c r="F801" s="3">
        <v>42654</v>
      </c>
      <c r="G801" s="2">
        <v>201704</v>
      </c>
      <c r="H801" s="2" t="s">
        <v>74</v>
      </c>
      <c r="I801" s="2" t="s">
        <v>75</v>
      </c>
      <c r="J801" s="2" t="s">
        <v>76</v>
      </c>
      <c r="K801" s="2" t="s">
        <v>77</v>
      </c>
      <c r="L801" s="2" t="s">
        <v>269</v>
      </c>
      <c r="M801" s="2" t="s">
        <v>270</v>
      </c>
      <c r="N801" s="2" t="s">
        <v>299</v>
      </c>
      <c r="O801" s="2" t="s">
        <v>96</v>
      </c>
      <c r="P801" s="2" t="str">
        <f>"2170529462                    "</f>
        <v xml:space="preserve">2170529462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6.63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3.7</v>
      </c>
      <c r="BJ801" s="2">
        <v>1.8</v>
      </c>
      <c r="BK801" s="2">
        <v>4</v>
      </c>
      <c r="BL801" s="2">
        <v>81.510000000000005</v>
      </c>
      <c r="BM801" s="2">
        <v>11.41</v>
      </c>
      <c r="BN801" s="2">
        <v>92.92</v>
      </c>
      <c r="BO801" s="2">
        <v>92.92</v>
      </c>
      <c r="BP801" s="2"/>
      <c r="BQ801" s="2" t="s">
        <v>300</v>
      </c>
      <c r="BR801" s="2" t="s">
        <v>83</v>
      </c>
      <c r="BS801" s="3">
        <v>42655</v>
      </c>
      <c r="BT801" s="4">
        <v>0.4375</v>
      </c>
      <c r="BU801" s="2" t="s">
        <v>724</v>
      </c>
      <c r="BV801" s="2" t="s">
        <v>85</v>
      </c>
      <c r="BW801" s="2"/>
      <c r="BX801" s="2"/>
      <c r="BY801" s="2">
        <v>9154.2800000000007</v>
      </c>
      <c r="BZ801" s="2" t="s">
        <v>27</v>
      </c>
      <c r="CA801" s="2" t="s">
        <v>129</v>
      </c>
      <c r="CB801" s="2"/>
      <c r="CC801" s="2" t="s">
        <v>270</v>
      </c>
      <c r="CD801" s="2">
        <v>3610</v>
      </c>
      <c r="CE801" s="2" t="s">
        <v>86</v>
      </c>
      <c r="CF801" s="5">
        <v>42656</v>
      </c>
      <c r="CG801" s="2"/>
      <c r="CH801" s="2"/>
      <c r="CI801" s="2">
        <v>1</v>
      </c>
      <c r="CJ801" s="2">
        <v>1</v>
      </c>
      <c r="CK801" s="2">
        <v>21</v>
      </c>
      <c r="CL801" s="2" t="s">
        <v>88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"FES1162505664"</f>
        <v>FES1162505664</v>
      </c>
      <c r="F802" s="3">
        <v>42654</v>
      </c>
      <c r="G802" s="2">
        <v>201704</v>
      </c>
      <c r="H802" s="2" t="s">
        <v>74</v>
      </c>
      <c r="I802" s="2" t="s">
        <v>75</v>
      </c>
      <c r="J802" s="2" t="s">
        <v>76</v>
      </c>
      <c r="K802" s="2" t="s">
        <v>77</v>
      </c>
      <c r="L802" s="2" t="s">
        <v>119</v>
      </c>
      <c r="M802" s="2" t="s">
        <v>120</v>
      </c>
      <c r="N802" s="2" t="s">
        <v>1234</v>
      </c>
      <c r="O802" s="2" t="s">
        <v>96</v>
      </c>
      <c r="P802" s="2" t="str">
        <f>"2170529332                    "</f>
        <v xml:space="preserve">2170529332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3.32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1</v>
      </c>
      <c r="BJ802" s="2">
        <v>0.2</v>
      </c>
      <c r="BK802" s="2">
        <v>1</v>
      </c>
      <c r="BL802" s="2">
        <v>40.76</v>
      </c>
      <c r="BM802" s="2">
        <v>5.71</v>
      </c>
      <c r="BN802" s="2">
        <v>46.47</v>
      </c>
      <c r="BO802" s="2">
        <v>46.47</v>
      </c>
      <c r="BP802" s="2"/>
      <c r="BQ802" s="2" t="s">
        <v>82</v>
      </c>
      <c r="BR802" s="2" t="s">
        <v>83</v>
      </c>
      <c r="BS802" s="3">
        <v>42655</v>
      </c>
      <c r="BT802" s="4">
        <v>0.40763888888888888</v>
      </c>
      <c r="BU802" s="2" t="s">
        <v>460</v>
      </c>
      <c r="BV802" s="2" t="s">
        <v>85</v>
      </c>
      <c r="BW802" s="2"/>
      <c r="BX802" s="2"/>
      <c r="BY802" s="2">
        <v>1200</v>
      </c>
      <c r="BZ802" s="2" t="s">
        <v>27</v>
      </c>
      <c r="CA802" s="2"/>
      <c r="CB802" s="2"/>
      <c r="CC802" s="2" t="s">
        <v>120</v>
      </c>
      <c r="CD802" s="2">
        <v>6229</v>
      </c>
      <c r="CE802" s="2" t="s">
        <v>108</v>
      </c>
      <c r="CF802" s="5">
        <v>42656</v>
      </c>
      <c r="CG802" s="2"/>
      <c r="CH802" s="2"/>
      <c r="CI802" s="2">
        <v>1</v>
      </c>
      <c r="CJ802" s="2">
        <v>1</v>
      </c>
      <c r="CK802" s="2">
        <v>21</v>
      </c>
      <c r="CL802" s="2" t="s">
        <v>88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"FES1162505663"</f>
        <v>FES1162505663</v>
      </c>
      <c r="F803" s="3">
        <v>42654</v>
      </c>
      <c r="G803" s="2">
        <v>201704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119</v>
      </c>
      <c r="M803" s="2" t="s">
        <v>120</v>
      </c>
      <c r="N803" s="2" t="s">
        <v>1234</v>
      </c>
      <c r="O803" s="2" t="s">
        <v>96</v>
      </c>
      <c r="P803" s="2" t="str">
        <f>"2170529279                    "</f>
        <v xml:space="preserve">2170529279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3.32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1</v>
      </c>
      <c r="BJ803" s="2">
        <v>0.2</v>
      </c>
      <c r="BK803" s="2">
        <v>1</v>
      </c>
      <c r="BL803" s="2">
        <v>40.76</v>
      </c>
      <c r="BM803" s="2">
        <v>5.71</v>
      </c>
      <c r="BN803" s="2">
        <v>46.47</v>
      </c>
      <c r="BO803" s="2">
        <v>46.47</v>
      </c>
      <c r="BP803" s="2"/>
      <c r="BQ803" s="2" t="s">
        <v>82</v>
      </c>
      <c r="BR803" s="2" t="s">
        <v>83</v>
      </c>
      <c r="BS803" s="3">
        <v>42655</v>
      </c>
      <c r="BT803" s="4">
        <v>0.40763888888888888</v>
      </c>
      <c r="BU803" s="2" t="s">
        <v>1235</v>
      </c>
      <c r="BV803" s="2" t="s">
        <v>85</v>
      </c>
      <c r="BW803" s="2"/>
      <c r="BX803" s="2"/>
      <c r="BY803" s="2">
        <v>1200</v>
      </c>
      <c r="BZ803" s="2" t="s">
        <v>27</v>
      </c>
      <c r="CA803" s="2"/>
      <c r="CB803" s="2"/>
      <c r="CC803" s="2" t="s">
        <v>120</v>
      </c>
      <c r="CD803" s="2">
        <v>6229</v>
      </c>
      <c r="CE803" s="2" t="s">
        <v>108</v>
      </c>
      <c r="CF803" s="5">
        <v>42656</v>
      </c>
      <c r="CG803" s="2"/>
      <c r="CH803" s="2"/>
      <c r="CI803" s="2">
        <v>1</v>
      </c>
      <c r="CJ803" s="2">
        <v>1</v>
      </c>
      <c r="CK803" s="2">
        <v>21</v>
      </c>
      <c r="CL803" s="2" t="s">
        <v>88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"FES1162505848"</f>
        <v>FES1162505848</v>
      </c>
      <c r="F804" s="3">
        <v>42654</v>
      </c>
      <c r="G804" s="2">
        <v>201704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160</v>
      </c>
      <c r="M804" s="2" t="s">
        <v>161</v>
      </c>
      <c r="N804" s="2" t="s">
        <v>244</v>
      </c>
      <c r="O804" s="2" t="s">
        <v>96</v>
      </c>
      <c r="P804" s="2" t="str">
        <f>"2170526177                    "</f>
        <v xml:space="preserve">2170526177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24.05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13.9</v>
      </c>
      <c r="BJ804" s="2">
        <v>14.2</v>
      </c>
      <c r="BK804" s="2">
        <v>14.5</v>
      </c>
      <c r="BL804" s="2">
        <v>295.49</v>
      </c>
      <c r="BM804" s="2">
        <v>41.37</v>
      </c>
      <c r="BN804" s="2">
        <v>336.86</v>
      </c>
      <c r="BO804" s="2">
        <v>336.86</v>
      </c>
      <c r="BP804" s="2"/>
      <c r="BQ804" s="2" t="s">
        <v>117</v>
      </c>
      <c r="BR804" s="2" t="s">
        <v>83</v>
      </c>
      <c r="BS804" s="3">
        <v>42655</v>
      </c>
      <c r="BT804" s="4">
        <v>0.42708333333333331</v>
      </c>
      <c r="BU804" s="2" t="s">
        <v>1236</v>
      </c>
      <c r="BV804" s="2" t="s">
        <v>85</v>
      </c>
      <c r="BW804" s="2"/>
      <c r="BX804" s="2"/>
      <c r="BY804" s="2">
        <v>70906.080000000002</v>
      </c>
      <c r="BZ804" s="2" t="s">
        <v>27</v>
      </c>
      <c r="CA804" s="2" t="s">
        <v>129</v>
      </c>
      <c r="CB804" s="2"/>
      <c r="CC804" s="2" t="s">
        <v>161</v>
      </c>
      <c r="CD804" s="2">
        <v>7800</v>
      </c>
      <c r="CE804" s="2" t="s">
        <v>86</v>
      </c>
      <c r="CF804" s="5">
        <v>42656</v>
      </c>
      <c r="CG804" s="2"/>
      <c r="CH804" s="2"/>
      <c r="CI804" s="2">
        <v>1</v>
      </c>
      <c r="CJ804" s="2">
        <v>1</v>
      </c>
      <c r="CK804" s="2">
        <v>21</v>
      </c>
      <c r="CL804" s="2" t="s">
        <v>88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"FES1162505844"</f>
        <v>FES1162505844</v>
      </c>
      <c r="F805" s="3">
        <v>42654</v>
      </c>
      <c r="G805" s="2">
        <v>201704</v>
      </c>
      <c r="H805" s="2" t="s">
        <v>74</v>
      </c>
      <c r="I805" s="2" t="s">
        <v>75</v>
      </c>
      <c r="J805" s="2" t="s">
        <v>76</v>
      </c>
      <c r="K805" s="2" t="s">
        <v>77</v>
      </c>
      <c r="L805" s="2" t="s">
        <v>269</v>
      </c>
      <c r="M805" s="2" t="s">
        <v>270</v>
      </c>
      <c r="N805" s="2" t="s">
        <v>565</v>
      </c>
      <c r="O805" s="2" t="s">
        <v>96</v>
      </c>
      <c r="P805" s="2" t="str">
        <f>"2170526724                    "</f>
        <v xml:space="preserve">2170526724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3.32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1.5</v>
      </c>
      <c r="BJ805" s="2">
        <v>1.3</v>
      </c>
      <c r="BK805" s="2">
        <v>1.5</v>
      </c>
      <c r="BL805" s="2">
        <v>40.76</v>
      </c>
      <c r="BM805" s="2">
        <v>5.71</v>
      </c>
      <c r="BN805" s="2">
        <v>46.47</v>
      </c>
      <c r="BO805" s="2">
        <v>46.47</v>
      </c>
      <c r="BP805" s="2"/>
      <c r="BQ805" s="2" t="s">
        <v>566</v>
      </c>
      <c r="BR805" s="2" t="s">
        <v>83</v>
      </c>
      <c r="BS805" s="3">
        <v>42655</v>
      </c>
      <c r="BT805" s="4">
        <v>0.40833333333333338</v>
      </c>
      <c r="BU805" s="2" t="s">
        <v>1237</v>
      </c>
      <c r="BV805" s="2" t="s">
        <v>85</v>
      </c>
      <c r="BW805" s="2"/>
      <c r="BX805" s="2"/>
      <c r="BY805" s="2">
        <v>6353.95</v>
      </c>
      <c r="BZ805" s="2" t="s">
        <v>27</v>
      </c>
      <c r="CA805" s="2"/>
      <c r="CB805" s="2"/>
      <c r="CC805" s="2" t="s">
        <v>270</v>
      </c>
      <c r="CD805" s="2">
        <v>3620</v>
      </c>
      <c r="CE805" s="2" t="s">
        <v>86</v>
      </c>
      <c r="CF805" s="5">
        <v>42656</v>
      </c>
      <c r="CG805" s="2"/>
      <c r="CH805" s="2"/>
      <c r="CI805" s="2">
        <v>1</v>
      </c>
      <c r="CJ805" s="2">
        <v>1</v>
      </c>
      <c r="CK805" s="2">
        <v>21</v>
      </c>
      <c r="CL805" s="2" t="s">
        <v>88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"FES1162505854"</f>
        <v>FES1162505854</v>
      </c>
      <c r="F806" s="3">
        <v>42654</v>
      </c>
      <c r="G806" s="2">
        <v>201704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160</v>
      </c>
      <c r="M806" s="2" t="s">
        <v>161</v>
      </c>
      <c r="N806" s="2" t="s">
        <v>1238</v>
      </c>
      <c r="O806" s="2" t="s">
        <v>96</v>
      </c>
      <c r="P806" s="2" t="str">
        <f>"2170529475                    "</f>
        <v xml:space="preserve">2170529475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7.46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4.2</v>
      </c>
      <c r="BJ806" s="2">
        <v>3.3</v>
      </c>
      <c r="BK806" s="2">
        <v>4.5</v>
      </c>
      <c r="BL806" s="2">
        <v>91.7</v>
      </c>
      <c r="BM806" s="2">
        <v>12.84</v>
      </c>
      <c r="BN806" s="2">
        <v>104.54</v>
      </c>
      <c r="BO806" s="2">
        <v>104.54</v>
      </c>
      <c r="BP806" s="2"/>
      <c r="BQ806" s="2" t="s">
        <v>91</v>
      </c>
      <c r="BR806" s="2" t="s">
        <v>83</v>
      </c>
      <c r="BS806" s="3">
        <v>42655</v>
      </c>
      <c r="BT806" s="4">
        <v>0.41666666666666669</v>
      </c>
      <c r="BU806" s="2" t="s">
        <v>1239</v>
      </c>
      <c r="BV806" s="2" t="s">
        <v>85</v>
      </c>
      <c r="BW806" s="2"/>
      <c r="BX806" s="2"/>
      <c r="BY806" s="2">
        <v>16412.55</v>
      </c>
      <c r="BZ806" s="2" t="s">
        <v>27</v>
      </c>
      <c r="CA806" s="2"/>
      <c r="CB806" s="2"/>
      <c r="CC806" s="2" t="s">
        <v>161</v>
      </c>
      <c r="CD806" s="2">
        <v>7405</v>
      </c>
      <c r="CE806" s="2" t="s">
        <v>86</v>
      </c>
      <c r="CF806" s="5">
        <v>42656</v>
      </c>
      <c r="CG806" s="2"/>
      <c r="CH806" s="2"/>
      <c r="CI806" s="2">
        <v>1</v>
      </c>
      <c r="CJ806" s="2">
        <v>1</v>
      </c>
      <c r="CK806" s="2">
        <v>21</v>
      </c>
      <c r="CL806" s="2" t="s">
        <v>88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"FES1162505855"</f>
        <v>FES1162505855</v>
      </c>
      <c r="F807" s="3">
        <v>42654</v>
      </c>
      <c r="G807" s="2">
        <v>201704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160</v>
      </c>
      <c r="M807" s="2" t="s">
        <v>161</v>
      </c>
      <c r="N807" s="2" t="s">
        <v>1240</v>
      </c>
      <c r="O807" s="2" t="s">
        <v>96</v>
      </c>
      <c r="P807" s="2" t="str">
        <f>"2170529476                    "</f>
        <v xml:space="preserve">2170529476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3.32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</v>
      </c>
      <c r="BJ807" s="2">
        <v>0.2</v>
      </c>
      <c r="BK807" s="2">
        <v>1</v>
      </c>
      <c r="BL807" s="2">
        <v>40.76</v>
      </c>
      <c r="BM807" s="2">
        <v>5.71</v>
      </c>
      <c r="BN807" s="2">
        <v>46.47</v>
      </c>
      <c r="BO807" s="2">
        <v>46.47</v>
      </c>
      <c r="BP807" s="2"/>
      <c r="BQ807" s="2" t="s">
        <v>1241</v>
      </c>
      <c r="BR807" s="2" t="s">
        <v>83</v>
      </c>
      <c r="BS807" s="3">
        <v>42655</v>
      </c>
      <c r="BT807" s="4">
        <v>0.41666666666666669</v>
      </c>
      <c r="BU807" s="2" t="s">
        <v>1242</v>
      </c>
      <c r="BV807" s="2" t="s">
        <v>85</v>
      </c>
      <c r="BW807" s="2"/>
      <c r="BX807" s="2"/>
      <c r="BY807" s="2">
        <v>1200</v>
      </c>
      <c r="BZ807" s="2" t="s">
        <v>27</v>
      </c>
      <c r="CA807" s="2"/>
      <c r="CB807" s="2"/>
      <c r="CC807" s="2" t="s">
        <v>161</v>
      </c>
      <c r="CD807" s="2">
        <v>7405</v>
      </c>
      <c r="CE807" s="2" t="s">
        <v>108</v>
      </c>
      <c r="CF807" s="5">
        <v>42656</v>
      </c>
      <c r="CG807" s="2"/>
      <c r="CH807" s="2"/>
      <c r="CI807" s="2">
        <v>1</v>
      </c>
      <c r="CJ807" s="2">
        <v>1</v>
      </c>
      <c r="CK807" s="2">
        <v>21</v>
      </c>
      <c r="CL807" s="2" t="s">
        <v>88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"FES1162505805"</f>
        <v>FES1162505805</v>
      </c>
      <c r="F808" s="3">
        <v>42654</v>
      </c>
      <c r="G808" s="2">
        <v>201704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269</v>
      </c>
      <c r="M808" s="2" t="s">
        <v>270</v>
      </c>
      <c r="N808" s="2" t="s">
        <v>299</v>
      </c>
      <c r="O808" s="2" t="s">
        <v>96</v>
      </c>
      <c r="P808" s="2" t="str">
        <f>"2170529440                    "</f>
        <v xml:space="preserve">2170529440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4.1500000000000004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2.2999999999999998</v>
      </c>
      <c r="BJ808" s="2">
        <v>1</v>
      </c>
      <c r="BK808" s="2">
        <v>2.5</v>
      </c>
      <c r="BL808" s="2">
        <v>50.95</v>
      </c>
      <c r="BM808" s="2">
        <v>7.13</v>
      </c>
      <c r="BN808" s="2">
        <v>58.08</v>
      </c>
      <c r="BO808" s="2">
        <v>58.08</v>
      </c>
      <c r="BP808" s="2"/>
      <c r="BQ808" s="2" t="s">
        <v>300</v>
      </c>
      <c r="BR808" s="2" t="s">
        <v>83</v>
      </c>
      <c r="BS808" s="3">
        <v>42655</v>
      </c>
      <c r="BT808" s="4">
        <v>0.4375</v>
      </c>
      <c r="BU808" s="2" t="s">
        <v>724</v>
      </c>
      <c r="BV808" s="2" t="s">
        <v>85</v>
      </c>
      <c r="BW808" s="2"/>
      <c r="BX808" s="2"/>
      <c r="BY808" s="2">
        <v>5060.46</v>
      </c>
      <c r="BZ808" s="2" t="s">
        <v>27</v>
      </c>
      <c r="CA808" s="2" t="s">
        <v>129</v>
      </c>
      <c r="CB808" s="2"/>
      <c r="CC808" s="2" t="s">
        <v>270</v>
      </c>
      <c r="CD808" s="2">
        <v>3610</v>
      </c>
      <c r="CE808" s="2" t="s">
        <v>86</v>
      </c>
      <c r="CF808" s="5">
        <v>42656</v>
      </c>
      <c r="CG808" s="2"/>
      <c r="CH808" s="2"/>
      <c r="CI808" s="2">
        <v>1</v>
      </c>
      <c r="CJ808" s="2">
        <v>1</v>
      </c>
      <c r="CK808" s="2">
        <v>21</v>
      </c>
      <c r="CL808" s="2" t="s">
        <v>88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"FES1162505753"</f>
        <v>FES1162505753</v>
      </c>
      <c r="F809" s="3">
        <v>42654</v>
      </c>
      <c r="G809" s="2">
        <v>201704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269</v>
      </c>
      <c r="M809" s="2" t="s">
        <v>270</v>
      </c>
      <c r="N809" s="2" t="s">
        <v>946</v>
      </c>
      <c r="O809" s="2" t="s">
        <v>96</v>
      </c>
      <c r="P809" s="2" t="str">
        <f>"2170529331                    "</f>
        <v xml:space="preserve">2170529331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3.32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</v>
      </c>
      <c r="BJ809" s="2">
        <v>0.2</v>
      </c>
      <c r="BK809" s="2">
        <v>1</v>
      </c>
      <c r="BL809" s="2">
        <v>40.76</v>
      </c>
      <c r="BM809" s="2">
        <v>5.71</v>
      </c>
      <c r="BN809" s="2">
        <v>46.47</v>
      </c>
      <c r="BO809" s="2">
        <v>46.47</v>
      </c>
      <c r="BP809" s="2"/>
      <c r="BQ809" s="2" t="s">
        <v>91</v>
      </c>
      <c r="BR809" s="2" t="s">
        <v>83</v>
      </c>
      <c r="BS809" s="3">
        <v>42655</v>
      </c>
      <c r="BT809" s="4">
        <v>0.40208333333333335</v>
      </c>
      <c r="BU809" s="2" t="s">
        <v>1243</v>
      </c>
      <c r="BV809" s="2" t="s">
        <v>85</v>
      </c>
      <c r="BW809" s="2"/>
      <c r="BX809" s="2"/>
      <c r="BY809" s="2">
        <v>1200</v>
      </c>
      <c r="BZ809" s="2" t="s">
        <v>27</v>
      </c>
      <c r="CA809" s="2"/>
      <c r="CB809" s="2"/>
      <c r="CC809" s="2" t="s">
        <v>270</v>
      </c>
      <c r="CD809" s="2">
        <v>3610</v>
      </c>
      <c r="CE809" s="2" t="s">
        <v>108</v>
      </c>
      <c r="CF809" s="5">
        <v>42656</v>
      </c>
      <c r="CG809" s="2"/>
      <c r="CH809" s="2"/>
      <c r="CI809" s="2">
        <v>1</v>
      </c>
      <c r="CJ809" s="2">
        <v>1</v>
      </c>
      <c r="CK809" s="2">
        <v>21</v>
      </c>
      <c r="CL809" s="2" t="s">
        <v>88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"FES1162505863"</f>
        <v>FES1162505863</v>
      </c>
      <c r="F810" s="3">
        <v>42654</v>
      </c>
      <c r="G810" s="2">
        <v>201704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160</v>
      </c>
      <c r="M810" s="2" t="s">
        <v>161</v>
      </c>
      <c r="N810" s="2" t="s">
        <v>267</v>
      </c>
      <c r="O810" s="2" t="s">
        <v>96</v>
      </c>
      <c r="P810" s="2" t="str">
        <f>"2170529486                    "</f>
        <v xml:space="preserve">2170529486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3.32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1</v>
      </c>
      <c r="BJ810" s="2">
        <v>0.2</v>
      </c>
      <c r="BK810" s="2">
        <v>1</v>
      </c>
      <c r="BL810" s="2">
        <v>40.76</v>
      </c>
      <c r="BM810" s="2">
        <v>5.71</v>
      </c>
      <c r="BN810" s="2">
        <v>46.47</v>
      </c>
      <c r="BO810" s="2">
        <v>46.47</v>
      </c>
      <c r="BP810" s="2"/>
      <c r="BQ810" s="2" t="s">
        <v>117</v>
      </c>
      <c r="BR810" s="2" t="s">
        <v>83</v>
      </c>
      <c r="BS810" s="3">
        <v>42655</v>
      </c>
      <c r="BT810" s="4">
        <v>0.375</v>
      </c>
      <c r="BU810" s="2" t="s">
        <v>1244</v>
      </c>
      <c r="BV810" s="2" t="s">
        <v>85</v>
      </c>
      <c r="BW810" s="2"/>
      <c r="BX810" s="2"/>
      <c r="BY810" s="2">
        <v>1200</v>
      </c>
      <c r="BZ810" s="2" t="s">
        <v>27</v>
      </c>
      <c r="CA810" s="2" t="s">
        <v>129</v>
      </c>
      <c r="CB810" s="2"/>
      <c r="CC810" s="2" t="s">
        <v>161</v>
      </c>
      <c r="CD810" s="2">
        <v>7441</v>
      </c>
      <c r="CE810" s="2" t="s">
        <v>108</v>
      </c>
      <c r="CF810" s="5">
        <v>42656</v>
      </c>
      <c r="CG810" s="2"/>
      <c r="CH810" s="2"/>
      <c r="CI810" s="2">
        <v>1</v>
      </c>
      <c r="CJ810" s="2">
        <v>1</v>
      </c>
      <c r="CK810" s="2">
        <v>21</v>
      </c>
      <c r="CL810" s="2" t="s">
        <v>88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"FES1162505758"</f>
        <v>FES1162505758</v>
      </c>
      <c r="F811" s="3">
        <v>42654</v>
      </c>
      <c r="G811" s="2">
        <v>201704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269</v>
      </c>
      <c r="M811" s="2" t="s">
        <v>270</v>
      </c>
      <c r="N811" s="2" t="s">
        <v>1245</v>
      </c>
      <c r="O811" s="2" t="s">
        <v>96</v>
      </c>
      <c r="P811" s="2" t="str">
        <f>"2170529380                    "</f>
        <v xml:space="preserve">2170529380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3.32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1</v>
      </c>
      <c r="BJ811" s="2">
        <v>0.2</v>
      </c>
      <c r="BK811" s="2">
        <v>1</v>
      </c>
      <c r="BL811" s="2">
        <v>40.76</v>
      </c>
      <c r="BM811" s="2">
        <v>5.71</v>
      </c>
      <c r="BN811" s="2">
        <v>46.47</v>
      </c>
      <c r="BO811" s="2">
        <v>46.47</v>
      </c>
      <c r="BP811" s="2"/>
      <c r="BQ811" s="2" t="s">
        <v>91</v>
      </c>
      <c r="BR811" s="2" t="s">
        <v>83</v>
      </c>
      <c r="BS811" s="3">
        <v>42655</v>
      </c>
      <c r="BT811" s="4">
        <v>0.38611111111111113</v>
      </c>
      <c r="BU811" s="2" t="s">
        <v>1246</v>
      </c>
      <c r="BV811" s="2"/>
      <c r="BW811" s="2"/>
      <c r="BX811" s="2"/>
      <c r="BY811" s="2">
        <v>1200</v>
      </c>
      <c r="BZ811" s="2" t="s">
        <v>27</v>
      </c>
      <c r="CA811" s="2"/>
      <c r="CB811" s="2"/>
      <c r="CC811" s="2" t="s">
        <v>270</v>
      </c>
      <c r="CD811" s="2">
        <v>4037</v>
      </c>
      <c r="CE811" s="2" t="s">
        <v>108</v>
      </c>
      <c r="CF811" s="5">
        <v>42656</v>
      </c>
      <c r="CG811" s="2"/>
      <c r="CH811" s="2"/>
      <c r="CI811" s="2">
        <v>0</v>
      </c>
      <c r="CJ811" s="2">
        <v>0</v>
      </c>
      <c r="CK811" s="2">
        <v>21</v>
      </c>
      <c r="CL811" s="2" t="s">
        <v>88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"FES1162505886"</f>
        <v>FES1162505886</v>
      </c>
      <c r="F812" s="3">
        <v>42654</v>
      </c>
      <c r="G812" s="2">
        <v>201704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1122</v>
      </c>
      <c r="M812" s="2" t="s">
        <v>1123</v>
      </c>
      <c r="N812" s="2" t="s">
        <v>1124</v>
      </c>
      <c r="O812" s="2" t="s">
        <v>96</v>
      </c>
      <c r="P812" s="2" t="str">
        <f>"2170529511                    "</f>
        <v xml:space="preserve">2170529511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3.32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40.76</v>
      </c>
      <c r="BM812" s="2">
        <v>5.71</v>
      </c>
      <c r="BN812" s="2">
        <v>46.47</v>
      </c>
      <c r="BO812" s="2">
        <v>46.47</v>
      </c>
      <c r="BP812" s="2"/>
      <c r="BQ812" s="2" t="s">
        <v>1125</v>
      </c>
      <c r="BR812" s="2" t="s">
        <v>83</v>
      </c>
      <c r="BS812" s="3">
        <v>42655</v>
      </c>
      <c r="BT812" s="4">
        <v>0.41666666666666669</v>
      </c>
      <c r="BU812" s="2" t="s">
        <v>1247</v>
      </c>
      <c r="BV812" s="2" t="s">
        <v>85</v>
      </c>
      <c r="BW812" s="2"/>
      <c r="BX812" s="2"/>
      <c r="BY812" s="2">
        <v>1200</v>
      </c>
      <c r="BZ812" s="2" t="s">
        <v>27</v>
      </c>
      <c r="CA812" s="2" t="s">
        <v>129</v>
      </c>
      <c r="CB812" s="2"/>
      <c r="CC812" s="2" t="s">
        <v>1123</v>
      </c>
      <c r="CD812" s="2">
        <v>1911</v>
      </c>
      <c r="CE812" s="2" t="s">
        <v>108</v>
      </c>
      <c r="CF812" s="5">
        <v>42657</v>
      </c>
      <c r="CG812" s="2"/>
      <c r="CH812" s="2"/>
      <c r="CI812" s="2">
        <v>1</v>
      </c>
      <c r="CJ812" s="2">
        <v>1</v>
      </c>
      <c r="CK812" s="2">
        <v>21</v>
      </c>
      <c r="CL812" s="2" t="s">
        <v>88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"FES1162505827"</f>
        <v>FES1162505827</v>
      </c>
      <c r="F813" s="3">
        <v>42654</v>
      </c>
      <c r="G813" s="2">
        <v>201704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93</v>
      </c>
      <c r="M813" s="2" t="s">
        <v>94</v>
      </c>
      <c r="N813" s="2" t="s">
        <v>536</v>
      </c>
      <c r="O813" s="2" t="s">
        <v>96</v>
      </c>
      <c r="P813" s="2" t="str">
        <f>"2170529008                    "</f>
        <v xml:space="preserve">2170529008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3.32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1.9</v>
      </c>
      <c r="BJ813" s="2">
        <v>1</v>
      </c>
      <c r="BK813" s="2">
        <v>2</v>
      </c>
      <c r="BL813" s="2">
        <v>40.76</v>
      </c>
      <c r="BM813" s="2">
        <v>5.71</v>
      </c>
      <c r="BN813" s="2">
        <v>46.47</v>
      </c>
      <c r="BO813" s="2">
        <v>46.47</v>
      </c>
      <c r="BP813" s="2"/>
      <c r="BQ813" s="2" t="s">
        <v>537</v>
      </c>
      <c r="BR813" s="2" t="s">
        <v>83</v>
      </c>
      <c r="BS813" s="3">
        <v>42655</v>
      </c>
      <c r="BT813" s="4">
        <v>0.4375</v>
      </c>
      <c r="BU813" s="2" t="s">
        <v>540</v>
      </c>
      <c r="BV813" s="2" t="s">
        <v>85</v>
      </c>
      <c r="BW813" s="2"/>
      <c r="BX813" s="2"/>
      <c r="BY813" s="2">
        <v>5184.29</v>
      </c>
      <c r="BZ813" s="2" t="s">
        <v>27</v>
      </c>
      <c r="CA813" s="2"/>
      <c r="CB813" s="2"/>
      <c r="CC813" s="2" t="s">
        <v>94</v>
      </c>
      <c r="CD813" s="2">
        <v>4300</v>
      </c>
      <c r="CE813" s="2" t="s">
        <v>86</v>
      </c>
      <c r="CF813" s="5">
        <v>42656</v>
      </c>
      <c r="CG813" s="2"/>
      <c r="CH813" s="2"/>
      <c r="CI813" s="2">
        <v>1</v>
      </c>
      <c r="CJ813" s="2">
        <v>1</v>
      </c>
      <c r="CK813" s="2">
        <v>21</v>
      </c>
      <c r="CL813" s="2" t="s">
        <v>88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"FES1162505864"</f>
        <v>FES1162505864</v>
      </c>
      <c r="F814" s="3">
        <v>42654</v>
      </c>
      <c r="G814" s="2">
        <v>201704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269</v>
      </c>
      <c r="M814" s="2" t="s">
        <v>270</v>
      </c>
      <c r="N814" s="2" t="s">
        <v>299</v>
      </c>
      <c r="O814" s="2" t="s">
        <v>96</v>
      </c>
      <c r="P814" s="2" t="str">
        <f>"2170529488                    "</f>
        <v xml:space="preserve">2170529488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3.32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1.3</v>
      </c>
      <c r="BJ814" s="2">
        <v>0.2</v>
      </c>
      <c r="BK814" s="2">
        <v>1.5</v>
      </c>
      <c r="BL814" s="2">
        <v>40.76</v>
      </c>
      <c r="BM814" s="2">
        <v>5.71</v>
      </c>
      <c r="BN814" s="2">
        <v>46.47</v>
      </c>
      <c r="BO814" s="2">
        <v>46.47</v>
      </c>
      <c r="BP814" s="2"/>
      <c r="BQ814" s="2" t="s">
        <v>300</v>
      </c>
      <c r="BR814" s="2" t="s">
        <v>83</v>
      </c>
      <c r="BS814" s="3">
        <v>42655</v>
      </c>
      <c r="BT814" s="4">
        <v>0.4375</v>
      </c>
      <c r="BU814" s="2" t="s">
        <v>724</v>
      </c>
      <c r="BV814" s="2" t="s">
        <v>85</v>
      </c>
      <c r="BW814" s="2"/>
      <c r="BX814" s="2"/>
      <c r="BY814" s="2">
        <v>1200</v>
      </c>
      <c r="BZ814" s="2" t="s">
        <v>27</v>
      </c>
      <c r="CA814" s="2" t="s">
        <v>129</v>
      </c>
      <c r="CB814" s="2"/>
      <c r="CC814" s="2" t="s">
        <v>270</v>
      </c>
      <c r="CD814" s="2">
        <v>3610</v>
      </c>
      <c r="CE814" s="2" t="s">
        <v>108</v>
      </c>
      <c r="CF814" s="5">
        <v>42656</v>
      </c>
      <c r="CG814" s="2"/>
      <c r="CH814" s="2"/>
      <c r="CI814" s="2">
        <v>1</v>
      </c>
      <c r="CJ814" s="2">
        <v>1</v>
      </c>
      <c r="CK814" s="2">
        <v>21</v>
      </c>
      <c r="CL814" s="2" t="s">
        <v>88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"FES1162505807"</f>
        <v>FES1162505807</v>
      </c>
      <c r="F815" s="3">
        <v>42654</v>
      </c>
      <c r="G815" s="2">
        <v>201704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153</v>
      </c>
      <c r="M815" s="2" t="s">
        <v>153</v>
      </c>
      <c r="N815" s="2" t="s">
        <v>200</v>
      </c>
      <c r="O815" s="2" t="s">
        <v>96</v>
      </c>
      <c r="P815" s="2" t="str">
        <f>"2170529444                    "</f>
        <v xml:space="preserve">2170529444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3.32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1.2</v>
      </c>
      <c r="BJ815" s="2">
        <v>0.2</v>
      </c>
      <c r="BK815" s="2">
        <v>1.5</v>
      </c>
      <c r="BL815" s="2">
        <v>40.76</v>
      </c>
      <c r="BM815" s="2">
        <v>5.71</v>
      </c>
      <c r="BN815" s="2">
        <v>46.47</v>
      </c>
      <c r="BO815" s="2">
        <v>46.47</v>
      </c>
      <c r="BP815" s="2"/>
      <c r="BQ815" s="2" t="s">
        <v>201</v>
      </c>
      <c r="BR815" s="2" t="s">
        <v>83</v>
      </c>
      <c r="BS815" s="3">
        <v>42655</v>
      </c>
      <c r="BT815" s="4">
        <v>0.4597222222222222</v>
      </c>
      <c r="BU815" s="2" t="s">
        <v>448</v>
      </c>
      <c r="BV815" s="2" t="s">
        <v>85</v>
      </c>
      <c r="BW815" s="2"/>
      <c r="BX815" s="2"/>
      <c r="BY815" s="2">
        <v>1200</v>
      </c>
      <c r="BZ815" s="2" t="s">
        <v>27</v>
      </c>
      <c r="CA815" s="2"/>
      <c r="CB815" s="2"/>
      <c r="CC815" s="2" t="s">
        <v>153</v>
      </c>
      <c r="CD815" s="2">
        <v>7646</v>
      </c>
      <c r="CE815" s="2" t="s">
        <v>108</v>
      </c>
      <c r="CF815" s="5">
        <v>42656</v>
      </c>
      <c r="CG815" s="2"/>
      <c r="CH815" s="2"/>
      <c r="CI815" s="2">
        <v>1</v>
      </c>
      <c r="CJ815" s="2">
        <v>1</v>
      </c>
      <c r="CK815" s="2">
        <v>21</v>
      </c>
      <c r="CL815" s="2" t="s">
        <v>88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"FES1162505770"</f>
        <v>FES1162505770</v>
      </c>
      <c r="F816" s="3">
        <v>42654</v>
      </c>
      <c r="G816" s="2">
        <v>201704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160</v>
      </c>
      <c r="M816" s="2" t="s">
        <v>161</v>
      </c>
      <c r="N816" s="2" t="s">
        <v>179</v>
      </c>
      <c r="O816" s="2" t="s">
        <v>96</v>
      </c>
      <c r="P816" s="2" t="str">
        <f>"2170529398                    "</f>
        <v xml:space="preserve">2170529398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3.32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2</v>
      </c>
      <c r="BJ816" s="2">
        <v>0.2</v>
      </c>
      <c r="BK816" s="2">
        <v>2</v>
      </c>
      <c r="BL816" s="2">
        <v>40.76</v>
      </c>
      <c r="BM816" s="2">
        <v>5.71</v>
      </c>
      <c r="BN816" s="2">
        <v>46.47</v>
      </c>
      <c r="BO816" s="2">
        <v>46.47</v>
      </c>
      <c r="BP816" s="2"/>
      <c r="BQ816" s="2" t="s">
        <v>180</v>
      </c>
      <c r="BR816" s="2" t="s">
        <v>83</v>
      </c>
      <c r="BS816" s="3">
        <v>42655</v>
      </c>
      <c r="BT816" s="4">
        <v>0.41666666666666669</v>
      </c>
      <c r="BU816" s="2" t="s">
        <v>181</v>
      </c>
      <c r="BV816" s="2" t="s">
        <v>85</v>
      </c>
      <c r="BW816" s="2"/>
      <c r="BX816" s="2"/>
      <c r="BY816" s="2">
        <v>1200</v>
      </c>
      <c r="BZ816" s="2" t="s">
        <v>27</v>
      </c>
      <c r="CA816" s="2"/>
      <c r="CB816" s="2"/>
      <c r="CC816" s="2" t="s">
        <v>161</v>
      </c>
      <c r="CD816" s="2">
        <v>7405</v>
      </c>
      <c r="CE816" s="2" t="s">
        <v>108</v>
      </c>
      <c r="CF816" s="5">
        <v>42656</v>
      </c>
      <c r="CG816" s="2"/>
      <c r="CH816" s="2"/>
      <c r="CI816" s="2">
        <v>1</v>
      </c>
      <c r="CJ816" s="2">
        <v>1</v>
      </c>
      <c r="CK816" s="2">
        <v>21</v>
      </c>
      <c r="CL816" s="2" t="s">
        <v>88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"FES1162505892"</f>
        <v>FES1162505892</v>
      </c>
      <c r="F817" s="3">
        <v>42654</v>
      </c>
      <c r="G817" s="2">
        <v>201704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269</v>
      </c>
      <c r="M817" s="2" t="s">
        <v>270</v>
      </c>
      <c r="N817" s="2" t="s">
        <v>778</v>
      </c>
      <c r="O817" s="2" t="s">
        <v>96</v>
      </c>
      <c r="P817" s="2" t="str">
        <f>"2170529520                    "</f>
        <v xml:space="preserve">2170529520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3.32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1</v>
      </c>
      <c r="BJ817" s="2">
        <v>0.2</v>
      </c>
      <c r="BK817" s="2">
        <v>1</v>
      </c>
      <c r="BL817" s="2">
        <v>40.76</v>
      </c>
      <c r="BM817" s="2">
        <v>5.71</v>
      </c>
      <c r="BN817" s="2">
        <v>46.47</v>
      </c>
      <c r="BO817" s="2">
        <v>46.47</v>
      </c>
      <c r="BP817" s="2"/>
      <c r="BQ817" s="2" t="s">
        <v>117</v>
      </c>
      <c r="BR817" s="2" t="s">
        <v>83</v>
      </c>
      <c r="BS817" s="3">
        <v>42655</v>
      </c>
      <c r="BT817" s="4">
        <v>0.4375</v>
      </c>
      <c r="BU817" s="2" t="s">
        <v>1248</v>
      </c>
      <c r="BV817" s="2" t="s">
        <v>85</v>
      </c>
      <c r="BW817" s="2"/>
      <c r="BX817" s="2"/>
      <c r="BY817" s="2">
        <v>1200</v>
      </c>
      <c r="BZ817" s="2" t="s">
        <v>27</v>
      </c>
      <c r="CA817" s="2" t="s">
        <v>129</v>
      </c>
      <c r="CB817" s="2"/>
      <c r="CC817" s="2" t="s">
        <v>270</v>
      </c>
      <c r="CD817" s="2">
        <v>3600</v>
      </c>
      <c r="CE817" s="2" t="s">
        <v>108</v>
      </c>
      <c r="CF817" s="5">
        <v>42656</v>
      </c>
      <c r="CG817" s="2"/>
      <c r="CH817" s="2"/>
      <c r="CI817" s="2">
        <v>1</v>
      </c>
      <c r="CJ817" s="2">
        <v>1</v>
      </c>
      <c r="CK817" s="2">
        <v>21</v>
      </c>
      <c r="CL817" s="2" t="s">
        <v>88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"FES1162505908"</f>
        <v>FES1162505908</v>
      </c>
      <c r="F818" s="3">
        <v>42654</v>
      </c>
      <c r="G818" s="2">
        <v>201704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160</v>
      </c>
      <c r="M818" s="2" t="s">
        <v>161</v>
      </c>
      <c r="N818" s="2" t="s">
        <v>182</v>
      </c>
      <c r="O818" s="2" t="s">
        <v>96</v>
      </c>
      <c r="P818" s="2" t="str">
        <f>"2170529535                    "</f>
        <v xml:space="preserve">2170529535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3.32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1</v>
      </c>
      <c r="BJ818" s="2">
        <v>0.2</v>
      </c>
      <c r="BK818" s="2">
        <v>1</v>
      </c>
      <c r="BL818" s="2">
        <v>40.76</v>
      </c>
      <c r="BM818" s="2">
        <v>5.71</v>
      </c>
      <c r="BN818" s="2">
        <v>46.47</v>
      </c>
      <c r="BO818" s="2">
        <v>46.47</v>
      </c>
      <c r="BP818" s="2"/>
      <c r="BQ818" s="2" t="s">
        <v>91</v>
      </c>
      <c r="BR818" s="2" t="s">
        <v>83</v>
      </c>
      <c r="BS818" s="3">
        <v>42655</v>
      </c>
      <c r="BT818" s="4">
        <v>0.46527777777777773</v>
      </c>
      <c r="BU818" s="2" t="s">
        <v>1249</v>
      </c>
      <c r="BV818" s="2"/>
      <c r="BW818" s="2" t="s">
        <v>222</v>
      </c>
      <c r="BX818" s="2" t="s">
        <v>356</v>
      </c>
      <c r="BY818" s="2">
        <v>1200</v>
      </c>
      <c r="BZ818" s="2" t="s">
        <v>27</v>
      </c>
      <c r="CA818" s="2"/>
      <c r="CB818" s="2"/>
      <c r="CC818" s="2" t="s">
        <v>161</v>
      </c>
      <c r="CD818" s="2">
        <v>8001</v>
      </c>
      <c r="CE818" s="2" t="s">
        <v>108</v>
      </c>
      <c r="CF818" s="5">
        <v>42656</v>
      </c>
      <c r="CG818" s="2"/>
      <c r="CH818" s="2"/>
      <c r="CI818" s="2">
        <v>0</v>
      </c>
      <c r="CJ818" s="2">
        <v>0</v>
      </c>
      <c r="CK818" s="2">
        <v>21</v>
      </c>
      <c r="CL818" s="2" t="s">
        <v>88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"FES1162505685"</f>
        <v>FES1162505685</v>
      </c>
      <c r="F819" s="3">
        <v>42654</v>
      </c>
      <c r="G819" s="2">
        <v>201704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137</v>
      </c>
      <c r="M819" s="2" t="s">
        <v>138</v>
      </c>
      <c r="N819" s="2" t="s">
        <v>928</v>
      </c>
      <c r="O819" s="2" t="s">
        <v>96</v>
      </c>
      <c r="P819" s="2" t="str">
        <f>"2170526743                    "</f>
        <v xml:space="preserve">2170526743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52.25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19.5</v>
      </c>
      <c r="BJ819" s="2">
        <v>31.1</v>
      </c>
      <c r="BK819" s="2">
        <v>31.5</v>
      </c>
      <c r="BL819" s="2">
        <v>641.92999999999995</v>
      </c>
      <c r="BM819" s="2">
        <v>89.87</v>
      </c>
      <c r="BN819" s="2">
        <v>731.8</v>
      </c>
      <c r="BO819" s="2">
        <v>731.8</v>
      </c>
      <c r="BP819" s="2"/>
      <c r="BQ819" s="2" t="s">
        <v>117</v>
      </c>
      <c r="BR819" s="2" t="s">
        <v>83</v>
      </c>
      <c r="BS819" s="3">
        <v>42655</v>
      </c>
      <c r="BT819" s="4">
        <v>0.38541666666666669</v>
      </c>
      <c r="BU819" s="2" t="s">
        <v>929</v>
      </c>
      <c r="BV819" s="2"/>
      <c r="BW819" s="2"/>
      <c r="BX819" s="2"/>
      <c r="BY819" s="2">
        <v>155674.44</v>
      </c>
      <c r="BZ819" s="2" t="s">
        <v>27</v>
      </c>
      <c r="CA819" s="2" t="s">
        <v>613</v>
      </c>
      <c r="CB819" s="2"/>
      <c r="CC819" s="2" t="s">
        <v>138</v>
      </c>
      <c r="CD819" s="2">
        <v>3201</v>
      </c>
      <c r="CE819" s="2" t="s">
        <v>368</v>
      </c>
      <c r="CF819" s="5">
        <v>42655</v>
      </c>
      <c r="CG819" s="2"/>
      <c r="CH819" s="2"/>
      <c r="CI819" s="2">
        <v>0</v>
      </c>
      <c r="CJ819" s="2">
        <v>0</v>
      </c>
      <c r="CK819" s="2">
        <v>21</v>
      </c>
      <c r="CL819" s="2" t="s">
        <v>88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"FES1162505735"</f>
        <v>FES1162505735</v>
      </c>
      <c r="F820" s="3">
        <v>42654</v>
      </c>
      <c r="G820" s="2">
        <v>201704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137</v>
      </c>
      <c r="M820" s="2" t="s">
        <v>138</v>
      </c>
      <c r="N820" s="2" t="s">
        <v>420</v>
      </c>
      <c r="O820" s="2" t="s">
        <v>96</v>
      </c>
      <c r="P820" s="2" t="str">
        <f>"2170528605                    "</f>
        <v xml:space="preserve">2170528605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4.9800000000000004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1.8</v>
      </c>
      <c r="BJ820" s="2">
        <v>3</v>
      </c>
      <c r="BK820" s="2">
        <v>3</v>
      </c>
      <c r="BL820" s="2">
        <v>61.14</v>
      </c>
      <c r="BM820" s="2">
        <v>8.56</v>
      </c>
      <c r="BN820" s="2">
        <v>69.7</v>
      </c>
      <c r="BO820" s="2">
        <v>69.7</v>
      </c>
      <c r="BP820" s="2"/>
      <c r="BQ820" s="2" t="s">
        <v>117</v>
      </c>
      <c r="BR820" s="2" t="s">
        <v>83</v>
      </c>
      <c r="BS820" s="3">
        <v>42655</v>
      </c>
      <c r="BT820" s="4">
        <v>0.36805555555555558</v>
      </c>
      <c r="BU820" s="2" t="s">
        <v>1221</v>
      </c>
      <c r="BV820" s="2" t="s">
        <v>85</v>
      </c>
      <c r="BW820" s="2"/>
      <c r="BX820" s="2"/>
      <c r="BY820" s="2">
        <v>15013.28</v>
      </c>
      <c r="BZ820" s="2" t="s">
        <v>27</v>
      </c>
      <c r="CA820" s="2" t="s">
        <v>613</v>
      </c>
      <c r="CB820" s="2"/>
      <c r="CC820" s="2" t="s">
        <v>138</v>
      </c>
      <c r="CD820" s="2">
        <v>3201</v>
      </c>
      <c r="CE820" s="2" t="s">
        <v>368</v>
      </c>
      <c r="CF820" s="5">
        <v>42655</v>
      </c>
      <c r="CG820" s="2"/>
      <c r="CH820" s="2"/>
      <c r="CI820" s="2">
        <v>1</v>
      </c>
      <c r="CJ820" s="2">
        <v>1</v>
      </c>
      <c r="CK820" s="2">
        <v>21</v>
      </c>
      <c r="CL820" s="2" t="s">
        <v>88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"FES1162505851"</f>
        <v>FES1162505851</v>
      </c>
      <c r="F821" s="3">
        <v>42654</v>
      </c>
      <c r="G821" s="2">
        <v>201704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98</v>
      </c>
      <c r="M821" s="2" t="s">
        <v>99</v>
      </c>
      <c r="N821" s="2" t="s">
        <v>1250</v>
      </c>
      <c r="O821" s="2" t="s">
        <v>96</v>
      </c>
      <c r="P821" s="2" t="str">
        <f>"2170529423                    "</f>
        <v xml:space="preserve">2170529423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3.32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1</v>
      </c>
      <c r="BJ821" s="2">
        <v>0.2</v>
      </c>
      <c r="BK821" s="2">
        <v>1</v>
      </c>
      <c r="BL821" s="2">
        <v>40.76</v>
      </c>
      <c r="BM821" s="2">
        <v>5.71</v>
      </c>
      <c r="BN821" s="2">
        <v>46.47</v>
      </c>
      <c r="BO821" s="2">
        <v>46.47</v>
      </c>
      <c r="BP821" s="2"/>
      <c r="BQ821" s="2" t="s">
        <v>1251</v>
      </c>
      <c r="BR821" s="2" t="s">
        <v>83</v>
      </c>
      <c r="BS821" s="3">
        <v>42655</v>
      </c>
      <c r="BT821" s="4">
        <v>0.30902777777777779</v>
      </c>
      <c r="BU821" s="2" t="s">
        <v>1252</v>
      </c>
      <c r="BV821" s="2" t="s">
        <v>85</v>
      </c>
      <c r="BW821" s="2"/>
      <c r="BX821" s="2"/>
      <c r="BY821" s="2">
        <v>1200</v>
      </c>
      <c r="BZ821" s="2" t="s">
        <v>27</v>
      </c>
      <c r="CA821" s="2" t="s">
        <v>107</v>
      </c>
      <c r="CB821" s="2"/>
      <c r="CC821" s="2" t="s">
        <v>99</v>
      </c>
      <c r="CD821" s="2">
        <v>6012</v>
      </c>
      <c r="CE821" s="2" t="s">
        <v>108</v>
      </c>
      <c r="CF821" s="5">
        <v>42655</v>
      </c>
      <c r="CG821" s="2"/>
      <c r="CH821" s="2"/>
      <c r="CI821" s="2">
        <v>1</v>
      </c>
      <c r="CJ821" s="2">
        <v>1</v>
      </c>
      <c r="CK821" s="2">
        <v>21</v>
      </c>
      <c r="CL821" s="2" t="s">
        <v>88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"FES1162505698"</f>
        <v>FES1162505698</v>
      </c>
      <c r="F822" s="3">
        <v>42654</v>
      </c>
      <c r="G822" s="2">
        <v>201704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137</v>
      </c>
      <c r="M822" s="2" t="s">
        <v>138</v>
      </c>
      <c r="N822" s="2" t="s">
        <v>420</v>
      </c>
      <c r="O822" s="2" t="s">
        <v>96</v>
      </c>
      <c r="P822" s="2" t="str">
        <f>"2170527188                    "</f>
        <v xml:space="preserve">2170527188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5.81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1.9</v>
      </c>
      <c r="BJ822" s="2">
        <v>3.3</v>
      </c>
      <c r="BK822" s="2">
        <v>3.5</v>
      </c>
      <c r="BL822" s="2">
        <v>71.33</v>
      </c>
      <c r="BM822" s="2">
        <v>9.99</v>
      </c>
      <c r="BN822" s="2">
        <v>81.319999999999993</v>
      </c>
      <c r="BO822" s="2">
        <v>81.319999999999993</v>
      </c>
      <c r="BP822" s="2"/>
      <c r="BQ822" s="2" t="s">
        <v>117</v>
      </c>
      <c r="BR822" s="2" t="s">
        <v>83</v>
      </c>
      <c r="BS822" s="3">
        <v>42655</v>
      </c>
      <c r="BT822" s="4">
        <v>0.36874999999999997</v>
      </c>
      <c r="BU822" s="2" t="s">
        <v>1221</v>
      </c>
      <c r="BV822" s="2" t="s">
        <v>85</v>
      </c>
      <c r="BW822" s="2"/>
      <c r="BX822" s="2"/>
      <c r="BY822" s="2">
        <v>16324.33</v>
      </c>
      <c r="BZ822" s="2" t="s">
        <v>27</v>
      </c>
      <c r="CA822" s="2" t="s">
        <v>613</v>
      </c>
      <c r="CB822" s="2"/>
      <c r="CC822" s="2" t="s">
        <v>138</v>
      </c>
      <c r="CD822" s="2">
        <v>3201</v>
      </c>
      <c r="CE822" s="2" t="s">
        <v>368</v>
      </c>
      <c r="CF822" s="5">
        <v>42655</v>
      </c>
      <c r="CG822" s="2"/>
      <c r="CH822" s="2"/>
      <c r="CI822" s="2">
        <v>1</v>
      </c>
      <c r="CJ822" s="2">
        <v>1</v>
      </c>
      <c r="CK822" s="2">
        <v>21</v>
      </c>
      <c r="CL822" s="2" t="s">
        <v>88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"FES1162505658"</f>
        <v>FES1162505658</v>
      </c>
      <c r="F823" s="3">
        <v>42654</v>
      </c>
      <c r="G823" s="2">
        <v>201704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93</v>
      </c>
      <c r="M823" s="2" t="s">
        <v>94</v>
      </c>
      <c r="N823" s="2" t="s">
        <v>536</v>
      </c>
      <c r="O823" s="2" t="s">
        <v>96</v>
      </c>
      <c r="P823" s="2" t="str">
        <f>"2170529008                    "</f>
        <v xml:space="preserve">2170529008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19.07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2</v>
      </c>
      <c r="BI823" s="2">
        <v>11.4</v>
      </c>
      <c r="BJ823" s="2">
        <v>5.6</v>
      </c>
      <c r="BK823" s="2">
        <v>11.5</v>
      </c>
      <c r="BL823" s="2">
        <v>234.35</v>
      </c>
      <c r="BM823" s="2">
        <v>32.81</v>
      </c>
      <c r="BN823" s="2">
        <v>267.16000000000003</v>
      </c>
      <c r="BO823" s="2">
        <v>267.16000000000003</v>
      </c>
      <c r="BP823" s="2"/>
      <c r="BQ823" s="2" t="s">
        <v>537</v>
      </c>
      <c r="BR823" s="2" t="s">
        <v>83</v>
      </c>
      <c r="BS823" s="3">
        <v>42655</v>
      </c>
      <c r="BT823" s="4">
        <v>0.41666666666666669</v>
      </c>
      <c r="BU823" s="2" t="s">
        <v>540</v>
      </c>
      <c r="BV823" s="2" t="s">
        <v>85</v>
      </c>
      <c r="BW823" s="2"/>
      <c r="BX823" s="2"/>
      <c r="BY823" s="2">
        <v>28217.27</v>
      </c>
      <c r="BZ823" s="2" t="s">
        <v>27</v>
      </c>
      <c r="CA823" s="2"/>
      <c r="CB823" s="2"/>
      <c r="CC823" s="2" t="s">
        <v>94</v>
      </c>
      <c r="CD823" s="2">
        <v>4300</v>
      </c>
      <c r="CE823" s="2" t="s">
        <v>86</v>
      </c>
      <c r="CF823" s="5">
        <v>42656</v>
      </c>
      <c r="CG823" s="2"/>
      <c r="CH823" s="2"/>
      <c r="CI823" s="2">
        <v>1</v>
      </c>
      <c r="CJ823" s="2">
        <v>1</v>
      </c>
      <c r="CK823" s="2">
        <v>21</v>
      </c>
      <c r="CL823" s="2" t="s">
        <v>88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"FES1162505781"</f>
        <v>FES1162505781</v>
      </c>
      <c r="F824" s="3">
        <v>42654</v>
      </c>
      <c r="G824" s="2">
        <v>201704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148</v>
      </c>
      <c r="M824" s="2" t="s">
        <v>149</v>
      </c>
      <c r="N824" s="2" t="s">
        <v>233</v>
      </c>
      <c r="O824" s="2" t="s">
        <v>96</v>
      </c>
      <c r="P824" s="2" t="str">
        <f>"2170529404                    "</f>
        <v xml:space="preserve">2170529404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3.32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1</v>
      </c>
      <c r="BJ824" s="2">
        <v>0.2</v>
      </c>
      <c r="BK824" s="2">
        <v>1</v>
      </c>
      <c r="BL824" s="2">
        <v>40.76</v>
      </c>
      <c r="BM824" s="2">
        <v>5.71</v>
      </c>
      <c r="BN824" s="2">
        <v>46.47</v>
      </c>
      <c r="BO824" s="2">
        <v>46.47</v>
      </c>
      <c r="BP824" s="2"/>
      <c r="BQ824" s="2" t="s">
        <v>234</v>
      </c>
      <c r="BR824" s="2" t="s">
        <v>83</v>
      </c>
      <c r="BS824" s="3">
        <v>42655</v>
      </c>
      <c r="BT824" s="4">
        <v>0.4375</v>
      </c>
      <c r="BU824" s="2" t="s">
        <v>1205</v>
      </c>
      <c r="BV824" s="2"/>
      <c r="BW824" s="2"/>
      <c r="BX824" s="2"/>
      <c r="BY824" s="2">
        <v>1200</v>
      </c>
      <c r="BZ824" s="2" t="s">
        <v>27</v>
      </c>
      <c r="CA824" s="2"/>
      <c r="CB824" s="2"/>
      <c r="CC824" s="2" t="s">
        <v>149</v>
      </c>
      <c r="CD824" s="2">
        <v>4001</v>
      </c>
      <c r="CE824" s="2" t="s">
        <v>108</v>
      </c>
      <c r="CF824" s="5">
        <v>42656</v>
      </c>
      <c r="CG824" s="2"/>
      <c r="CH824" s="2"/>
      <c r="CI824" s="2">
        <v>0</v>
      </c>
      <c r="CJ824" s="2">
        <v>0</v>
      </c>
      <c r="CK824" s="2">
        <v>21</v>
      </c>
      <c r="CL824" s="2" t="s">
        <v>88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"FES1162505819"</f>
        <v>FES1162505819</v>
      </c>
      <c r="F825" s="3">
        <v>42654</v>
      </c>
      <c r="G825" s="2">
        <v>201704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160</v>
      </c>
      <c r="M825" s="2" t="s">
        <v>161</v>
      </c>
      <c r="N825" s="2" t="s">
        <v>610</v>
      </c>
      <c r="O825" s="2" t="s">
        <v>96</v>
      </c>
      <c r="P825" s="2" t="str">
        <f>"2170529448                    "</f>
        <v xml:space="preserve">2170529448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11.61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6.8</v>
      </c>
      <c r="BJ825" s="2">
        <v>2.2000000000000002</v>
      </c>
      <c r="BK825" s="2">
        <v>7</v>
      </c>
      <c r="BL825" s="2">
        <v>142.65</v>
      </c>
      <c r="BM825" s="2">
        <v>19.97</v>
      </c>
      <c r="BN825" s="2">
        <v>162.62</v>
      </c>
      <c r="BO825" s="2">
        <v>162.62</v>
      </c>
      <c r="BP825" s="2"/>
      <c r="BQ825" s="2" t="s">
        <v>168</v>
      </c>
      <c r="BR825" s="2" t="s">
        <v>83</v>
      </c>
      <c r="BS825" s="3">
        <v>42655</v>
      </c>
      <c r="BT825" s="4">
        <v>0.41666666666666669</v>
      </c>
      <c r="BU825" s="2" t="s">
        <v>1253</v>
      </c>
      <c r="BV825" s="2" t="s">
        <v>85</v>
      </c>
      <c r="BW825" s="2"/>
      <c r="BX825" s="2"/>
      <c r="BY825" s="2">
        <v>10995.87</v>
      </c>
      <c r="BZ825" s="2" t="s">
        <v>27</v>
      </c>
      <c r="CA825" s="2"/>
      <c r="CB825" s="2"/>
      <c r="CC825" s="2" t="s">
        <v>161</v>
      </c>
      <c r="CD825" s="2">
        <v>7441</v>
      </c>
      <c r="CE825" s="2" t="s">
        <v>86</v>
      </c>
      <c r="CF825" s="5">
        <v>42656</v>
      </c>
      <c r="CG825" s="2"/>
      <c r="CH825" s="2"/>
      <c r="CI825" s="2">
        <v>1</v>
      </c>
      <c r="CJ825" s="2">
        <v>1</v>
      </c>
      <c r="CK825" s="2">
        <v>21</v>
      </c>
      <c r="CL825" s="2" t="s">
        <v>88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"FES1162505857"</f>
        <v>FES1162505857</v>
      </c>
      <c r="F826" s="3">
        <v>42654</v>
      </c>
      <c r="G826" s="2">
        <v>201704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148</v>
      </c>
      <c r="M826" s="2" t="s">
        <v>149</v>
      </c>
      <c r="N826" s="2" t="s">
        <v>473</v>
      </c>
      <c r="O826" s="2" t="s">
        <v>96</v>
      </c>
      <c r="P826" s="2" t="str">
        <f>"2170529478                    "</f>
        <v xml:space="preserve">2170529478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3.32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0.6</v>
      </c>
      <c r="BJ826" s="2">
        <v>1.6</v>
      </c>
      <c r="BK826" s="2">
        <v>2</v>
      </c>
      <c r="BL826" s="2">
        <v>40.76</v>
      </c>
      <c r="BM826" s="2">
        <v>5.71</v>
      </c>
      <c r="BN826" s="2">
        <v>46.47</v>
      </c>
      <c r="BO826" s="2">
        <v>46.47</v>
      </c>
      <c r="BP826" s="2"/>
      <c r="BQ826" s="2" t="s">
        <v>117</v>
      </c>
      <c r="BR826" s="2" t="s">
        <v>83</v>
      </c>
      <c r="BS826" s="3">
        <v>42655</v>
      </c>
      <c r="BT826" s="4">
        <v>0.4375</v>
      </c>
      <c r="BU826" s="2" t="s">
        <v>1254</v>
      </c>
      <c r="BV826" s="2" t="s">
        <v>85</v>
      </c>
      <c r="BW826" s="2"/>
      <c r="BX826" s="2"/>
      <c r="BY826" s="2">
        <v>7992.9</v>
      </c>
      <c r="BZ826" s="2" t="s">
        <v>27</v>
      </c>
      <c r="CA826" s="2"/>
      <c r="CB826" s="2"/>
      <c r="CC826" s="2" t="s">
        <v>149</v>
      </c>
      <c r="CD826" s="2">
        <v>4052</v>
      </c>
      <c r="CE826" s="2" t="s">
        <v>86</v>
      </c>
      <c r="CF826" s="5">
        <v>42656</v>
      </c>
      <c r="CG826" s="2"/>
      <c r="CH826" s="2"/>
      <c r="CI826" s="2">
        <v>1</v>
      </c>
      <c r="CJ826" s="2">
        <v>1</v>
      </c>
      <c r="CK826" s="2">
        <v>21</v>
      </c>
      <c r="CL826" s="2" t="s">
        <v>88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"FES1162505823"</f>
        <v>FES1162505823</v>
      </c>
      <c r="F827" s="3">
        <v>42654</v>
      </c>
      <c r="G827" s="2">
        <v>201704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148</v>
      </c>
      <c r="M827" s="2" t="s">
        <v>149</v>
      </c>
      <c r="N827" s="2" t="s">
        <v>729</v>
      </c>
      <c r="O827" s="2" t="s">
        <v>96</v>
      </c>
      <c r="P827" s="2" t="str">
        <f>"2170529458                    "</f>
        <v xml:space="preserve">2170529458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3.32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1</v>
      </c>
      <c r="BJ827" s="2">
        <v>0.2</v>
      </c>
      <c r="BK827" s="2">
        <v>1</v>
      </c>
      <c r="BL827" s="2">
        <v>40.76</v>
      </c>
      <c r="BM827" s="2">
        <v>5.71</v>
      </c>
      <c r="BN827" s="2">
        <v>46.47</v>
      </c>
      <c r="BO827" s="2">
        <v>46.47</v>
      </c>
      <c r="BP827" s="2"/>
      <c r="BQ827" s="2" t="s">
        <v>117</v>
      </c>
      <c r="BR827" s="2" t="s">
        <v>83</v>
      </c>
      <c r="BS827" s="3">
        <v>42655</v>
      </c>
      <c r="BT827" s="4">
        <v>0.35069444444444442</v>
      </c>
      <c r="BU827" s="2" t="s">
        <v>730</v>
      </c>
      <c r="BV827" s="2"/>
      <c r="BW827" s="2"/>
      <c r="BX827" s="2"/>
      <c r="BY827" s="2">
        <v>1200</v>
      </c>
      <c r="BZ827" s="2" t="s">
        <v>27</v>
      </c>
      <c r="CA827" s="2"/>
      <c r="CB827" s="2"/>
      <c r="CC827" s="2" t="s">
        <v>149</v>
      </c>
      <c r="CD827" s="2">
        <v>4001</v>
      </c>
      <c r="CE827" s="2" t="s">
        <v>108</v>
      </c>
      <c r="CF827" s="5">
        <v>42656</v>
      </c>
      <c r="CG827" s="2"/>
      <c r="CH827" s="2"/>
      <c r="CI827" s="2">
        <v>0</v>
      </c>
      <c r="CJ827" s="2">
        <v>0</v>
      </c>
      <c r="CK827" s="2">
        <v>21</v>
      </c>
      <c r="CL827" s="2" t="s">
        <v>88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"FES1162505841"</f>
        <v>FES1162505841</v>
      </c>
      <c r="F828" s="3">
        <v>42654</v>
      </c>
      <c r="G828" s="2">
        <v>201704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98</v>
      </c>
      <c r="M828" s="2" t="s">
        <v>99</v>
      </c>
      <c r="N828" s="2" t="s">
        <v>109</v>
      </c>
      <c r="O828" s="2" t="s">
        <v>96</v>
      </c>
      <c r="P828" s="2" t="str">
        <f>"2170525696                    "</f>
        <v xml:space="preserve">2170525696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74.64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2</v>
      </c>
      <c r="BI828" s="2">
        <v>18.3</v>
      </c>
      <c r="BJ828" s="2">
        <v>44.8</v>
      </c>
      <c r="BK828" s="2">
        <v>45</v>
      </c>
      <c r="BL828" s="2">
        <v>917.04</v>
      </c>
      <c r="BM828" s="2">
        <v>128.38999999999999</v>
      </c>
      <c r="BN828" s="2">
        <v>1045.43</v>
      </c>
      <c r="BO828" s="2">
        <v>1045.43</v>
      </c>
      <c r="BP828" s="2"/>
      <c r="BQ828" s="2" t="s">
        <v>110</v>
      </c>
      <c r="BR828" s="2" t="s">
        <v>83</v>
      </c>
      <c r="BS828" s="3">
        <v>42655</v>
      </c>
      <c r="BT828" s="4">
        <v>0.38194444444444442</v>
      </c>
      <c r="BU828" s="2" t="s">
        <v>111</v>
      </c>
      <c r="BV828" s="2" t="s">
        <v>85</v>
      </c>
      <c r="BW828" s="2"/>
      <c r="BX828" s="2"/>
      <c r="BY828" s="2">
        <v>224000.84</v>
      </c>
      <c r="BZ828" s="2" t="s">
        <v>27</v>
      </c>
      <c r="CA828" s="2" t="s">
        <v>107</v>
      </c>
      <c r="CB828" s="2"/>
      <c r="CC828" s="2" t="s">
        <v>99</v>
      </c>
      <c r="CD828" s="2">
        <v>6001</v>
      </c>
      <c r="CE828" s="2" t="s">
        <v>108</v>
      </c>
      <c r="CF828" s="5">
        <v>42655</v>
      </c>
      <c r="CG828" s="2"/>
      <c r="CH828" s="2"/>
      <c r="CI828" s="2">
        <v>1</v>
      </c>
      <c r="CJ828" s="2">
        <v>1</v>
      </c>
      <c r="CK828" s="2">
        <v>21</v>
      </c>
      <c r="CL828" s="2" t="s">
        <v>88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"FES1162505803"</f>
        <v>FES1162505803</v>
      </c>
      <c r="F829" s="3">
        <v>42654</v>
      </c>
      <c r="G829" s="2">
        <v>201704</v>
      </c>
      <c r="H829" s="2" t="s">
        <v>74</v>
      </c>
      <c r="I829" s="2" t="s">
        <v>75</v>
      </c>
      <c r="J829" s="2" t="s">
        <v>76</v>
      </c>
      <c r="K829" s="2" t="s">
        <v>77</v>
      </c>
      <c r="L829" s="2" t="s">
        <v>148</v>
      </c>
      <c r="M829" s="2" t="s">
        <v>149</v>
      </c>
      <c r="N829" s="2" t="s">
        <v>422</v>
      </c>
      <c r="O829" s="2" t="s">
        <v>96</v>
      </c>
      <c r="P829" s="2" t="str">
        <f>"2170529422                    "</f>
        <v xml:space="preserve">2170529422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3.32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1.8</v>
      </c>
      <c r="BJ829" s="2">
        <v>1</v>
      </c>
      <c r="BK829" s="2">
        <v>2</v>
      </c>
      <c r="BL829" s="2">
        <v>40.76</v>
      </c>
      <c r="BM829" s="2">
        <v>5.71</v>
      </c>
      <c r="BN829" s="2">
        <v>46.47</v>
      </c>
      <c r="BO829" s="2">
        <v>46.47</v>
      </c>
      <c r="BP829" s="2"/>
      <c r="BQ829" s="2" t="s">
        <v>423</v>
      </c>
      <c r="BR829" s="2" t="s">
        <v>83</v>
      </c>
      <c r="BS829" s="3">
        <v>42655</v>
      </c>
      <c r="BT829" s="4">
        <v>0.4375</v>
      </c>
      <c r="BU829" s="2" t="s">
        <v>238</v>
      </c>
      <c r="BV829" s="2" t="s">
        <v>85</v>
      </c>
      <c r="BW829" s="2"/>
      <c r="BX829" s="2"/>
      <c r="BY829" s="2">
        <v>4989.88</v>
      </c>
      <c r="BZ829" s="2" t="s">
        <v>27</v>
      </c>
      <c r="CA829" s="2"/>
      <c r="CB829" s="2"/>
      <c r="CC829" s="2" t="s">
        <v>149</v>
      </c>
      <c r="CD829" s="2">
        <v>4052</v>
      </c>
      <c r="CE829" s="2" t="s">
        <v>86</v>
      </c>
      <c r="CF829" s="5">
        <v>42656</v>
      </c>
      <c r="CG829" s="2"/>
      <c r="CH829" s="2"/>
      <c r="CI829" s="2">
        <v>1</v>
      </c>
      <c r="CJ829" s="2">
        <v>1</v>
      </c>
      <c r="CK829" s="2">
        <v>21</v>
      </c>
      <c r="CL829" s="2" t="s">
        <v>88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"FES1162505838"</f>
        <v>FES1162505838</v>
      </c>
      <c r="F830" s="3">
        <v>42654</v>
      </c>
      <c r="G830" s="2">
        <v>201704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137</v>
      </c>
      <c r="M830" s="2" t="s">
        <v>138</v>
      </c>
      <c r="N830" s="2" t="s">
        <v>1255</v>
      </c>
      <c r="O830" s="2" t="s">
        <v>96</v>
      </c>
      <c r="P830" s="2" t="str">
        <f>"2170522897                    "</f>
        <v xml:space="preserve">2170522897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8.2899999999999991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4.5999999999999996</v>
      </c>
      <c r="BJ830" s="2">
        <v>3.6</v>
      </c>
      <c r="BK830" s="2">
        <v>5</v>
      </c>
      <c r="BL830" s="2">
        <v>101.89</v>
      </c>
      <c r="BM830" s="2">
        <v>14.26</v>
      </c>
      <c r="BN830" s="2">
        <v>116.15</v>
      </c>
      <c r="BO830" s="2">
        <v>116.15</v>
      </c>
      <c r="BP830" s="2"/>
      <c r="BQ830" s="2" t="s">
        <v>117</v>
      </c>
      <c r="BR830" s="2" t="s">
        <v>83</v>
      </c>
      <c r="BS830" s="3">
        <v>42655</v>
      </c>
      <c r="BT830" s="4">
        <v>0.4375</v>
      </c>
      <c r="BU830" s="2" t="s">
        <v>1256</v>
      </c>
      <c r="BV830" s="2" t="s">
        <v>85</v>
      </c>
      <c r="BW830" s="2"/>
      <c r="BX830" s="2"/>
      <c r="BY830" s="2">
        <v>17951.79</v>
      </c>
      <c r="BZ830" s="2" t="s">
        <v>27</v>
      </c>
      <c r="CA830" s="2"/>
      <c r="CB830" s="2"/>
      <c r="CC830" s="2" t="s">
        <v>138</v>
      </c>
      <c r="CD830" s="2">
        <v>3680</v>
      </c>
      <c r="CE830" s="2" t="s">
        <v>368</v>
      </c>
      <c r="CF830" s="5">
        <v>42656</v>
      </c>
      <c r="CG830" s="2"/>
      <c r="CH830" s="2"/>
      <c r="CI830" s="2">
        <v>1</v>
      </c>
      <c r="CJ830" s="2">
        <v>1</v>
      </c>
      <c r="CK830" s="2">
        <v>21</v>
      </c>
      <c r="CL830" s="2" t="s">
        <v>88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"FES1162505779"</f>
        <v>FES1162505779</v>
      </c>
      <c r="F831" s="3">
        <v>42654</v>
      </c>
      <c r="G831" s="2">
        <v>201704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148</v>
      </c>
      <c r="M831" s="2" t="s">
        <v>149</v>
      </c>
      <c r="N831" s="2" t="s">
        <v>233</v>
      </c>
      <c r="O831" s="2" t="s">
        <v>96</v>
      </c>
      <c r="P831" s="2" t="str">
        <f>"2170529402                    "</f>
        <v xml:space="preserve">2170529402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3.32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1</v>
      </c>
      <c r="BJ831" s="2">
        <v>2</v>
      </c>
      <c r="BK831" s="2">
        <v>2</v>
      </c>
      <c r="BL831" s="2">
        <v>40.76</v>
      </c>
      <c r="BM831" s="2">
        <v>5.71</v>
      </c>
      <c r="BN831" s="2">
        <v>46.47</v>
      </c>
      <c r="BO831" s="2">
        <v>46.47</v>
      </c>
      <c r="BP831" s="2"/>
      <c r="BQ831" s="2" t="s">
        <v>234</v>
      </c>
      <c r="BR831" s="2" t="s">
        <v>83</v>
      </c>
      <c r="BS831" s="3">
        <v>42655</v>
      </c>
      <c r="BT831" s="4">
        <v>0.4375</v>
      </c>
      <c r="BU831" s="2" t="s">
        <v>1257</v>
      </c>
      <c r="BV831" s="2"/>
      <c r="BW831" s="2"/>
      <c r="BX831" s="2"/>
      <c r="BY831" s="2">
        <v>9900</v>
      </c>
      <c r="BZ831" s="2" t="s">
        <v>27</v>
      </c>
      <c r="CA831" s="2" t="s">
        <v>129</v>
      </c>
      <c r="CB831" s="2"/>
      <c r="CC831" s="2" t="s">
        <v>149</v>
      </c>
      <c r="CD831" s="2">
        <v>4001</v>
      </c>
      <c r="CE831" s="2" t="s">
        <v>86</v>
      </c>
      <c r="CF831" s="5">
        <v>42656</v>
      </c>
      <c r="CG831" s="2"/>
      <c r="CH831" s="2"/>
      <c r="CI831" s="2">
        <v>0</v>
      </c>
      <c r="CJ831" s="2">
        <v>0</v>
      </c>
      <c r="CK831" s="2">
        <v>21</v>
      </c>
      <c r="CL831" s="2" t="s">
        <v>88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"FES1162505875"</f>
        <v>FES1162505875</v>
      </c>
      <c r="F832" s="3">
        <v>42654</v>
      </c>
      <c r="G832" s="2">
        <v>201704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119</v>
      </c>
      <c r="M832" s="2" t="s">
        <v>120</v>
      </c>
      <c r="N832" s="2" t="s">
        <v>1258</v>
      </c>
      <c r="O832" s="2" t="s">
        <v>96</v>
      </c>
      <c r="P832" s="2" t="str">
        <f>"2170529502                    "</f>
        <v xml:space="preserve">2170529502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3.32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1</v>
      </c>
      <c r="BI832" s="2">
        <v>1</v>
      </c>
      <c r="BJ832" s="2">
        <v>0.2</v>
      </c>
      <c r="BK832" s="2">
        <v>1</v>
      </c>
      <c r="BL832" s="2">
        <v>40.76</v>
      </c>
      <c r="BM832" s="2">
        <v>5.71</v>
      </c>
      <c r="BN832" s="2">
        <v>46.47</v>
      </c>
      <c r="BO832" s="2">
        <v>46.47</v>
      </c>
      <c r="BP832" s="2"/>
      <c r="BQ832" s="2" t="s">
        <v>1259</v>
      </c>
      <c r="BR832" s="2" t="s">
        <v>83</v>
      </c>
      <c r="BS832" s="3">
        <v>42655</v>
      </c>
      <c r="BT832" s="4">
        <v>0.42499999999999999</v>
      </c>
      <c r="BU832" s="2" t="s">
        <v>1260</v>
      </c>
      <c r="BV832" s="2" t="s">
        <v>85</v>
      </c>
      <c r="BW832" s="2"/>
      <c r="BX832" s="2"/>
      <c r="BY832" s="2">
        <v>1200</v>
      </c>
      <c r="BZ832" s="2" t="s">
        <v>27</v>
      </c>
      <c r="CA832" s="2"/>
      <c r="CB832" s="2"/>
      <c r="CC832" s="2" t="s">
        <v>120</v>
      </c>
      <c r="CD832" s="2">
        <v>6229</v>
      </c>
      <c r="CE832" s="2" t="s">
        <v>108</v>
      </c>
      <c r="CF832" s="5">
        <v>42656</v>
      </c>
      <c r="CG832" s="2"/>
      <c r="CH832" s="2"/>
      <c r="CI832" s="2">
        <v>1</v>
      </c>
      <c r="CJ832" s="2">
        <v>1</v>
      </c>
      <c r="CK832" s="2">
        <v>21</v>
      </c>
      <c r="CL832" s="2" t="s">
        <v>88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"FES1162505660"</f>
        <v>FES1162505660</v>
      </c>
      <c r="F833" s="3">
        <v>42654</v>
      </c>
      <c r="G833" s="2">
        <v>201704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1261</v>
      </c>
      <c r="M833" s="2" t="s">
        <v>1262</v>
      </c>
      <c r="N833" s="2" t="s">
        <v>1263</v>
      </c>
      <c r="O833" s="2" t="s">
        <v>96</v>
      </c>
      <c r="P833" s="2" t="str">
        <f>"2170529345                    "</f>
        <v xml:space="preserve">2170529345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6.43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1.2</v>
      </c>
      <c r="BJ833" s="2">
        <v>1.5</v>
      </c>
      <c r="BK833" s="2">
        <v>1.5</v>
      </c>
      <c r="BL833" s="2">
        <v>78.97</v>
      </c>
      <c r="BM833" s="2">
        <v>11.06</v>
      </c>
      <c r="BN833" s="2">
        <v>90.03</v>
      </c>
      <c r="BO833" s="2">
        <v>90.03</v>
      </c>
      <c r="BP833" s="2"/>
      <c r="BQ833" s="2" t="s">
        <v>1264</v>
      </c>
      <c r="BR833" s="2" t="s">
        <v>83</v>
      </c>
      <c r="BS833" s="3">
        <v>42655</v>
      </c>
      <c r="BT833" s="4">
        <v>0.54166666666666663</v>
      </c>
      <c r="BU833" s="2" t="s">
        <v>1265</v>
      </c>
      <c r="BV833" s="2" t="s">
        <v>85</v>
      </c>
      <c r="BW833" s="2"/>
      <c r="BX833" s="2"/>
      <c r="BY833" s="2">
        <v>7454.7</v>
      </c>
      <c r="BZ833" s="2" t="s">
        <v>27</v>
      </c>
      <c r="CA833" s="2"/>
      <c r="CB833" s="2"/>
      <c r="CC833" s="2" t="s">
        <v>1262</v>
      </c>
      <c r="CD833" s="2">
        <v>4270</v>
      </c>
      <c r="CE833" s="2" t="s">
        <v>86</v>
      </c>
      <c r="CF833" s="5">
        <v>42656</v>
      </c>
      <c r="CG833" s="2"/>
      <c r="CH833" s="2"/>
      <c r="CI833" s="2">
        <v>1</v>
      </c>
      <c r="CJ833" s="2">
        <v>1</v>
      </c>
      <c r="CK833" s="2">
        <v>23</v>
      </c>
      <c r="CL833" s="2" t="s">
        <v>88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"FES1162505793"</f>
        <v>FES1162505793</v>
      </c>
      <c r="F834" s="3">
        <v>42654</v>
      </c>
      <c r="G834" s="2">
        <v>201704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98</v>
      </c>
      <c r="M834" s="2" t="s">
        <v>99</v>
      </c>
      <c r="N834" s="2" t="s">
        <v>1250</v>
      </c>
      <c r="O834" s="2" t="s">
        <v>96</v>
      </c>
      <c r="P834" s="2" t="str">
        <f>"2170529423                    "</f>
        <v xml:space="preserve">2170529423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8.2899999999999991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1</v>
      </c>
      <c r="BI834" s="2">
        <v>4.9000000000000004</v>
      </c>
      <c r="BJ834" s="2">
        <v>3.4</v>
      </c>
      <c r="BK834" s="2">
        <v>5</v>
      </c>
      <c r="BL834" s="2">
        <v>101.89</v>
      </c>
      <c r="BM834" s="2">
        <v>14.26</v>
      </c>
      <c r="BN834" s="2">
        <v>116.15</v>
      </c>
      <c r="BO834" s="2">
        <v>116.15</v>
      </c>
      <c r="BP834" s="2"/>
      <c r="BQ834" s="2" t="s">
        <v>1251</v>
      </c>
      <c r="BR834" s="2" t="s">
        <v>83</v>
      </c>
      <c r="BS834" s="3">
        <v>42655</v>
      </c>
      <c r="BT834" s="4">
        <v>0.30902777777777779</v>
      </c>
      <c r="BU834" s="2" t="s">
        <v>1252</v>
      </c>
      <c r="BV834" s="2" t="s">
        <v>85</v>
      </c>
      <c r="BW834" s="2"/>
      <c r="BX834" s="2"/>
      <c r="BY834" s="2">
        <v>16961.23</v>
      </c>
      <c r="BZ834" s="2" t="s">
        <v>27</v>
      </c>
      <c r="CA834" s="2" t="s">
        <v>107</v>
      </c>
      <c r="CB834" s="2"/>
      <c r="CC834" s="2" t="s">
        <v>99</v>
      </c>
      <c r="CD834" s="2">
        <v>6012</v>
      </c>
      <c r="CE834" s="2" t="s">
        <v>86</v>
      </c>
      <c r="CF834" s="5">
        <v>42655</v>
      </c>
      <c r="CG834" s="2"/>
      <c r="CH834" s="2"/>
      <c r="CI834" s="2">
        <v>1</v>
      </c>
      <c r="CJ834" s="2">
        <v>1</v>
      </c>
      <c r="CK834" s="2">
        <v>21</v>
      </c>
      <c r="CL834" s="2" t="s">
        <v>88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"FES1162505790"</f>
        <v>FES1162505790</v>
      </c>
      <c r="F835" s="3">
        <v>42654</v>
      </c>
      <c r="G835" s="2">
        <v>201704</v>
      </c>
      <c r="H835" s="2" t="s">
        <v>74</v>
      </c>
      <c r="I835" s="2" t="s">
        <v>75</v>
      </c>
      <c r="J835" s="2" t="s">
        <v>76</v>
      </c>
      <c r="K835" s="2" t="s">
        <v>77</v>
      </c>
      <c r="L835" s="2" t="s">
        <v>98</v>
      </c>
      <c r="M835" s="2" t="s">
        <v>99</v>
      </c>
      <c r="N835" s="2" t="s">
        <v>133</v>
      </c>
      <c r="O835" s="2" t="s">
        <v>96</v>
      </c>
      <c r="P835" s="2" t="str">
        <f>"2170529419                    "</f>
        <v xml:space="preserve">2170529419           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5.81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2</v>
      </c>
      <c r="BJ835" s="2">
        <v>3.5</v>
      </c>
      <c r="BK835" s="2">
        <v>3.5</v>
      </c>
      <c r="BL835" s="2">
        <v>71.33</v>
      </c>
      <c r="BM835" s="2">
        <v>9.99</v>
      </c>
      <c r="BN835" s="2">
        <v>81.319999999999993</v>
      </c>
      <c r="BO835" s="2">
        <v>81.319999999999993</v>
      </c>
      <c r="BP835" s="2"/>
      <c r="BQ835" s="2" t="s">
        <v>134</v>
      </c>
      <c r="BR835" s="2" t="s">
        <v>83</v>
      </c>
      <c r="BS835" s="3">
        <v>42655</v>
      </c>
      <c r="BT835" s="4">
        <v>0.33333333333333331</v>
      </c>
      <c r="BU835" s="2" t="s">
        <v>1266</v>
      </c>
      <c r="BV835" s="2" t="s">
        <v>85</v>
      </c>
      <c r="BW835" s="2"/>
      <c r="BX835" s="2"/>
      <c r="BY835" s="2">
        <v>17745</v>
      </c>
      <c r="BZ835" s="2" t="s">
        <v>27</v>
      </c>
      <c r="CA835" s="2"/>
      <c r="CB835" s="2"/>
      <c r="CC835" s="2" t="s">
        <v>99</v>
      </c>
      <c r="CD835" s="2">
        <v>6001</v>
      </c>
      <c r="CE835" s="2" t="s">
        <v>368</v>
      </c>
      <c r="CF835" s="5">
        <v>42656</v>
      </c>
      <c r="CG835" s="2"/>
      <c r="CH835" s="2"/>
      <c r="CI835" s="2">
        <v>1</v>
      </c>
      <c r="CJ835" s="2">
        <v>1</v>
      </c>
      <c r="CK835" s="2">
        <v>21</v>
      </c>
      <c r="CL835" s="2" t="s">
        <v>88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"FES1162505784"</f>
        <v>FES1162505784</v>
      </c>
      <c r="F836" s="3">
        <v>42654</v>
      </c>
      <c r="G836" s="2">
        <v>201704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98</v>
      </c>
      <c r="M836" s="2" t="s">
        <v>99</v>
      </c>
      <c r="N836" s="2" t="s">
        <v>1250</v>
      </c>
      <c r="O836" s="2" t="s">
        <v>96</v>
      </c>
      <c r="P836" s="2" t="str">
        <f>"2170529412                    "</f>
        <v xml:space="preserve">2170529412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11.61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1</v>
      </c>
      <c r="BI836" s="2">
        <v>6.8</v>
      </c>
      <c r="BJ836" s="2">
        <v>3.4</v>
      </c>
      <c r="BK836" s="2">
        <v>7</v>
      </c>
      <c r="BL836" s="2">
        <v>142.65</v>
      </c>
      <c r="BM836" s="2">
        <v>19.97</v>
      </c>
      <c r="BN836" s="2">
        <v>162.62</v>
      </c>
      <c r="BO836" s="2">
        <v>162.62</v>
      </c>
      <c r="BP836" s="2"/>
      <c r="BQ836" s="2" t="s">
        <v>1251</v>
      </c>
      <c r="BR836" s="2" t="s">
        <v>83</v>
      </c>
      <c r="BS836" s="3">
        <v>42655</v>
      </c>
      <c r="BT836" s="4">
        <v>0.30902777777777779</v>
      </c>
      <c r="BU836" s="2" t="s">
        <v>1252</v>
      </c>
      <c r="BV836" s="2" t="s">
        <v>85</v>
      </c>
      <c r="BW836" s="2"/>
      <c r="BX836" s="2"/>
      <c r="BY836" s="2">
        <v>16842.849999999999</v>
      </c>
      <c r="BZ836" s="2" t="s">
        <v>27</v>
      </c>
      <c r="CA836" s="2" t="s">
        <v>107</v>
      </c>
      <c r="CB836" s="2"/>
      <c r="CC836" s="2" t="s">
        <v>99</v>
      </c>
      <c r="CD836" s="2">
        <v>6012</v>
      </c>
      <c r="CE836" s="2" t="s">
        <v>86</v>
      </c>
      <c r="CF836" s="5">
        <v>42655</v>
      </c>
      <c r="CG836" s="2"/>
      <c r="CH836" s="2"/>
      <c r="CI836" s="2">
        <v>1</v>
      </c>
      <c r="CJ836" s="2">
        <v>1</v>
      </c>
      <c r="CK836" s="2">
        <v>21</v>
      </c>
      <c r="CL836" s="2" t="s">
        <v>88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"FES1162505679"</f>
        <v>FES1162505679</v>
      </c>
      <c r="F837" s="3">
        <v>42654</v>
      </c>
      <c r="G837" s="2">
        <v>201704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137</v>
      </c>
      <c r="M837" s="2" t="s">
        <v>138</v>
      </c>
      <c r="N837" s="2" t="s">
        <v>420</v>
      </c>
      <c r="O837" s="2" t="s">
        <v>96</v>
      </c>
      <c r="P837" s="2" t="str">
        <f>"2170526211                    "</f>
        <v xml:space="preserve">2170526211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4.9800000000000004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1</v>
      </c>
      <c r="BI837" s="2">
        <v>1.8</v>
      </c>
      <c r="BJ837" s="2">
        <v>2.8</v>
      </c>
      <c r="BK837" s="2">
        <v>3</v>
      </c>
      <c r="BL837" s="2">
        <v>61.14</v>
      </c>
      <c r="BM837" s="2">
        <v>8.56</v>
      </c>
      <c r="BN837" s="2">
        <v>69.7</v>
      </c>
      <c r="BO837" s="2">
        <v>69.7</v>
      </c>
      <c r="BP837" s="2"/>
      <c r="BQ837" s="2" t="s">
        <v>117</v>
      </c>
      <c r="BR837" s="2" t="s">
        <v>83</v>
      </c>
      <c r="BS837" s="3">
        <v>42655</v>
      </c>
      <c r="BT837" s="4">
        <v>0.36874999999999997</v>
      </c>
      <c r="BU837" s="2" t="s">
        <v>1221</v>
      </c>
      <c r="BV837" s="2" t="s">
        <v>85</v>
      </c>
      <c r="BW837" s="2"/>
      <c r="BX837" s="2"/>
      <c r="BY837" s="2">
        <v>14235.75</v>
      </c>
      <c r="BZ837" s="2" t="s">
        <v>27</v>
      </c>
      <c r="CA837" s="2" t="s">
        <v>613</v>
      </c>
      <c r="CB837" s="2"/>
      <c r="CC837" s="2" t="s">
        <v>138</v>
      </c>
      <c r="CD837" s="2">
        <v>3201</v>
      </c>
      <c r="CE837" s="2" t="s">
        <v>368</v>
      </c>
      <c r="CF837" s="5">
        <v>42655</v>
      </c>
      <c r="CG837" s="2"/>
      <c r="CH837" s="2"/>
      <c r="CI837" s="2">
        <v>1</v>
      </c>
      <c r="CJ837" s="2">
        <v>1</v>
      </c>
      <c r="CK837" s="2">
        <v>21</v>
      </c>
      <c r="CL837" s="2" t="s">
        <v>88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"FES1162505840"</f>
        <v>FES1162505840</v>
      </c>
      <c r="F838" s="3">
        <v>42654</v>
      </c>
      <c r="G838" s="2">
        <v>201704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98</v>
      </c>
      <c r="M838" s="2" t="s">
        <v>99</v>
      </c>
      <c r="N838" s="2" t="s">
        <v>109</v>
      </c>
      <c r="O838" s="2" t="s">
        <v>96</v>
      </c>
      <c r="P838" s="2" t="str">
        <f>"2170525644                    "</f>
        <v xml:space="preserve">2170525644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72.98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2</v>
      </c>
      <c r="BI838" s="2">
        <v>21.8</v>
      </c>
      <c r="BJ838" s="2">
        <v>43.6</v>
      </c>
      <c r="BK838" s="2">
        <v>44</v>
      </c>
      <c r="BL838" s="2">
        <v>896.66</v>
      </c>
      <c r="BM838" s="2">
        <v>125.53</v>
      </c>
      <c r="BN838" s="2">
        <v>1022.19</v>
      </c>
      <c r="BO838" s="2">
        <v>1022.19</v>
      </c>
      <c r="BP838" s="2"/>
      <c r="BQ838" s="2" t="s">
        <v>110</v>
      </c>
      <c r="BR838" s="2" t="s">
        <v>83</v>
      </c>
      <c r="BS838" s="3">
        <v>42655</v>
      </c>
      <c r="BT838" s="4">
        <v>0.38194444444444442</v>
      </c>
      <c r="BU838" s="2" t="s">
        <v>111</v>
      </c>
      <c r="BV838" s="2" t="s">
        <v>85</v>
      </c>
      <c r="BW838" s="2"/>
      <c r="BX838" s="2"/>
      <c r="BY838" s="2">
        <v>217817.54</v>
      </c>
      <c r="BZ838" s="2" t="s">
        <v>27</v>
      </c>
      <c r="CA838" s="2" t="s">
        <v>107</v>
      </c>
      <c r="CB838" s="2"/>
      <c r="CC838" s="2" t="s">
        <v>99</v>
      </c>
      <c r="CD838" s="2">
        <v>6001</v>
      </c>
      <c r="CE838" s="2" t="s">
        <v>86</v>
      </c>
      <c r="CF838" s="5">
        <v>42655</v>
      </c>
      <c r="CG838" s="2"/>
      <c r="CH838" s="2"/>
      <c r="CI838" s="2">
        <v>1</v>
      </c>
      <c r="CJ838" s="2">
        <v>1</v>
      </c>
      <c r="CK838" s="2">
        <v>21</v>
      </c>
      <c r="CL838" s="2" t="s">
        <v>88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"FES1162505907"</f>
        <v>FES1162505907</v>
      </c>
      <c r="F839" s="3">
        <v>42654</v>
      </c>
      <c r="G839" s="2">
        <v>201704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207</v>
      </c>
      <c r="M839" s="2" t="s">
        <v>208</v>
      </c>
      <c r="N839" s="2" t="s">
        <v>209</v>
      </c>
      <c r="O839" s="2" t="s">
        <v>96</v>
      </c>
      <c r="P839" s="2" t="str">
        <f>"2170529534                    "</f>
        <v xml:space="preserve">2170529534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3.32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0.5</v>
      </c>
      <c r="BJ839" s="2">
        <v>0.2</v>
      </c>
      <c r="BK839" s="2">
        <v>0.5</v>
      </c>
      <c r="BL839" s="2">
        <v>40.76</v>
      </c>
      <c r="BM839" s="2">
        <v>5.71</v>
      </c>
      <c r="BN839" s="2">
        <v>46.47</v>
      </c>
      <c r="BO839" s="2">
        <v>46.47</v>
      </c>
      <c r="BP839" s="2"/>
      <c r="BQ839" s="2" t="s">
        <v>82</v>
      </c>
      <c r="BR839" s="2" t="s">
        <v>83</v>
      </c>
      <c r="BS839" s="3">
        <v>42655</v>
      </c>
      <c r="BT839" s="4">
        <v>0.4375</v>
      </c>
      <c r="BU839" s="2" t="s">
        <v>210</v>
      </c>
      <c r="BV839" s="2" t="s">
        <v>85</v>
      </c>
      <c r="BW839" s="2"/>
      <c r="BX839" s="2"/>
      <c r="BY839" s="2">
        <v>1200</v>
      </c>
      <c r="BZ839" s="2"/>
      <c r="CA839" s="2"/>
      <c r="CB839" s="2"/>
      <c r="CC839" s="2" t="s">
        <v>208</v>
      </c>
      <c r="CD839" s="2">
        <v>4133</v>
      </c>
      <c r="CE839" s="2" t="s">
        <v>108</v>
      </c>
      <c r="CF839" s="5">
        <v>42656</v>
      </c>
      <c r="CG839" s="2"/>
      <c r="CH839" s="2"/>
      <c r="CI839" s="2">
        <v>1</v>
      </c>
      <c r="CJ839" s="2">
        <v>1</v>
      </c>
      <c r="CK839" s="2">
        <v>21</v>
      </c>
      <c r="CL839" s="2" t="s">
        <v>88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"FES1162505956"</f>
        <v>FES1162505956</v>
      </c>
      <c r="F840" s="3">
        <v>42654</v>
      </c>
      <c r="G840" s="2">
        <v>201704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160</v>
      </c>
      <c r="M840" s="2" t="s">
        <v>161</v>
      </c>
      <c r="N840" s="2" t="s">
        <v>1267</v>
      </c>
      <c r="O840" s="2" t="s">
        <v>96</v>
      </c>
      <c r="P840" s="2" t="str">
        <f>"2170529572                    "</f>
        <v xml:space="preserve">2170529572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3.32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1</v>
      </c>
      <c r="BI840" s="2">
        <v>1</v>
      </c>
      <c r="BJ840" s="2">
        <v>0.2</v>
      </c>
      <c r="BK840" s="2">
        <v>1</v>
      </c>
      <c r="BL840" s="2">
        <v>40.76</v>
      </c>
      <c r="BM840" s="2">
        <v>5.71</v>
      </c>
      <c r="BN840" s="2">
        <v>46.47</v>
      </c>
      <c r="BO840" s="2">
        <v>46.47</v>
      </c>
      <c r="BP840" s="2"/>
      <c r="BQ840" s="2" t="s">
        <v>988</v>
      </c>
      <c r="BR840" s="2" t="s">
        <v>83</v>
      </c>
      <c r="BS840" s="3">
        <v>42655</v>
      </c>
      <c r="BT840" s="4">
        <v>0.36458333333333331</v>
      </c>
      <c r="BU840" s="2" t="s">
        <v>1268</v>
      </c>
      <c r="BV840" s="2" t="s">
        <v>85</v>
      </c>
      <c r="BW840" s="2"/>
      <c r="BX840" s="2"/>
      <c r="BY840" s="2">
        <v>1200</v>
      </c>
      <c r="BZ840" s="2"/>
      <c r="CA840" s="2"/>
      <c r="CB840" s="2"/>
      <c r="CC840" s="2" t="s">
        <v>161</v>
      </c>
      <c r="CD840" s="2">
        <v>7530</v>
      </c>
      <c r="CE840" s="2" t="s">
        <v>108</v>
      </c>
      <c r="CF840" s="5">
        <v>42656</v>
      </c>
      <c r="CG840" s="2"/>
      <c r="CH840" s="2"/>
      <c r="CI840" s="2">
        <v>1</v>
      </c>
      <c r="CJ840" s="2">
        <v>1</v>
      </c>
      <c r="CK840" s="2">
        <v>21</v>
      </c>
      <c r="CL840" s="2" t="s">
        <v>88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"FES1162505979"</f>
        <v>FES1162505979</v>
      </c>
      <c r="F841" s="3">
        <v>42654</v>
      </c>
      <c r="G841" s="2">
        <v>201704</v>
      </c>
      <c r="H841" s="2" t="s">
        <v>74</v>
      </c>
      <c r="I841" s="2" t="s">
        <v>75</v>
      </c>
      <c r="J841" s="2" t="s">
        <v>76</v>
      </c>
      <c r="K841" s="2" t="s">
        <v>77</v>
      </c>
      <c r="L841" s="2" t="s">
        <v>171</v>
      </c>
      <c r="M841" s="2" t="s">
        <v>172</v>
      </c>
      <c r="N841" s="2" t="s">
        <v>429</v>
      </c>
      <c r="O841" s="2" t="s">
        <v>96</v>
      </c>
      <c r="P841" s="2" t="str">
        <f>"2170529525                    "</f>
        <v xml:space="preserve">2170529525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9.9499999999999993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5.8</v>
      </c>
      <c r="BJ841" s="2">
        <v>3.4</v>
      </c>
      <c r="BK841" s="2">
        <v>6</v>
      </c>
      <c r="BL841" s="2">
        <v>122.27</v>
      </c>
      <c r="BM841" s="2">
        <v>17.12</v>
      </c>
      <c r="BN841" s="2">
        <v>139.38999999999999</v>
      </c>
      <c r="BO841" s="2">
        <v>139.38999999999999</v>
      </c>
      <c r="BP841" s="2"/>
      <c r="BQ841" s="2" t="s">
        <v>430</v>
      </c>
      <c r="BR841" s="2" t="s">
        <v>83</v>
      </c>
      <c r="BS841" s="3">
        <v>42655</v>
      </c>
      <c r="BT841" s="4">
        <v>0.42708333333333331</v>
      </c>
      <c r="BU841" s="2" t="s">
        <v>1224</v>
      </c>
      <c r="BV841" s="2" t="s">
        <v>85</v>
      </c>
      <c r="BW841" s="2"/>
      <c r="BX841" s="2"/>
      <c r="BY841" s="2">
        <v>17103.04</v>
      </c>
      <c r="BZ841" s="2"/>
      <c r="CA841" s="2" t="s">
        <v>129</v>
      </c>
      <c r="CB841" s="2"/>
      <c r="CC841" s="2" t="s">
        <v>172</v>
      </c>
      <c r="CD841" s="2">
        <v>6220</v>
      </c>
      <c r="CE841" s="2" t="s">
        <v>86</v>
      </c>
      <c r="CF841" s="5">
        <v>42656</v>
      </c>
      <c r="CG841" s="2"/>
      <c r="CH841" s="2"/>
      <c r="CI841" s="2">
        <v>1</v>
      </c>
      <c r="CJ841" s="2">
        <v>1</v>
      </c>
      <c r="CK841" s="2">
        <v>21</v>
      </c>
      <c r="CL841" s="2" t="s">
        <v>88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"FES1162505943"</f>
        <v>FES1162505943</v>
      </c>
      <c r="F842" s="3">
        <v>42654</v>
      </c>
      <c r="G842" s="2">
        <v>201704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160</v>
      </c>
      <c r="M842" s="2" t="s">
        <v>161</v>
      </c>
      <c r="N842" s="2" t="s">
        <v>1269</v>
      </c>
      <c r="O842" s="2" t="s">
        <v>96</v>
      </c>
      <c r="P842" s="2" t="str">
        <f>"2170529561                    "</f>
        <v xml:space="preserve">2170529561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6.63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4</v>
      </c>
      <c r="BJ842" s="2">
        <v>1.1000000000000001</v>
      </c>
      <c r="BK842" s="2">
        <v>4</v>
      </c>
      <c r="BL842" s="2">
        <v>81.510000000000005</v>
      </c>
      <c r="BM842" s="2">
        <v>11.41</v>
      </c>
      <c r="BN842" s="2">
        <v>92.92</v>
      </c>
      <c r="BO842" s="2">
        <v>92.92</v>
      </c>
      <c r="BP842" s="2"/>
      <c r="BQ842" s="2" t="s">
        <v>91</v>
      </c>
      <c r="BR842" s="2" t="s">
        <v>83</v>
      </c>
      <c r="BS842" s="3">
        <v>42655</v>
      </c>
      <c r="BT842" s="4">
        <v>0.41666666666666669</v>
      </c>
      <c r="BU842" s="2" t="s">
        <v>1270</v>
      </c>
      <c r="BV842" s="2" t="s">
        <v>85</v>
      </c>
      <c r="BW842" s="2"/>
      <c r="BX842" s="2"/>
      <c r="BY842" s="2">
        <v>5320</v>
      </c>
      <c r="BZ842" s="2"/>
      <c r="CA842" s="2"/>
      <c r="CB842" s="2"/>
      <c r="CC842" s="2" t="s">
        <v>161</v>
      </c>
      <c r="CD842" s="2">
        <v>7925</v>
      </c>
      <c r="CE842" s="2" t="s">
        <v>86</v>
      </c>
      <c r="CF842" s="5">
        <v>42656</v>
      </c>
      <c r="CG842" s="2"/>
      <c r="CH842" s="2"/>
      <c r="CI842" s="2">
        <v>1</v>
      </c>
      <c r="CJ842" s="2">
        <v>1</v>
      </c>
      <c r="CK842" s="2">
        <v>21</v>
      </c>
      <c r="CL842" s="2" t="s">
        <v>88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"FES1162505988"</f>
        <v>FES1162505988</v>
      </c>
      <c r="F843" s="3">
        <v>42654</v>
      </c>
      <c r="G843" s="2">
        <v>201704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143</v>
      </c>
      <c r="M843" s="2" t="s">
        <v>144</v>
      </c>
      <c r="N843" s="2" t="s">
        <v>1271</v>
      </c>
      <c r="O843" s="2" t="s">
        <v>96</v>
      </c>
      <c r="P843" s="2" t="str">
        <f>"2170529601                    "</f>
        <v xml:space="preserve">2170529601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3.32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1</v>
      </c>
      <c r="BJ843" s="2">
        <v>0.2</v>
      </c>
      <c r="BK843" s="2">
        <v>1</v>
      </c>
      <c r="BL843" s="2">
        <v>40.76</v>
      </c>
      <c r="BM843" s="2">
        <v>5.71</v>
      </c>
      <c r="BN843" s="2">
        <v>46.47</v>
      </c>
      <c r="BO843" s="2">
        <v>46.47</v>
      </c>
      <c r="BP843" s="2"/>
      <c r="BQ843" s="2" t="s">
        <v>168</v>
      </c>
      <c r="BR843" s="2" t="s">
        <v>83</v>
      </c>
      <c r="BS843" s="3">
        <v>42655</v>
      </c>
      <c r="BT843" s="4">
        <v>0.41666666666666669</v>
      </c>
      <c r="BU843" s="2" t="s">
        <v>1272</v>
      </c>
      <c r="BV843" s="2" t="s">
        <v>85</v>
      </c>
      <c r="BW843" s="2"/>
      <c r="BX843" s="2"/>
      <c r="BY843" s="2">
        <v>1200</v>
      </c>
      <c r="BZ843" s="2"/>
      <c r="CA843" s="2" t="s">
        <v>129</v>
      </c>
      <c r="CB843" s="2"/>
      <c r="CC843" s="2" t="s">
        <v>144</v>
      </c>
      <c r="CD843" s="2">
        <v>5201</v>
      </c>
      <c r="CE843" s="2" t="s">
        <v>108</v>
      </c>
      <c r="CF843" s="5">
        <v>42657</v>
      </c>
      <c r="CG843" s="2"/>
      <c r="CH843" s="2"/>
      <c r="CI843" s="2">
        <v>1</v>
      </c>
      <c r="CJ843" s="2">
        <v>1</v>
      </c>
      <c r="CK843" s="2">
        <v>21</v>
      </c>
      <c r="CL843" s="2" t="s">
        <v>88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"FES1162505910"</f>
        <v>FES1162505910</v>
      </c>
      <c r="F844" s="3">
        <v>42654</v>
      </c>
      <c r="G844" s="2">
        <v>201704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269</v>
      </c>
      <c r="M844" s="2" t="s">
        <v>270</v>
      </c>
      <c r="N844" s="2" t="s">
        <v>299</v>
      </c>
      <c r="O844" s="2" t="s">
        <v>96</v>
      </c>
      <c r="P844" s="2" t="str">
        <f>"2170529537                    "</f>
        <v xml:space="preserve">2170529537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3.32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1.5</v>
      </c>
      <c r="BJ844" s="2">
        <v>1.2</v>
      </c>
      <c r="BK844" s="2">
        <v>1.5</v>
      </c>
      <c r="BL844" s="2">
        <v>40.76</v>
      </c>
      <c r="BM844" s="2">
        <v>5.71</v>
      </c>
      <c r="BN844" s="2">
        <v>46.47</v>
      </c>
      <c r="BO844" s="2">
        <v>46.47</v>
      </c>
      <c r="BP844" s="2"/>
      <c r="BQ844" s="2" t="s">
        <v>300</v>
      </c>
      <c r="BR844" s="2" t="s">
        <v>83</v>
      </c>
      <c r="BS844" s="3">
        <v>42655</v>
      </c>
      <c r="BT844" s="4">
        <v>0.4375</v>
      </c>
      <c r="BU844" s="2" t="s">
        <v>724</v>
      </c>
      <c r="BV844" s="2" t="s">
        <v>85</v>
      </c>
      <c r="BW844" s="2"/>
      <c r="BX844" s="2"/>
      <c r="BY844" s="2">
        <v>5804.57</v>
      </c>
      <c r="BZ844" s="2"/>
      <c r="CA844" s="2" t="s">
        <v>129</v>
      </c>
      <c r="CB844" s="2"/>
      <c r="CC844" s="2" t="s">
        <v>270</v>
      </c>
      <c r="CD844" s="2">
        <v>3610</v>
      </c>
      <c r="CE844" s="2" t="s">
        <v>108</v>
      </c>
      <c r="CF844" s="5">
        <v>42656</v>
      </c>
      <c r="CG844" s="2"/>
      <c r="CH844" s="2"/>
      <c r="CI844" s="2">
        <v>1</v>
      </c>
      <c r="CJ844" s="2">
        <v>1</v>
      </c>
      <c r="CK844" s="2">
        <v>21</v>
      </c>
      <c r="CL844" s="2" t="s">
        <v>88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"FES1162505955"</f>
        <v>FES1162505955</v>
      </c>
      <c r="F845" s="3">
        <v>42654</v>
      </c>
      <c r="G845" s="2">
        <v>201704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160</v>
      </c>
      <c r="M845" s="2" t="s">
        <v>161</v>
      </c>
      <c r="N845" s="2" t="s">
        <v>176</v>
      </c>
      <c r="O845" s="2" t="s">
        <v>96</v>
      </c>
      <c r="P845" s="2" t="str">
        <f>"2170529570                    "</f>
        <v xml:space="preserve">2170529570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4.9800000000000004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3</v>
      </c>
      <c r="BJ845" s="2">
        <v>1</v>
      </c>
      <c r="BK845" s="2">
        <v>3</v>
      </c>
      <c r="BL845" s="2">
        <v>61.14</v>
      </c>
      <c r="BM845" s="2">
        <v>8.56</v>
      </c>
      <c r="BN845" s="2">
        <v>69.7</v>
      </c>
      <c r="BO845" s="2">
        <v>69.7</v>
      </c>
      <c r="BP845" s="2"/>
      <c r="BQ845" s="2" t="s">
        <v>177</v>
      </c>
      <c r="BR845" s="2" t="s">
        <v>83</v>
      </c>
      <c r="BS845" s="3">
        <v>42655</v>
      </c>
      <c r="BT845" s="4">
        <v>0.42777777777777781</v>
      </c>
      <c r="BU845" s="2" t="s">
        <v>178</v>
      </c>
      <c r="BV845" s="2" t="s">
        <v>85</v>
      </c>
      <c r="BW845" s="2"/>
      <c r="BX845" s="2"/>
      <c r="BY845" s="2">
        <v>4896</v>
      </c>
      <c r="BZ845" s="2"/>
      <c r="CA845" s="2"/>
      <c r="CB845" s="2"/>
      <c r="CC845" s="2" t="s">
        <v>161</v>
      </c>
      <c r="CD845" s="2">
        <v>7530</v>
      </c>
      <c r="CE845" s="2" t="s">
        <v>86</v>
      </c>
      <c r="CF845" s="5">
        <v>42656</v>
      </c>
      <c r="CG845" s="2"/>
      <c r="CH845" s="2"/>
      <c r="CI845" s="2">
        <v>1</v>
      </c>
      <c r="CJ845" s="2">
        <v>1</v>
      </c>
      <c r="CK845" s="2">
        <v>21</v>
      </c>
      <c r="CL845" s="2" t="s">
        <v>88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"FES1162505921"</f>
        <v>FES1162505921</v>
      </c>
      <c r="F846" s="3">
        <v>42654</v>
      </c>
      <c r="G846" s="2">
        <v>201704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148</v>
      </c>
      <c r="M846" s="2" t="s">
        <v>149</v>
      </c>
      <c r="N846" s="2" t="s">
        <v>1273</v>
      </c>
      <c r="O846" s="2" t="s">
        <v>96</v>
      </c>
      <c r="P846" s="2" t="str">
        <f>"2170529541                    "</f>
        <v xml:space="preserve">2170529541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3.32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1</v>
      </c>
      <c r="BJ846" s="2">
        <v>1.1000000000000001</v>
      </c>
      <c r="BK846" s="2">
        <v>1.5</v>
      </c>
      <c r="BL846" s="2">
        <v>40.76</v>
      </c>
      <c r="BM846" s="2">
        <v>5.71</v>
      </c>
      <c r="BN846" s="2">
        <v>46.47</v>
      </c>
      <c r="BO846" s="2">
        <v>46.47</v>
      </c>
      <c r="BP846" s="2"/>
      <c r="BQ846" s="2"/>
      <c r="BR846" s="2" t="s">
        <v>83</v>
      </c>
      <c r="BS846" s="3">
        <v>42655</v>
      </c>
      <c r="BT846" s="4">
        <v>0.4375</v>
      </c>
      <c r="BU846" s="2" t="s">
        <v>1274</v>
      </c>
      <c r="BV846" s="2" t="s">
        <v>85</v>
      </c>
      <c r="BW846" s="2"/>
      <c r="BX846" s="2"/>
      <c r="BY846" s="2">
        <v>5320</v>
      </c>
      <c r="BZ846" s="2"/>
      <c r="CA846" s="2"/>
      <c r="CB846" s="2"/>
      <c r="CC846" s="2" t="s">
        <v>149</v>
      </c>
      <c r="CD846" s="2">
        <v>4052</v>
      </c>
      <c r="CE846" s="2" t="s">
        <v>86</v>
      </c>
      <c r="CF846" s="5">
        <v>42656</v>
      </c>
      <c r="CG846" s="2"/>
      <c r="CH846" s="2"/>
      <c r="CI846" s="2">
        <v>1</v>
      </c>
      <c r="CJ846" s="2">
        <v>1</v>
      </c>
      <c r="CK846" s="2">
        <v>21</v>
      </c>
      <c r="CL846" s="2" t="s">
        <v>88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"FES1162505939"</f>
        <v>FES1162505939</v>
      </c>
      <c r="F847" s="3">
        <v>42654</v>
      </c>
      <c r="G847" s="2">
        <v>201704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98</v>
      </c>
      <c r="M847" s="2" t="s">
        <v>99</v>
      </c>
      <c r="N847" s="2" t="s">
        <v>133</v>
      </c>
      <c r="O847" s="2" t="s">
        <v>96</v>
      </c>
      <c r="P847" s="2" t="str">
        <f>"2170529419                    "</f>
        <v xml:space="preserve">2170529419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8.2899999999999991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5</v>
      </c>
      <c r="BJ847" s="2">
        <v>1.8</v>
      </c>
      <c r="BK847" s="2">
        <v>5</v>
      </c>
      <c r="BL847" s="2">
        <v>101.89</v>
      </c>
      <c r="BM847" s="2">
        <v>14.26</v>
      </c>
      <c r="BN847" s="2">
        <v>116.15</v>
      </c>
      <c r="BO847" s="2">
        <v>116.15</v>
      </c>
      <c r="BP847" s="2"/>
      <c r="BQ847" s="2" t="s">
        <v>134</v>
      </c>
      <c r="BR847" s="2" t="s">
        <v>83</v>
      </c>
      <c r="BS847" s="3">
        <v>42655</v>
      </c>
      <c r="BT847" s="4">
        <v>0.33333333333333331</v>
      </c>
      <c r="BU847" s="2" t="s">
        <v>1275</v>
      </c>
      <c r="BV847" s="2" t="s">
        <v>85</v>
      </c>
      <c r="BW847" s="2"/>
      <c r="BX847" s="2"/>
      <c r="BY847" s="2">
        <v>9240</v>
      </c>
      <c r="BZ847" s="2"/>
      <c r="CA847" s="2"/>
      <c r="CB847" s="2"/>
      <c r="CC847" s="2" t="s">
        <v>99</v>
      </c>
      <c r="CD847" s="2">
        <v>6001</v>
      </c>
      <c r="CE847" s="2" t="s">
        <v>86</v>
      </c>
      <c r="CF847" s="5">
        <v>42656</v>
      </c>
      <c r="CG847" s="2"/>
      <c r="CH847" s="2"/>
      <c r="CI847" s="2">
        <v>1</v>
      </c>
      <c r="CJ847" s="2">
        <v>1</v>
      </c>
      <c r="CK847" s="2">
        <v>21</v>
      </c>
      <c r="CL847" s="2" t="s">
        <v>88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"FES1162505940"</f>
        <v>FES1162505940</v>
      </c>
      <c r="F848" s="3">
        <v>42654</v>
      </c>
      <c r="G848" s="2">
        <v>201704</v>
      </c>
      <c r="H848" s="2" t="s">
        <v>74</v>
      </c>
      <c r="I848" s="2" t="s">
        <v>75</v>
      </c>
      <c r="J848" s="2" t="s">
        <v>76</v>
      </c>
      <c r="K848" s="2" t="s">
        <v>77</v>
      </c>
      <c r="L848" s="2" t="s">
        <v>98</v>
      </c>
      <c r="M848" s="2" t="s">
        <v>99</v>
      </c>
      <c r="N848" s="2" t="s">
        <v>133</v>
      </c>
      <c r="O848" s="2" t="s">
        <v>96</v>
      </c>
      <c r="P848" s="2" t="str">
        <f>"2170529434                    "</f>
        <v xml:space="preserve">2170529434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11.61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7</v>
      </c>
      <c r="BJ848" s="2">
        <v>1.8</v>
      </c>
      <c r="BK848" s="2">
        <v>7</v>
      </c>
      <c r="BL848" s="2">
        <v>142.65</v>
      </c>
      <c r="BM848" s="2">
        <v>19.97</v>
      </c>
      <c r="BN848" s="2">
        <v>162.62</v>
      </c>
      <c r="BO848" s="2">
        <v>162.62</v>
      </c>
      <c r="BP848" s="2"/>
      <c r="BQ848" s="2" t="s">
        <v>134</v>
      </c>
      <c r="BR848" s="2" t="s">
        <v>83</v>
      </c>
      <c r="BS848" s="3">
        <v>42655</v>
      </c>
      <c r="BT848" s="4">
        <v>0.33333333333333331</v>
      </c>
      <c r="BU848" s="2" t="s">
        <v>1276</v>
      </c>
      <c r="BV848" s="2" t="s">
        <v>85</v>
      </c>
      <c r="BW848" s="2"/>
      <c r="BX848" s="2"/>
      <c r="BY848" s="2">
        <v>9240</v>
      </c>
      <c r="BZ848" s="2"/>
      <c r="CA848" s="2"/>
      <c r="CB848" s="2"/>
      <c r="CC848" s="2" t="s">
        <v>99</v>
      </c>
      <c r="CD848" s="2">
        <v>6001</v>
      </c>
      <c r="CE848" s="2" t="s">
        <v>86</v>
      </c>
      <c r="CF848" s="5">
        <v>42656</v>
      </c>
      <c r="CG848" s="2"/>
      <c r="CH848" s="2"/>
      <c r="CI848" s="2">
        <v>1</v>
      </c>
      <c r="CJ848" s="2">
        <v>1</v>
      </c>
      <c r="CK848" s="2">
        <v>21</v>
      </c>
      <c r="CL848" s="2" t="s">
        <v>88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"FES1162505961"</f>
        <v>FES1162505961</v>
      </c>
      <c r="F849" s="3">
        <v>42654</v>
      </c>
      <c r="G849" s="2">
        <v>201704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160</v>
      </c>
      <c r="M849" s="2" t="s">
        <v>161</v>
      </c>
      <c r="N849" s="2" t="s">
        <v>184</v>
      </c>
      <c r="O849" s="2" t="s">
        <v>96</v>
      </c>
      <c r="P849" s="2" t="str">
        <f>"2170528784                    "</f>
        <v xml:space="preserve">2170528784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18.239999999999998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11</v>
      </c>
      <c r="BJ849" s="2">
        <v>4.0999999999999996</v>
      </c>
      <c r="BK849" s="2">
        <v>11</v>
      </c>
      <c r="BL849" s="2">
        <v>224.16</v>
      </c>
      <c r="BM849" s="2">
        <v>31.38</v>
      </c>
      <c r="BN849" s="2">
        <v>255.54</v>
      </c>
      <c r="BO849" s="2">
        <v>255.54</v>
      </c>
      <c r="BP849" s="2"/>
      <c r="BQ849" s="2" t="s">
        <v>117</v>
      </c>
      <c r="BR849" s="2" t="s">
        <v>83</v>
      </c>
      <c r="BS849" s="3">
        <v>42655</v>
      </c>
      <c r="BT849" s="4">
        <v>9.2361111111111116E-2</v>
      </c>
      <c r="BU849" s="2" t="s">
        <v>1277</v>
      </c>
      <c r="BV849" s="2" t="s">
        <v>85</v>
      </c>
      <c r="BW849" s="2"/>
      <c r="BX849" s="2"/>
      <c r="BY849" s="2">
        <v>20358</v>
      </c>
      <c r="BZ849" s="2"/>
      <c r="CA849" s="2"/>
      <c r="CB849" s="2"/>
      <c r="CC849" s="2" t="s">
        <v>161</v>
      </c>
      <c r="CD849" s="2">
        <v>7441</v>
      </c>
      <c r="CE849" s="2" t="s">
        <v>86</v>
      </c>
      <c r="CF849" s="5">
        <v>42656</v>
      </c>
      <c r="CG849" s="2"/>
      <c r="CH849" s="2"/>
      <c r="CI849" s="2">
        <v>1</v>
      </c>
      <c r="CJ849" s="2">
        <v>1</v>
      </c>
      <c r="CK849" s="2">
        <v>21</v>
      </c>
      <c r="CL849" s="2" t="s">
        <v>88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"FES1162505986"</f>
        <v>FES1162505986</v>
      </c>
      <c r="F850" s="3">
        <v>42654</v>
      </c>
      <c r="G850" s="2">
        <v>201704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143</v>
      </c>
      <c r="M850" s="2" t="s">
        <v>144</v>
      </c>
      <c r="N850" s="2" t="s">
        <v>1271</v>
      </c>
      <c r="O850" s="2" t="s">
        <v>96</v>
      </c>
      <c r="P850" s="2" t="str">
        <f>"2170529599                    "</f>
        <v xml:space="preserve">2170529599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7.46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3.3</v>
      </c>
      <c r="BJ850" s="2">
        <v>4.0999999999999996</v>
      </c>
      <c r="BK850" s="2">
        <v>4.5</v>
      </c>
      <c r="BL850" s="2">
        <v>91.7</v>
      </c>
      <c r="BM850" s="2">
        <v>12.84</v>
      </c>
      <c r="BN850" s="2">
        <v>104.54</v>
      </c>
      <c r="BO850" s="2">
        <v>104.54</v>
      </c>
      <c r="BP850" s="2"/>
      <c r="BQ850" s="2" t="s">
        <v>168</v>
      </c>
      <c r="BR850" s="2" t="s">
        <v>83</v>
      </c>
      <c r="BS850" s="3">
        <v>42655</v>
      </c>
      <c r="BT850" s="4">
        <v>0.41666666666666669</v>
      </c>
      <c r="BU850" s="2" t="s">
        <v>1272</v>
      </c>
      <c r="BV850" s="2" t="s">
        <v>85</v>
      </c>
      <c r="BW850" s="2"/>
      <c r="BX850" s="2"/>
      <c r="BY850" s="2">
        <v>20369.349999999999</v>
      </c>
      <c r="BZ850" s="2"/>
      <c r="CA850" s="2" t="s">
        <v>129</v>
      </c>
      <c r="CB850" s="2"/>
      <c r="CC850" s="2" t="s">
        <v>144</v>
      </c>
      <c r="CD850" s="2">
        <v>5201</v>
      </c>
      <c r="CE850" s="2" t="s">
        <v>108</v>
      </c>
      <c r="CF850" s="5">
        <v>42657</v>
      </c>
      <c r="CG850" s="2"/>
      <c r="CH850" s="2"/>
      <c r="CI850" s="2">
        <v>1</v>
      </c>
      <c r="CJ850" s="2">
        <v>1</v>
      </c>
      <c r="CK850" s="2">
        <v>21</v>
      </c>
      <c r="CL850" s="2" t="s">
        <v>88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"FES1162505915"</f>
        <v>FES1162505915</v>
      </c>
      <c r="F851" s="3">
        <v>42654</v>
      </c>
      <c r="G851" s="2">
        <v>201704</v>
      </c>
      <c r="H851" s="2" t="s">
        <v>74</v>
      </c>
      <c r="I851" s="2" t="s">
        <v>75</v>
      </c>
      <c r="J851" s="2" t="s">
        <v>76</v>
      </c>
      <c r="K851" s="2" t="s">
        <v>77</v>
      </c>
      <c r="L851" s="2" t="s">
        <v>160</v>
      </c>
      <c r="M851" s="2" t="s">
        <v>161</v>
      </c>
      <c r="N851" s="2" t="s">
        <v>754</v>
      </c>
      <c r="O851" s="2" t="s">
        <v>96</v>
      </c>
      <c r="P851" s="2" t="str">
        <f>"2170528821                    "</f>
        <v xml:space="preserve">2170528821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14.93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1</v>
      </c>
      <c r="BI851" s="2">
        <v>9</v>
      </c>
      <c r="BJ851" s="2">
        <v>2.2000000000000002</v>
      </c>
      <c r="BK851" s="2">
        <v>9</v>
      </c>
      <c r="BL851" s="2">
        <v>183.41</v>
      </c>
      <c r="BM851" s="2">
        <v>25.68</v>
      </c>
      <c r="BN851" s="2">
        <v>209.09</v>
      </c>
      <c r="BO851" s="2">
        <v>209.09</v>
      </c>
      <c r="BP851" s="2"/>
      <c r="BQ851" s="2" t="s">
        <v>755</v>
      </c>
      <c r="BR851" s="2" t="s">
        <v>83</v>
      </c>
      <c r="BS851" s="3">
        <v>42655</v>
      </c>
      <c r="BT851" s="4">
        <v>0.40625</v>
      </c>
      <c r="BU851" s="2" t="s">
        <v>1278</v>
      </c>
      <c r="BV851" s="2" t="s">
        <v>85</v>
      </c>
      <c r="BW851" s="2"/>
      <c r="BX851" s="2"/>
      <c r="BY851" s="2">
        <v>11160</v>
      </c>
      <c r="BZ851" s="2"/>
      <c r="CA851" s="2" t="s">
        <v>129</v>
      </c>
      <c r="CB851" s="2"/>
      <c r="CC851" s="2" t="s">
        <v>161</v>
      </c>
      <c r="CD851" s="2">
        <v>7441</v>
      </c>
      <c r="CE851" s="2" t="s">
        <v>86</v>
      </c>
      <c r="CF851" s="5">
        <v>42656</v>
      </c>
      <c r="CG851" s="2"/>
      <c r="CH851" s="2"/>
      <c r="CI851" s="2">
        <v>1</v>
      </c>
      <c r="CJ851" s="2">
        <v>1</v>
      </c>
      <c r="CK851" s="2">
        <v>21</v>
      </c>
      <c r="CL851" s="2" t="s">
        <v>88</v>
      </c>
      <c r="CM851" s="2"/>
    </row>
    <row r="852" spans="1:91">
      <c r="A852" s="2" t="s">
        <v>71</v>
      </c>
      <c r="B852" s="2" t="s">
        <v>72</v>
      </c>
      <c r="C852" s="2" t="s">
        <v>73</v>
      </c>
      <c r="D852" s="2"/>
      <c r="E852" s="2" t="str">
        <f>"FES1162505978"</f>
        <v>FES1162505978</v>
      </c>
      <c r="F852" s="3">
        <v>42654</v>
      </c>
      <c r="G852" s="2">
        <v>201704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160</v>
      </c>
      <c r="M852" s="2" t="s">
        <v>161</v>
      </c>
      <c r="N852" s="2" t="s">
        <v>610</v>
      </c>
      <c r="O852" s="2" t="s">
        <v>96</v>
      </c>
      <c r="P852" s="2" t="str">
        <f>"2170529498                    "</f>
        <v xml:space="preserve">2170529498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3.32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2</v>
      </c>
      <c r="BJ852" s="2">
        <v>1.1000000000000001</v>
      </c>
      <c r="BK852" s="2">
        <v>2</v>
      </c>
      <c r="BL852" s="2">
        <v>40.76</v>
      </c>
      <c r="BM852" s="2">
        <v>5.71</v>
      </c>
      <c r="BN852" s="2">
        <v>46.47</v>
      </c>
      <c r="BO852" s="2">
        <v>46.47</v>
      </c>
      <c r="BP852" s="2"/>
      <c r="BQ852" s="2" t="s">
        <v>168</v>
      </c>
      <c r="BR852" s="2" t="s">
        <v>83</v>
      </c>
      <c r="BS852" s="3">
        <v>42655</v>
      </c>
      <c r="BT852" s="4">
        <v>0.41666666666666669</v>
      </c>
      <c r="BU852" s="2" t="s">
        <v>1279</v>
      </c>
      <c r="BV852" s="2" t="s">
        <v>85</v>
      </c>
      <c r="BW852" s="2"/>
      <c r="BX852" s="2"/>
      <c r="BY852" s="2">
        <v>5320</v>
      </c>
      <c r="BZ852" s="2"/>
      <c r="CA852" s="2"/>
      <c r="CB852" s="2"/>
      <c r="CC852" s="2" t="s">
        <v>161</v>
      </c>
      <c r="CD852" s="2">
        <v>7441</v>
      </c>
      <c r="CE852" s="2" t="s">
        <v>86</v>
      </c>
      <c r="CF852" s="5">
        <v>42656</v>
      </c>
      <c r="CG852" s="2"/>
      <c r="CH852" s="2"/>
      <c r="CI852" s="2">
        <v>1</v>
      </c>
      <c r="CJ852" s="2">
        <v>1</v>
      </c>
      <c r="CK852" s="2">
        <v>21</v>
      </c>
      <c r="CL852" s="2" t="s">
        <v>88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"FES1162505949"</f>
        <v>FES1162505949</v>
      </c>
      <c r="F853" s="3">
        <v>42654</v>
      </c>
      <c r="G853" s="2">
        <v>201704</v>
      </c>
      <c r="H853" s="2" t="s">
        <v>74</v>
      </c>
      <c r="I853" s="2" t="s">
        <v>75</v>
      </c>
      <c r="J853" s="2" t="s">
        <v>76</v>
      </c>
      <c r="K853" s="2" t="s">
        <v>77</v>
      </c>
      <c r="L853" s="2" t="s">
        <v>160</v>
      </c>
      <c r="M853" s="2" t="s">
        <v>161</v>
      </c>
      <c r="N853" s="2" t="s">
        <v>227</v>
      </c>
      <c r="O853" s="2" t="s">
        <v>96</v>
      </c>
      <c r="P853" s="2" t="str">
        <f>"2170528927                    "</f>
        <v xml:space="preserve">2170528927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7.46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4</v>
      </c>
      <c r="BJ853" s="2">
        <v>4.0999999999999996</v>
      </c>
      <c r="BK853" s="2">
        <v>4.5</v>
      </c>
      <c r="BL853" s="2">
        <v>91.7</v>
      </c>
      <c r="BM853" s="2">
        <v>12.84</v>
      </c>
      <c r="BN853" s="2">
        <v>104.54</v>
      </c>
      <c r="BO853" s="2">
        <v>104.54</v>
      </c>
      <c r="BP853" s="2"/>
      <c r="BQ853" s="2" t="s">
        <v>91</v>
      </c>
      <c r="BR853" s="2" t="s">
        <v>83</v>
      </c>
      <c r="BS853" s="3">
        <v>42655</v>
      </c>
      <c r="BT853" s="4">
        <v>0.41666666666666669</v>
      </c>
      <c r="BU853" s="2" t="s">
        <v>228</v>
      </c>
      <c r="BV853" s="2" t="s">
        <v>85</v>
      </c>
      <c r="BW853" s="2"/>
      <c r="BX853" s="2"/>
      <c r="BY853" s="2">
        <v>20358</v>
      </c>
      <c r="BZ853" s="2"/>
      <c r="CA853" s="2"/>
      <c r="CB853" s="2"/>
      <c r="CC853" s="2" t="s">
        <v>161</v>
      </c>
      <c r="CD853" s="2">
        <v>7460</v>
      </c>
      <c r="CE853" s="2" t="s">
        <v>86</v>
      </c>
      <c r="CF853" s="5">
        <v>42656</v>
      </c>
      <c r="CG853" s="2"/>
      <c r="CH853" s="2"/>
      <c r="CI853" s="2">
        <v>1</v>
      </c>
      <c r="CJ853" s="2">
        <v>1</v>
      </c>
      <c r="CK853" s="2">
        <v>21</v>
      </c>
      <c r="CL853" s="2" t="s">
        <v>88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"FES1162505922"</f>
        <v>FES1162505922</v>
      </c>
      <c r="F854" s="3">
        <v>42654</v>
      </c>
      <c r="G854" s="2">
        <v>201704</v>
      </c>
      <c r="H854" s="2" t="s">
        <v>74</v>
      </c>
      <c r="I854" s="2" t="s">
        <v>75</v>
      </c>
      <c r="J854" s="2" t="s">
        <v>76</v>
      </c>
      <c r="K854" s="2" t="s">
        <v>77</v>
      </c>
      <c r="L854" s="2" t="s">
        <v>269</v>
      </c>
      <c r="M854" s="2" t="s">
        <v>270</v>
      </c>
      <c r="N854" s="2" t="s">
        <v>496</v>
      </c>
      <c r="O854" s="2" t="s">
        <v>96</v>
      </c>
      <c r="P854" s="2" t="str">
        <f>"2170529548                    "</f>
        <v xml:space="preserve">2170529548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3.32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1</v>
      </c>
      <c r="BJ854" s="2">
        <v>0.2</v>
      </c>
      <c r="BK854" s="2">
        <v>1</v>
      </c>
      <c r="BL854" s="2">
        <v>40.76</v>
      </c>
      <c r="BM854" s="2">
        <v>5.71</v>
      </c>
      <c r="BN854" s="2">
        <v>46.47</v>
      </c>
      <c r="BO854" s="2">
        <v>46.47</v>
      </c>
      <c r="BP854" s="2"/>
      <c r="BQ854" s="2" t="s">
        <v>892</v>
      </c>
      <c r="BR854" s="2" t="s">
        <v>83</v>
      </c>
      <c r="BS854" s="3">
        <v>42655</v>
      </c>
      <c r="BT854" s="4">
        <v>0.4375</v>
      </c>
      <c r="BU854" s="2" t="s">
        <v>1280</v>
      </c>
      <c r="BV854" s="2" t="s">
        <v>85</v>
      </c>
      <c r="BW854" s="2"/>
      <c r="BX854" s="2"/>
      <c r="BY854" s="2">
        <v>1200</v>
      </c>
      <c r="BZ854" s="2"/>
      <c r="CA854" s="2" t="s">
        <v>129</v>
      </c>
      <c r="CB854" s="2"/>
      <c r="CC854" s="2" t="s">
        <v>270</v>
      </c>
      <c r="CD854" s="2">
        <v>3610</v>
      </c>
      <c r="CE854" s="2" t="s">
        <v>108</v>
      </c>
      <c r="CF854" s="5">
        <v>42656</v>
      </c>
      <c r="CG854" s="2"/>
      <c r="CH854" s="2"/>
      <c r="CI854" s="2">
        <v>1</v>
      </c>
      <c r="CJ854" s="2">
        <v>1</v>
      </c>
      <c r="CK854" s="2">
        <v>21</v>
      </c>
      <c r="CL854" s="2" t="s">
        <v>88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"FES1162505923"</f>
        <v>FES1162505923</v>
      </c>
      <c r="F855" s="3">
        <v>42654</v>
      </c>
      <c r="G855" s="2">
        <v>201704</v>
      </c>
      <c r="H855" s="2" t="s">
        <v>74</v>
      </c>
      <c r="I855" s="2" t="s">
        <v>75</v>
      </c>
      <c r="J855" s="2" t="s">
        <v>76</v>
      </c>
      <c r="K855" s="2" t="s">
        <v>77</v>
      </c>
      <c r="L855" s="2" t="s">
        <v>269</v>
      </c>
      <c r="M855" s="2" t="s">
        <v>270</v>
      </c>
      <c r="N855" s="2" t="s">
        <v>496</v>
      </c>
      <c r="O855" s="2" t="s">
        <v>96</v>
      </c>
      <c r="P855" s="2" t="str">
        <f>"2170529550                    "</f>
        <v xml:space="preserve">2170529550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3.32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1</v>
      </c>
      <c r="BJ855" s="2">
        <v>0.2</v>
      </c>
      <c r="BK855" s="2">
        <v>1</v>
      </c>
      <c r="BL855" s="2">
        <v>40.76</v>
      </c>
      <c r="BM855" s="2">
        <v>5.71</v>
      </c>
      <c r="BN855" s="2">
        <v>46.47</v>
      </c>
      <c r="BO855" s="2">
        <v>46.47</v>
      </c>
      <c r="BP855" s="2"/>
      <c r="BQ855" s="2" t="s">
        <v>892</v>
      </c>
      <c r="BR855" s="2" t="s">
        <v>83</v>
      </c>
      <c r="BS855" s="3">
        <v>42655</v>
      </c>
      <c r="BT855" s="4">
        <v>0.4375</v>
      </c>
      <c r="BU855" s="2" t="s">
        <v>1281</v>
      </c>
      <c r="BV855" s="2" t="s">
        <v>85</v>
      </c>
      <c r="BW855" s="2"/>
      <c r="BX855" s="2"/>
      <c r="BY855" s="2">
        <v>1200</v>
      </c>
      <c r="BZ855" s="2"/>
      <c r="CA855" s="2"/>
      <c r="CB855" s="2"/>
      <c r="CC855" s="2" t="s">
        <v>270</v>
      </c>
      <c r="CD855" s="2">
        <v>3610</v>
      </c>
      <c r="CE855" s="2" t="s">
        <v>108</v>
      </c>
      <c r="CF855" s="5">
        <v>42656</v>
      </c>
      <c r="CG855" s="2"/>
      <c r="CH855" s="2"/>
      <c r="CI855" s="2">
        <v>1</v>
      </c>
      <c r="CJ855" s="2">
        <v>1</v>
      </c>
      <c r="CK855" s="2">
        <v>21</v>
      </c>
      <c r="CL855" s="2" t="s">
        <v>88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"FES1162505951"</f>
        <v>FES1162505951</v>
      </c>
      <c r="F856" s="3">
        <v>42654</v>
      </c>
      <c r="G856" s="2">
        <v>201704</v>
      </c>
      <c r="H856" s="2" t="s">
        <v>74</v>
      </c>
      <c r="I856" s="2" t="s">
        <v>75</v>
      </c>
      <c r="J856" s="2" t="s">
        <v>76</v>
      </c>
      <c r="K856" s="2" t="s">
        <v>77</v>
      </c>
      <c r="L856" s="2" t="s">
        <v>160</v>
      </c>
      <c r="M856" s="2" t="s">
        <v>161</v>
      </c>
      <c r="N856" s="2" t="s">
        <v>1282</v>
      </c>
      <c r="O856" s="2" t="s">
        <v>96</v>
      </c>
      <c r="P856" s="2" t="str">
        <f>"2170529571                    "</f>
        <v xml:space="preserve">2170529571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3.32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0.4</v>
      </c>
      <c r="BJ856" s="2">
        <v>2</v>
      </c>
      <c r="BK856" s="2">
        <v>2</v>
      </c>
      <c r="BL856" s="2">
        <v>40.76</v>
      </c>
      <c r="BM856" s="2">
        <v>5.71</v>
      </c>
      <c r="BN856" s="2">
        <v>46.47</v>
      </c>
      <c r="BO856" s="2">
        <v>46.47</v>
      </c>
      <c r="BP856" s="2"/>
      <c r="BQ856" s="2" t="s">
        <v>91</v>
      </c>
      <c r="BR856" s="2" t="s">
        <v>83</v>
      </c>
      <c r="BS856" s="3">
        <v>42655</v>
      </c>
      <c r="BT856" s="4">
        <v>0.41666666666666669</v>
      </c>
      <c r="BU856" s="2" t="s">
        <v>1283</v>
      </c>
      <c r="BV856" s="2" t="s">
        <v>85</v>
      </c>
      <c r="BW856" s="2"/>
      <c r="BX856" s="2"/>
      <c r="BY856" s="2">
        <v>9759.75</v>
      </c>
      <c r="BZ856" s="2"/>
      <c r="CA856" s="2"/>
      <c r="CB856" s="2"/>
      <c r="CC856" s="2" t="s">
        <v>161</v>
      </c>
      <c r="CD856" s="2">
        <v>7493</v>
      </c>
      <c r="CE856" s="2" t="s">
        <v>108</v>
      </c>
      <c r="CF856" s="5">
        <v>42656</v>
      </c>
      <c r="CG856" s="2"/>
      <c r="CH856" s="2"/>
      <c r="CI856" s="2">
        <v>1</v>
      </c>
      <c r="CJ856" s="2">
        <v>1</v>
      </c>
      <c r="CK856" s="2">
        <v>21</v>
      </c>
      <c r="CL856" s="2" t="s">
        <v>88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"FES1162505983"</f>
        <v>FES1162505983</v>
      </c>
      <c r="F857" s="3">
        <v>42654</v>
      </c>
      <c r="G857" s="2">
        <v>201704</v>
      </c>
      <c r="H857" s="2" t="s">
        <v>74</v>
      </c>
      <c r="I857" s="2" t="s">
        <v>75</v>
      </c>
      <c r="J857" s="2" t="s">
        <v>76</v>
      </c>
      <c r="K857" s="2" t="s">
        <v>77</v>
      </c>
      <c r="L857" s="2" t="s">
        <v>137</v>
      </c>
      <c r="M857" s="2" t="s">
        <v>138</v>
      </c>
      <c r="N857" s="2" t="s">
        <v>167</v>
      </c>
      <c r="O857" s="2" t="s">
        <v>96</v>
      </c>
      <c r="P857" s="2" t="str">
        <f>"2170529597                    "</f>
        <v xml:space="preserve">2170529597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3.32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40.76</v>
      </c>
      <c r="BM857" s="2">
        <v>5.71</v>
      </c>
      <c r="BN857" s="2">
        <v>46.47</v>
      </c>
      <c r="BO857" s="2">
        <v>46.47</v>
      </c>
      <c r="BP857" s="2"/>
      <c r="BQ857" s="2" t="s">
        <v>168</v>
      </c>
      <c r="BR857" s="2" t="s">
        <v>83</v>
      </c>
      <c r="BS857" s="3">
        <v>42655</v>
      </c>
      <c r="BT857" s="4">
        <v>0.39027777777777778</v>
      </c>
      <c r="BU857" s="2" t="s">
        <v>1026</v>
      </c>
      <c r="BV857" s="2" t="s">
        <v>85</v>
      </c>
      <c r="BW857" s="2"/>
      <c r="BX857" s="2"/>
      <c r="BY857" s="2">
        <v>1200</v>
      </c>
      <c r="BZ857" s="2"/>
      <c r="CA857" s="2" t="s">
        <v>142</v>
      </c>
      <c r="CB857" s="2"/>
      <c r="CC857" s="2" t="s">
        <v>138</v>
      </c>
      <c r="CD857" s="2">
        <v>3201</v>
      </c>
      <c r="CE857" s="2" t="s">
        <v>108</v>
      </c>
      <c r="CF857" s="5">
        <v>42655</v>
      </c>
      <c r="CG857" s="2"/>
      <c r="CH857" s="2"/>
      <c r="CI857" s="2">
        <v>1</v>
      </c>
      <c r="CJ857" s="2">
        <v>1</v>
      </c>
      <c r="CK857" s="2">
        <v>21</v>
      </c>
      <c r="CL857" s="2" t="s">
        <v>88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"FES1162505985"</f>
        <v>FES1162505985</v>
      </c>
      <c r="F858" s="3">
        <v>42654</v>
      </c>
      <c r="G858" s="2">
        <v>201704</v>
      </c>
      <c r="H858" s="2" t="s">
        <v>74</v>
      </c>
      <c r="I858" s="2" t="s">
        <v>75</v>
      </c>
      <c r="J858" s="2" t="s">
        <v>76</v>
      </c>
      <c r="K858" s="2" t="s">
        <v>77</v>
      </c>
      <c r="L858" s="2" t="s">
        <v>98</v>
      </c>
      <c r="M858" s="2" t="s">
        <v>99</v>
      </c>
      <c r="N858" s="2" t="s">
        <v>133</v>
      </c>
      <c r="O858" s="2" t="s">
        <v>96</v>
      </c>
      <c r="P858" s="2" t="str">
        <f>"2170529598                    "</f>
        <v xml:space="preserve">2170529598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11.61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7</v>
      </c>
      <c r="BJ858" s="2">
        <v>0.2</v>
      </c>
      <c r="BK858" s="2">
        <v>7</v>
      </c>
      <c r="BL858" s="2">
        <v>142.65</v>
      </c>
      <c r="BM858" s="2">
        <v>19.97</v>
      </c>
      <c r="BN858" s="2">
        <v>162.62</v>
      </c>
      <c r="BO858" s="2">
        <v>162.62</v>
      </c>
      <c r="BP858" s="2"/>
      <c r="BQ858" s="2" t="s">
        <v>134</v>
      </c>
      <c r="BR858" s="2" t="s">
        <v>83</v>
      </c>
      <c r="BS858" s="3">
        <v>42655</v>
      </c>
      <c r="BT858" s="4">
        <v>0.33333333333333331</v>
      </c>
      <c r="BU858" s="2" t="s">
        <v>881</v>
      </c>
      <c r="BV858" s="2" t="s">
        <v>85</v>
      </c>
      <c r="BW858" s="2"/>
      <c r="BX858" s="2"/>
      <c r="BY858" s="2">
        <v>1200</v>
      </c>
      <c r="BZ858" s="2"/>
      <c r="CA858" s="2"/>
      <c r="CB858" s="2"/>
      <c r="CC858" s="2" t="s">
        <v>99</v>
      </c>
      <c r="CD858" s="2">
        <v>6001</v>
      </c>
      <c r="CE858" s="2" t="s">
        <v>108</v>
      </c>
      <c r="CF858" s="5">
        <v>42656</v>
      </c>
      <c r="CG858" s="2"/>
      <c r="CH858" s="2"/>
      <c r="CI858" s="2">
        <v>1</v>
      </c>
      <c r="CJ858" s="2">
        <v>1</v>
      </c>
      <c r="CK858" s="2">
        <v>21</v>
      </c>
      <c r="CL858" s="2" t="s">
        <v>88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"FES1162505982"</f>
        <v>FES1162505982</v>
      </c>
      <c r="F859" s="3">
        <v>42654</v>
      </c>
      <c r="G859" s="2">
        <v>201704</v>
      </c>
      <c r="H859" s="2" t="s">
        <v>74</v>
      </c>
      <c r="I859" s="2" t="s">
        <v>75</v>
      </c>
      <c r="J859" s="2" t="s">
        <v>76</v>
      </c>
      <c r="K859" s="2" t="s">
        <v>77</v>
      </c>
      <c r="L859" s="2" t="s">
        <v>148</v>
      </c>
      <c r="M859" s="2" t="s">
        <v>149</v>
      </c>
      <c r="N859" s="2" t="s">
        <v>809</v>
      </c>
      <c r="O859" s="2" t="s">
        <v>96</v>
      </c>
      <c r="P859" s="2" t="str">
        <f>"2170529596                    "</f>
        <v xml:space="preserve">2170529596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3.32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0.7</v>
      </c>
      <c r="BJ859" s="2">
        <v>1</v>
      </c>
      <c r="BK859" s="2">
        <v>1</v>
      </c>
      <c r="BL859" s="2">
        <v>40.76</v>
      </c>
      <c r="BM859" s="2">
        <v>5.71</v>
      </c>
      <c r="BN859" s="2">
        <v>46.47</v>
      </c>
      <c r="BO859" s="2">
        <v>46.47</v>
      </c>
      <c r="BP859" s="2"/>
      <c r="BQ859" s="2" t="s">
        <v>91</v>
      </c>
      <c r="BR859" s="2" t="s">
        <v>83</v>
      </c>
      <c r="BS859" s="3">
        <v>42655</v>
      </c>
      <c r="BT859" s="4">
        <v>0.4375</v>
      </c>
      <c r="BU859" s="2" t="s">
        <v>1284</v>
      </c>
      <c r="BV859" s="2" t="s">
        <v>85</v>
      </c>
      <c r="BW859" s="2"/>
      <c r="BX859" s="2"/>
      <c r="BY859" s="2">
        <v>4989.05</v>
      </c>
      <c r="BZ859" s="2"/>
      <c r="CA859" s="2"/>
      <c r="CB859" s="2"/>
      <c r="CC859" s="2" t="s">
        <v>149</v>
      </c>
      <c r="CD859" s="2">
        <v>4094</v>
      </c>
      <c r="CE859" s="2" t="s">
        <v>86</v>
      </c>
      <c r="CF859" s="5">
        <v>42656</v>
      </c>
      <c r="CG859" s="2"/>
      <c r="CH859" s="2"/>
      <c r="CI859" s="2">
        <v>1</v>
      </c>
      <c r="CJ859" s="2">
        <v>1</v>
      </c>
      <c r="CK859" s="2">
        <v>21</v>
      </c>
      <c r="CL859" s="2" t="s">
        <v>88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"FES1162505902"</f>
        <v>FES1162505902</v>
      </c>
      <c r="F860" s="3">
        <v>42654</v>
      </c>
      <c r="G860" s="2">
        <v>201704</v>
      </c>
      <c r="H860" s="2" t="s">
        <v>74</v>
      </c>
      <c r="I860" s="2" t="s">
        <v>75</v>
      </c>
      <c r="J860" s="2" t="s">
        <v>76</v>
      </c>
      <c r="K860" s="2" t="s">
        <v>77</v>
      </c>
      <c r="L860" s="2" t="s">
        <v>156</v>
      </c>
      <c r="M860" s="2" t="s">
        <v>157</v>
      </c>
      <c r="N860" s="2" t="s">
        <v>158</v>
      </c>
      <c r="O860" s="2" t="s">
        <v>96</v>
      </c>
      <c r="P860" s="2" t="str">
        <f>"2170529523                    "</f>
        <v xml:space="preserve">2170529523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19.899999999999999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8</v>
      </c>
      <c r="BJ860" s="2">
        <v>11.7</v>
      </c>
      <c r="BK860" s="2">
        <v>12</v>
      </c>
      <c r="BL860" s="2">
        <v>244.54</v>
      </c>
      <c r="BM860" s="2">
        <v>34.24</v>
      </c>
      <c r="BN860" s="2">
        <v>278.77999999999997</v>
      </c>
      <c r="BO860" s="2">
        <v>278.77999999999997</v>
      </c>
      <c r="BP860" s="2"/>
      <c r="BQ860" s="2" t="s">
        <v>91</v>
      </c>
      <c r="BR860" s="2" t="s">
        <v>83</v>
      </c>
      <c r="BS860" s="3">
        <v>42655</v>
      </c>
      <c r="BT860" s="4">
        <v>0.41666666666666669</v>
      </c>
      <c r="BU860" s="2" t="s">
        <v>1285</v>
      </c>
      <c r="BV860" s="2" t="s">
        <v>85</v>
      </c>
      <c r="BW860" s="2"/>
      <c r="BX860" s="2"/>
      <c r="BY860" s="2">
        <v>58608</v>
      </c>
      <c r="BZ860" s="2"/>
      <c r="CA860" s="2" t="s">
        <v>129</v>
      </c>
      <c r="CB860" s="2"/>
      <c r="CC860" s="2" t="s">
        <v>157</v>
      </c>
      <c r="CD860" s="2">
        <v>7130</v>
      </c>
      <c r="CE860" s="2" t="s">
        <v>86</v>
      </c>
      <c r="CF860" s="5">
        <v>42656</v>
      </c>
      <c r="CG860" s="2"/>
      <c r="CH860" s="2"/>
      <c r="CI860" s="2">
        <v>1</v>
      </c>
      <c r="CJ860" s="2">
        <v>1</v>
      </c>
      <c r="CK860" s="2">
        <v>21</v>
      </c>
      <c r="CL860" s="2" t="s">
        <v>88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"FES1162505829"</f>
        <v>FES1162505829</v>
      </c>
      <c r="F861" s="3">
        <v>42654</v>
      </c>
      <c r="G861" s="2">
        <v>201704</v>
      </c>
      <c r="H861" s="2" t="s">
        <v>74</v>
      </c>
      <c r="I861" s="2" t="s">
        <v>75</v>
      </c>
      <c r="J861" s="2" t="s">
        <v>76</v>
      </c>
      <c r="K861" s="2" t="s">
        <v>77</v>
      </c>
      <c r="L861" s="2" t="s">
        <v>98</v>
      </c>
      <c r="M861" s="2" t="s">
        <v>99</v>
      </c>
      <c r="N861" s="2" t="s">
        <v>133</v>
      </c>
      <c r="O861" s="2" t="s">
        <v>81</v>
      </c>
      <c r="P861" s="2" t="str">
        <f>"2170529108                    "</f>
        <v xml:space="preserve">2170529108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11.44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31</v>
      </c>
      <c r="BJ861" s="2">
        <v>9.5</v>
      </c>
      <c r="BK861" s="2">
        <v>31</v>
      </c>
      <c r="BL861" s="2">
        <v>145.56</v>
      </c>
      <c r="BM861" s="2">
        <v>20.38</v>
      </c>
      <c r="BN861" s="2">
        <v>165.94</v>
      </c>
      <c r="BO861" s="2">
        <v>165.94</v>
      </c>
      <c r="BP861" s="2" t="s">
        <v>1070</v>
      </c>
      <c r="BQ861" s="2" t="s">
        <v>134</v>
      </c>
      <c r="BR861" s="2" t="s">
        <v>83</v>
      </c>
      <c r="BS861" s="3">
        <v>42656</v>
      </c>
      <c r="BT861" s="4">
        <v>0.42569444444444443</v>
      </c>
      <c r="BU861" s="2" t="s">
        <v>1286</v>
      </c>
      <c r="BV861" s="2" t="s">
        <v>85</v>
      </c>
      <c r="BW861" s="2"/>
      <c r="BX861" s="2"/>
      <c r="BY861" s="2">
        <v>47488</v>
      </c>
      <c r="BZ861" s="2"/>
      <c r="CA861" s="2" t="s">
        <v>1287</v>
      </c>
      <c r="CB861" s="2"/>
      <c r="CC861" s="2" t="s">
        <v>99</v>
      </c>
      <c r="CD861" s="2">
        <v>6001</v>
      </c>
      <c r="CE861" s="2" t="s">
        <v>86</v>
      </c>
      <c r="CF861" s="5">
        <v>42656</v>
      </c>
      <c r="CG861" s="2"/>
      <c r="CH861" s="2"/>
      <c r="CI861" s="2">
        <v>2</v>
      </c>
      <c r="CJ861" s="2">
        <v>2</v>
      </c>
      <c r="CK861" s="2" t="s">
        <v>1063</v>
      </c>
      <c r="CL861" s="2" t="s">
        <v>88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"FES1162505991"</f>
        <v>FES1162505991</v>
      </c>
      <c r="F862" s="3">
        <v>42654</v>
      </c>
      <c r="G862" s="2">
        <v>201704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143</v>
      </c>
      <c r="M862" s="2" t="s">
        <v>144</v>
      </c>
      <c r="N862" s="2" t="s">
        <v>1081</v>
      </c>
      <c r="O862" s="2" t="s">
        <v>81</v>
      </c>
      <c r="P862" s="2" t="str">
        <f>"2170529606                    "</f>
        <v xml:space="preserve">2170529606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6.79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2</v>
      </c>
      <c r="BI862" s="2">
        <v>7.4</v>
      </c>
      <c r="BJ862" s="2">
        <v>11.2</v>
      </c>
      <c r="BK862" s="2">
        <v>12</v>
      </c>
      <c r="BL862" s="2">
        <v>88.43</v>
      </c>
      <c r="BM862" s="2">
        <v>12.38</v>
      </c>
      <c r="BN862" s="2">
        <v>100.81</v>
      </c>
      <c r="BO862" s="2">
        <v>100.81</v>
      </c>
      <c r="BP862" s="2" t="s">
        <v>90</v>
      </c>
      <c r="BQ862" s="2" t="s">
        <v>168</v>
      </c>
      <c r="BR862" s="2" t="s">
        <v>83</v>
      </c>
      <c r="BS862" s="3">
        <v>42656</v>
      </c>
      <c r="BT862" s="4">
        <v>0.41666666666666669</v>
      </c>
      <c r="BU862" s="2" t="s">
        <v>1288</v>
      </c>
      <c r="BV862" s="2"/>
      <c r="BW862" s="2"/>
      <c r="BX862" s="2"/>
      <c r="BY862" s="2">
        <v>56095.519999999997</v>
      </c>
      <c r="BZ862" s="2"/>
      <c r="CA862" s="2" t="s">
        <v>129</v>
      </c>
      <c r="CB862" s="2"/>
      <c r="CC862" s="2" t="s">
        <v>144</v>
      </c>
      <c r="CD862" s="2">
        <v>5201</v>
      </c>
      <c r="CE862" s="2" t="s">
        <v>86</v>
      </c>
      <c r="CF862" s="5">
        <v>42660</v>
      </c>
      <c r="CG862" s="2"/>
      <c r="CH862" s="2"/>
      <c r="CI862" s="2">
        <v>0</v>
      </c>
      <c r="CJ862" s="2">
        <v>0</v>
      </c>
      <c r="CK862" s="2" t="s">
        <v>1061</v>
      </c>
      <c r="CL862" s="2" t="s">
        <v>88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"FES1162505877"</f>
        <v>FES1162505877</v>
      </c>
      <c r="F863" s="3">
        <v>42654</v>
      </c>
      <c r="G863" s="2">
        <v>201704</v>
      </c>
      <c r="H863" s="2" t="s">
        <v>74</v>
      </c>
      <c r="I863" s="2" t="s">
        <v>75</v>
      </c>
      <c r="J863" s="2" t="s">
        <v>76</v>
      </c>
      <c r="K863" s="2" t="s">
        <v>77</v>
      </c>
      <c r="L863" s="2" t="s">
        <v>260</v>
      </c>
      <c r="M863" s="2" t="s">
        <v>261</v>
      </c>
      <c r="N863" s="2" t="s">
        <v>347</v>
      </c>
      <c r="O863" s="2" t="s">
        <v>81</v>
      </c>
      <c r="P863" s="2" t="str">
        <f>"2170527009                    "</f>
        <v xml:space="preserve">2170527009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17.62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35</v>
      </c>
      <c r="BJ863" s="2">
        <v>30.4</v>
      </c>
      <c r="BK863" s="2">
        <v>35</v>
      </c>
      <c r="BL863" s="2">
        <v>221.48</v>
      </c>
      <c r="BM863" s="2">
        <v>31.01</v>
      </c>
      <c r="BN863" s="2">
        <v>252.49</v>
      </c>
      <c r="BO863" s="2">
        <v>252.49</v>
      </c>
      <c r="BP863" s="2" t="s">
        <v>1064</v>
      </c>
      <c r="BQ863" s="2" t="s">
        <v>91</v>
      </c>
      <c r="BR863" s="2" t="s">
        <v>83</v>
      </c>
      <c r="BS863" s="3">
        <v>42657</v>
      </c>
      <c r="BT863" s="4">
        <v>0.41666666666666669</v>
      </c>
      <c r="BU863" s="2" t="s">
        <v>1090</v>
      </c>
      <c r="BV863" s="2" t="s">
        <v>85</v>
      </c>
      <c r="BW863" s="2"/>
      <c r="BX863" s="2"/>
      <c r="BY863" s="2">
        <v>151800</v>
      </c>
      <c r="BZ863" s="2"/>
      <c r="CA863" s="2"/>
      <c r="CB863" s="2"/>
      <c r="CC863" s="2" t="s">
        <v>261</v>
      </c>
      <c r="CD863" s="2">
        <v>6850</v>
      </c>
      <c r="CE863" s="2" t="s">
        <v>86</v>
      </c>
      <c r="CF863" s="5">
        <v>42660</v>
      </c>
      <c r="CG863" s="2"/>
      <c r="CH863" s="2"/>
      <c r="CI863" s="2">
        <v>4</v>
      </c>
      <c r="CJ863" s="2">
        <v>3</v>
      </c>
      <c r="CK863" s="2" t="s">
        <v>1289</v>
      </c>
      <c r="CL863" s="2" t="s">
        <v>88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"FES1162505937"</f>
        <v>FES1162505937</v>
      </c>
      <c r="F864" s="3">
        <v>42654</v>
      </c>
      <c r="G864" s="2">
        <v>201704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698</v>
      </c>
      <c r="M864" s="2" t="s">
        <v>699</v>
      </c>
      <c r="N864" s="2" t="s">
        <v>1290</v>
      </c>
      <c r="O864" s="2" t="s">
        <v>81</v>
      </c>
      <c r="P864" s="2" t="str">
        <f>"2170529144                    "</f>
        <v xml:space="preserve">2170529144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4.66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7.1</v>
      </c>
      <c r="BJ864" s="2">
        <v>3.2</v>
      </c>
      <c r="BK864" s="2">
        <v>8</v>
      </c>
      <c r="BL864" s="2">
        <v>62.31</v>
      </c>
      <c r="BM864" s="2">
        <v>8.7200000000000006</v>
      </c>
      <c r="BN864" s="2">
        <v>71.03</v>
      </c>
      <c r="BO864" s="2">
        <v>71.03</v>
      </c>
      <c r="BP864" s="2"/>
      <c r="BQ864" s="2" t="s">
        <v>91</v>
      </c>
      <c r="BR864" s="2" t="s">
        <v>83</v>
      </c>
      <c r="BS864" s="3">
        <v>42655</v>
      </c>
      <c r="BT864" s="4">
        <v>0.5625</v>
      </c>
      <c r="BU864" s="2" t="s">
        <v>1291</v>
      </c>
      <c r="BV864" s="2" t="s">
        <v>85</v>
      </c>
      <c r="BW864" s="2"/>
      <c r="BX864" s="2"/>
      <c r="BY864" s="2">
        <v>15994.08</v>
      </c>
      <c r="BZ864" s="2"/>
      <c r="CA864" s="2" t="s">
        <v>129</v>
      </c>
      <c r="CB864" s="2"/>
      <c r="CC864" s="2" t="s">
        <v>699</v>
      </c>
      <c r="CD864" s="2">
        <v>1759</v>
      </c>
      <c r="CE864" s="2" t="s">
        <v>86</v>
      </c>
      <c r="CF864" s="5">
        <v>42655</v>
      </c>
      <c r="CG864" s="2"/>
      <c r="CH864" s="2"/>
      <c r="CI864" s="2">
        <v>1</v>
      </c>
      <c r="CJ864" s="2">
        <v>1</v>
      </c>
      <c r="CK864" s="2" t="s">
        <v>1292</v>
      </c>
      <c r="CL864" s="2" t="s">
        <v>88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"FES1162505837"</f>
        <v>FES1162505837</v>
      </c>
      <c r="F865" s="3">
        <v>42654</v>
      </c>
      <c r="G865" s="2">
        <v>201704</v>
      </c>
      <c r="H865" s="2" t="s">
        <v>74</v>
      </c>
      <c r="I865" s="2" t="s">
        <v>75</v>
      </c>
      <c r="J865" s="2" t="s">
        <v>76</v>
      </c>
      <c r="K865" s="2" t="s">
        <v>77</v>
      </c>
      <c r="L865" s="2" t="s">
        <v>510</v>
      </c>
      <c r="M865" s="2" t="s">
        <v>511</v>
      </c>
      <c r="N865" s="2" t="s">
        <v>1161</v>
      </c>
      <c r="O865" s="2" t="s">
        <v>81</v>
      </c>
      <c r="P865" s="2" t="str">
        <f>"2170525999                    "</f>
        <v xml:space="preserve">2170525999                 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9.1199999999999992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23</v>
      </c>
      <c r="BJ865" s="2">
        <v>19.2</v>
      </c>
      <c r="BK865" s="2">
        <v>23</v>
      </c>
      <c r="BL865" s="2">
        <v>117</v>
      </c>
      <c r="BM865" s="2">
        <v>16.38</v>
      </c>
      <c r="BN865" s="2">
        <v>133.38</v>
      </c>
      <c r="BO865" s="2">
        <v>133.38</v>
      </c>
      <c r="BP865" s="2" t="s">
        <v>1293</v>
      </c>
      <c r="BQ865" s="2" t="s">
        <v>1162</v>
      </c>
      <c r="BR865" s="2" t="s">
        <v>83</v>
      </c>
      <c r="BS865" s="6" t="s">
        <v>679</v>
      </c>
      <c r="BT865" s="2"/>
      <c r="BU865" s="2"/>
      <c r="BV865" s="2"/>
      <c r="BW865" s="2"/>
      <c r="BX865" s="2"/>
      <c r="BY865" s="2">
        <v>96240</v>
      </c>
      <c r="BZ865" s="2"/>
      <c r="CA865" s="2"/>
      <c r="CB865" s="2"/>
      <c r="CC865" s="2" t="s">
        <v>511</v>
      </c>
      <c r="CD865" s="2">
        <v>3244</v>
      </c>
      <c r="CE865" s="2" t="s">
        <v>86</v>
      </c>
      <c r="CF865" s="2"/>
      <c r="CG865" s="2"/>
      <c r="CH865" s="2"/>
      <c r="CI865" s="2">
        <v>1</v>
      </c>
      <c r="CJ865" s="2" t="s">
        <v>679</v>
      </c>
      <c r="CK865" s="2" t="s">
        <v>1063</v>
      </c>
      <c r="CL865" s="2" t="s">
        <v>88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"FES1162505720"</f>
        <v>FES1162505720</v>
      </c>
      <c r="F866" s="3">
        <v>42654</v>
      </c>
      <c r="G866" s="2">
        <v>201704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148</v>
      </c>
      <c r="M866" s="2" t="s">
        <v>149</v>
      </c>
      <c r="N866" s="2" t="s">
        <v>150</v>
      </c>
      <c r="O866" s="2" t="s">
        <v>96</v>
      </c>
      <c r="P866" s="2" t="str">
        <f>"2170527950                    "</f>
        <v xml:space="preserve">2170527950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3.32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0.5</v>
      </c>
      <c r="BJ866" s="2">
        <v>0.2</v>
      </c>
      <c r="BK866" s="2">
        <v>0.5</v>
      </c>
      <c r="BL866" s="2">
        <v>40.76</v>
      </c>
      <c r="BM866" s="2">
        <v>5.71</v>
      </c>
      <c r="BN866" s="2">
        <v>46.47</v>
      </c>
      <c r="BO866" s="2">
        <v>46.47</v>
      </c>
      <c r="BP866" s="2"/>
      <c r="BQ866" s="2" t="s">
        <v>151</v>
      </c>
      <c r="BR866" s="2" t="s">
        <v>83</v>
      </c>
      <c r="BS866" s="3">
        <v>42655</v>
      </c>
      <c r="BT866" s="4">
        <v>0.4375</v>
      </c>
      <c r="BU866" s="2" t="s">
        <v>1294</v>
      </c>
      <c r="BV866" s="2" t="s">
        <v>85</v>
      </c>
      <c r="BW866" s="2"/>
      <c r="BX866" s="2"/>
      <c r="BY866" s="2">
        <v>1200</v>
      </c>
      <c r="BZ866" s="2"/>
      <c r="CA866" s="2"/>
      <c r="CB866" s="2"/>
      <c r="CC866" s="2" t="s">
        <v>149</v>
      </c>
      <c r="CD866" s="2">
        <v>4052</v>
      </c>
      <c r="CE866" s="2" t="s">
        <v>108</v>
      </c>
      <c r="CF866" s="5">
        <v>42656</v>
      </c>
      <c r="CG866" s="2"/>
      <c r="CH866" s="2"/>
      <c r="CI866" s="2">
        <v>1</v>
      </c>
      <c r="CJ866" s="2">
        <v>1</v>
      </c>
      <c r="CK866" s="2">
        <v>21</v>
      </c>
      <c r="CL866" s="2" t="s">
        <v>88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"FES1162505704"</f>
        <v>FES1162505704</v>
      </c>
      <c r="F867" s="3">
        <v>42654</v>
      </c>
      <c r="G867" s="2">
        <v>201704</v>
      </c>
      <c r="H867" s="2" t="s">
        <v>74</v>
      </c>
      <c r="I867" s="2" t="s">
        <v>75</v>
      </c>
      <c r="J867" s="2" t="s">
        <v>76</v>
      </c>
      <c r="K867" s="2" t="s">
        <v>77</v>
      </c>
      <c r="L867" s="2" t="s">
        <v>269</v>
      </c>
      <c r="M867" s="2" t="s">
        <v>270</v>
      </c>
      <c r="N867" s="2" t="s">
        <v>299</v>
      </c>
      <c r="O867" s="2" t="s">
        <v>96</v>
      </c>
      <c r="P867" s="2" t="str">
        <f>"2170527306                    "</f>
        <v xml:space="preserve">2170527306       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3.32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0.8</v>
      </c>
      <c r="BJ867" s="2">
        <v>1.4</v>
      </c>
      <c r="BK867" s="2">
        <v>1.5</v>
      </c>
      <c r="BL867" s="2">
        <v>40.76</v>
      </c>
      <c r="BM867" s="2">
        <v>5.71</v>
      </c>
      <c r="BN867" s="2">
        <v>46.47</v>
      </c>
      <c r="BO867" s="2">
        <v>46.47</v>
      </c>
      <c r="BP867" s="2"/>
      <c r="BQ867" s="2" t="s">
        <v>300</v>
      </c>
      <c r="BR867" s="2" t="s">
        <v>83</v>
      </c>
      <c r="BS867" s="3">
        <v>42655</v>
      </c>
      <c r="BT867" s="4">
        <v>0.4375</v>
      </c>
      <c r="BU867" s="2" t="s">
        <v>724</v>
      </c>
      <c r="BV867" s="2" t="s">
        <v>85</v>
      </c>
      <c r="BW867" s="2"/>
      <c r="BX867" s="2"/>
      <c r="BY867" s="2">
        <v>6812.99</v>
      </c>
      <c r="BZ867" s="2"/>
      <c r="CA867" s="2" t="s">
        <v>129</v>
      </c>
      <c r="CB867" s="2"/>
      <c r="CC867" s="2" t="s">
        <v>270</v>
      </c>
      <c r="CD867" s="2">
        <v>3610</v>
      </c>
      <c r="CE867" s="2" t="s">
        <v>108</v>
      </c>
      <c r="CF867" s="5">
        <v>42656</v>
      </c>
      <c r="CG867" s="2"/>
      <c r="CH867" s="2"/>
      <c r="CI867" s="2">
        <v>1</v>
      </c>
      <c r="CJ867" s="2">
        <v>1</v>
      </c>
      <c r="CK867" s="2">
        <v>21</v>
      </c>
      <c r="CL867" s="2" t="s">
        <v>88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"FES1162505721"</f>
        <v>FES1162505721</v>
      </c>
      <c r="F868" s="3">
        <v>42654</v>
      </c>
      <c r="G868" s="2">
        <v>201704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137</v>
      </c>
      <c r="M868" s="2" t="s">
        <v>138</v>
      </c>
      <c r="N868" s="2" t="s">
        <v>849</v>
      </c>
      <c r="O868" s="2" t="s">
        <v>96</v>
      </c>
      <c r="P868" s="2" t="str">
        <f>"2170527977                    "</f>
        <v xml:space="preserve">2170527977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3.32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0.5</v>
      </c>
      <c r="BJ868" s="2">
        <v>0.2</v>
      </c>
      <c r="BK868" s="2">
        <v>0.5</v>
      </c>
      <c r="BL868" s="2">
        <v>40.76</v>
      </c>
      <c r="BM868" s="2">
        <v>5.71</v>
      </c>
      <c r="BN868" s="2">
        <v>46.47</v>
      </c>
      <c r="BO868" s="2">
        <v>46.47</v>
      </c>
      <c r="BP868" s="2"/>
      <c r="BQ868" s="2" t="s">
        <v>850</v>
      </c>
      <c r="BR868" s="2" t="s">
        <v>83</v>
      </c>
      <c r="BS868" s="3">
        <v>42655</v>
      </c>
      <c r="BT868" s="4">
        <v>0.40486111111111112</v>
      </c>
      <c r="BU868" s="2" t="s">
        <v>1168</v>
      </c>
      <c r="BV868" s="2" t="s">
        <v>85</v>
      </c>
      <c r="BW868" s="2"/>
      <c r="BX868" s="2"/>
      <c r="BY868" s="2">
        <v>1200</v>
      </c>
      <c r="BZ868" s="2"/>
      <c r="CA868" s="2" t="s">
        <v>142</v>
      </c>
      <c r="CB868" s="2"/>
      <c r="CC868" s="2" t="s">
        <v>138</v>
      </c>
      <c r="CD868" s="2">
        <v>3201</v>
      </c>
      <c r="CE868" s="2" t="s">
        <v>108</v>
      </c>
      <c r="CF868" s="5">
        <v>42655</v>
      </c>
      <c r="CG868" s="2"/>
      <c r="CH868" s="2"/>
      <c r="CI868" s="2">
        <v>1</v>
      </c>
      <c r="CJ868" s="2">
        <v>1</v>
      </c>
      <c r="CK868" s="2">
        <v>21</v>
      </c>
      <c r="CL868" s="2" t="s">
        <v>88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"FES1162505726"</f>
        <v>FES1162505726</v>
      </c>
      <c r="F869" s="3">
        <v>42654</v>
      </c>
      <c r="G869" s="2">
        <v>201704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137</v>
      </c>
      <c r="M869" s="2" t="s">
        <v>138</v>
      </c>
      <c r="N869" s="2" t="s">
        <v>203</v>
      </c>
      <c r="O869" s="2" t="s">
        <v>96</v>
      </c>
      <c r="P869" s="2" t="str">
        <f>"217058271                     "</f>
        <v xml:space="preserve">217058271 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3.32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0.5</v>
      </c>
      <c r="BJ869" s="2">
        <v>1.3</v>
      </c>
      <c r="BK869" s="2">
        <v>1.5</v>
      </c>
      <c r="BL869" s="2">
        <v>40.76</v>
      </c>
      <c r="BM869" s="2">
        <v>5.71</v>
      </c>
      <c r="BN869" s="2">
        <v>46.47</v>
      </c>
      <c r="BO869" s="2">
        <v>46.47</v>
      </c>
      <c r="BP869" s="2"/>
      <c r="BQ869" s="2" t="s">
        <v>168</v>
      </c>
      <c r="BR869" s="2" t="s">
        <v>83</v>
      </c>
      <c r="BS869" s="3">
        <v>42655</v>
      </c>
      <c r="BT869" s="4">
        <v>0.39513888888888887</v>
      </c>
      <c r="BU869" s="2" t="s">
        <v>697</v>
      </c>
      <c r="BV869" s="2"/>
      <c r="BW869" s="2"/>
      <c r="BX869" s="2"/>
      <c r="BY869" s="2">
        <v>6295.89</v>
      </c>
      <c r="BZ869" s="2"/>
      <c r="CA869" s="2" t="s">
        <v>613</v>
      </c>
      <c r="CB869" s="2"/>
      <c r="CC869" s="2" t="s">
        <v>138</v>
      </c>
      <c r="CD869" s="2">
        <v>3201</v>
      </c>
      <c r="CE869" s="2" t="s">
        <v>108</v>
      </c>
      <c r="CF869" s="5">
        <v>42655</v>
      </c>
      <c r="CG869" s="2"/>
      <c r="CH869" s="2"/>
      <c r="CI869" s="2">
        <v>0</v>
      </c>
      <c r="CJ869" s="2">
        <v>0</v>
      </c>
      <c r="CK869" s="2">
        <v>21</v>
      </c>
      <c r="CL869" s="2" t="s">
        <v>88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"FES1162505705"</f>
        <v>FES1162505705</v>
      </c>
      <c r="F870" s="3">
        <v>42654</v>
      </c>
      <c r="G870" s="2">
        <v>201704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160</v>
      </c>
      <c r="M870" s="2" t="s">
        <v>161</v>
      </c>
      <c r="N870" s="2" t="s">
        <v>622</v>
      </c>
      <c r="O870" s="2" t="s">
        <v>96</v>
      </c>
      <c r="P870" s="2" t="str">
        <f>"2170527427                    "</f>
        <v xml:space="preserve">2170527427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3.32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0.5</v>
      </c>
      <c r="BJ870" s="2">
        <v>0.2</v>
      </c>
      <c r="BK870" s="2">
        <v>0.5</v>
      </c>
      <c r="BL870" s="2">
        <v>40.76</v>
      </c>
      <c r="BM870" s="2">
        <v>5.71</v>
      </c>
      <c r="BN870" s="2">
        <v>46.47</v>
      </c>
      <c r="BO870" s="2">
        <v>46.47</v>
      </c>
      <c r="BP870" s="2"/>
      <c r="BQ870" s="2" t="s">
        <v>623</v>
      </c>
      <c r="BR870" s="2" t="s">
        <v>83</v>
      </c>
      <c r="BS870" s="3">
        <v>42655</v>
      </c>
      <c r="BT870" s="4">
        <v>0.45416666666666666</v>
      </c>
      <c r="BU870" s="2" t="s">
        <v>831</v>
      </c>
      <c r="BV870" s="2" t="s">
        <v>85</v>
      </c>
      <c r="BW870" s="2"/>
      <c r="BX870" s="2"/>
      <c r="BY870" s="2">
        <v>1200</v>
      </c>
      <c r="BZ870" s="2"/>
      <c r="CA870" s="2" t="s">
        <v>1295</v>
      </c>
      <c r="CB870" s="2"/>
      <c r="CC870" s="2" t="s">
        <v>161</v>
      </c>
      <c r="CD870" s="2">
        <v>7490</v>
      </c>
      <c r="CE870" s="2" t="s">
        <v>108</v>
      </c>
      <c r="CF870" s="5">
        <v>42655</v>
      </c>
      <c r="CG870" s="2"/>
      <c r="CH870" s="2"/>
      <c r="CI870" s="2">
        <v>1</v>
      </c>
      <c r="CJ870" s="2">
        <v>1</v>
      </c>
      <c r="CK870" s="2">
        <v>21</v>
      </c>
      <c r="CL870" s="2" t="s">
        <v>88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"FES1162505747"</f>
        <v>FES1162505747</v>
      </c>
      <c r="F871" s="3">
        <v>42654</v>
      </c>
      <c r="G871" s="2">
        <v>201704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253</v>
      </c>
      <c r="M871" s="2" t="s">
        <v>254</v>
      </c>
      <c r="N871" s="2" t="s">
        <v>255</v>
      </c>
      <c r="O871" s="2" t="s">
        <v>96</v>
      </c>
      <c r="P871" s="2" t="str">
        <f>"2170529096                    "</f>
        <v xml:space="preserve">2170529096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6.43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0.5</v>
      </c>
      <c r="BJ871" s="2">
        <v>0.2</v>
      </c>
      <c r="BK871" s="2">
        <v>0.5</v>
      </c>
      <c r="BL871" s="2">
        <v>78.97</v>
      </c>
      <c r="BM871" s="2">
        <v>11.06</v>
      </c>
      <c r="BN871" s="2">
        <v>90.03</v>
      </c>
      <c r="BO871" s="2">
        <v>90.03</v>
      </c>
      <c r="BP871" s="2"/>
      <c r="BQ871" s="2" t="s">
        <v>117</v>
      </c>
      <c r="BR871" s="2" t="s">
        <v>83</v>
      </c>
      <c r="BS871" s="3">
        <v>42656</v>
      </c>
      <c r="BT871" s="4">
        <v>0.61944444444444446</v>
      </c>
      <c r="BU871" s="2" t="s">
        <v>457</v>
      </c>
      <c r="BV871" s="2" t="s">
        <v>85</v>
      </c>
      <c r="BW871" s="2"/>
      <c r="BX871" s="2"/>
      <c r="BY871" s="2">
        <v>1200</v>
      </c>
      <c r="BZ871" s="2"/>
      <c r="CA871" s="2"/>
      <c r="CB871" s="2"/>
      <c r="CC871" s="2" t="s">
        <v>254</v>
      </c>
      <c r="CD871" s="2">
        <v>3370</v>
      </c>
      <c r="CE871" s="2" t="s">
        <v>108</v>
      </c>
      <c r="CF871" s="5">
        <v>42660</v>
      </c>
      <c r="CG871" s="2"/>
      <c r="CH871" s="2"/>
      <c r="CI871" s="2">
        <v>3</v>
      </c>
      <c r="CJ871" s="2">
        <v>2</v>
      </c>
      <c r="CK871" s="2">
        <v>23</v>
      </c>
      <c r="CL871" s="2" t="s">
        <v>88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"FES1162505707"</f>
        <v>FES1162505707</v>
      </c>
      <c r="F872" s="3">
        <v>42654</v>
      </c>
      <c r="G872" s="2">
        <v>201704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148</v>
      </c>
      <c r="M872" s="2" t="s">
        <v>149</v>
      </c>
      <c r="N872" s="2" t="s">
        <v>1296</v>
      </c>
      <c r="O872" s="2" t="s">
        <v>96</v>
      </c>
      <c r="P872" s="2" t="str">
        <f>"2170527443                    "</f>
        <v xml:space="preserve">2170527443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3.32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0.5</v>
      </c>
      <c r="BJ872" s="2">
        <v>0.2</v>
      </c>
      <c r="BK872" s="2">
        <v>0.5</v>
      </c>
      <c r="BL872" s="2">
        <v>40.76</v>
      </c>
      <c r="BM872" s="2">
        <v>5.71</v>
      </c>
      <c r="BN872" s="2">
        <v>46.47</v>
      </c>
      <c r="BO872" s="2">
        <v>46.47</v>
      </c>
      <c r="BP872" s="2"/>
      <c r="BQ872" s="2" t="s">
        <v>117</v>
      </c>
      <c r="BR872" s="2" t="s">
        <v>83</v>
      </c>
      <c r="BS872" s="3">
        <v>42656</v>
      </c>
      <c r="BT872" s="4">
        <v>0.4375</v>
      </c>
      <c r="BU872" s="2" t="s">
        <v>1297</v>
      </c>
      <c r="BV872" s="2"/>
      <c r="BW872" s="2"/>
      <c r="BX872" s="2"/>
      <c r="BY872" s="2">
        <v>1200</v>
      </c>
      <c r="BZ872" s="2"/>
      <c r="CA872" s="2"/>
      <c r="CB872" s="2"/>
      <c r="CC872" s="2" t="s">
        <v>149</v>
      </c>
      <c r="CD872" s="2">
        <v>4001</v>
      </c>
      <c r="CE872" s="2" t="s">
        <v>108</v>
      </c>
      <c r="CF872" s="5">
        <v>42661</v>
      </c>
      <c r="CG872" s="2"/>
      <c r="CH872" s="2"/>
      <c r="CI872" s="2">
        <v>0</v>
      </c>
      <c r="CJ872" s="2">
        <v>0</v>
      </c>
      <c r="CK872" s="2">
        <v>21</v>
      </c>
      <c r="CL872" s="2" t="s">
        <v>88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"FES1162505761"</f>
        <v>FES1162505761</v>
      </c>
      <c r="F873" s="3">
        <v>42654</v>
      </c>
      <c r="G873" s="2">
        <v>201704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124</v>
      </c>
      <c r="M873" s="2" t="s">
        <v>125</v>
      </c>
      <c r="N873" s="2" t="s">
        <v>126</v>
      </c>
      <c r="O873" s="2" t="s">
        <v>96</v>
      </c>
      <c r="P873" s="2" t="str">
        <f>"2170529385                    "</f>
        <v xml:space="preserve">2170529385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3.32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0.5</v>
      </c>
      <c r="BJ873" s="2">
        <v>0.2</v>
      </c>
      <c r="BK873" s="2">
        <v>0.5</v>
      </c>
      <c r="BL873" s="2">
        <v>40.76</v>
      </c>
      <c r="BM873" s="2">
        <v>5.71</v>
      </c>
      <c r="BN873" s="2">
        <v>46.47</v>
      </c>
      <c r="BO873" s="2">
        <v>46.47</v>
      </c>
      <c r="BP873" s="2"/>
      <c r="BQ873" s="2" t="s">
        <v>127</v>
      </c>
      <c r="BR873" s="2" t="s">
        <v>83</v>
      </c>
      <c r="BS873" s="3">
        <v>42655</v>
      </c>
      <c r="BT873" s="4">
        <v>0.49305555555555558</v>
      </c>
      <c r="BU873" s="2" t="s">
        <v>1298</v>
      </c>
      <c r="BV873" s="2" t="s">
        <v>85</v>
      </c>
      <c r="BW873" s="2"/>
      <c r="BX873" s="2"/>
      <c r="BY873" s="2">
        <v>1200</v>
      </c>
      <c r="BZ873" s="2"/>
      <c r="CA873" s="2" t="s">
        <v>129</v>
      </c>
      <c r="CB873" s="2"/>
      <c r="CC873" s="2" t="s">
        <v>125</v>
      </c>
      <c r="CD873" s="2">
        <v>7140</v>
      </c>
      <c r="CE873" s="2" t="s">
        <v>108</v>
      </c>
      <c r="CF873" s="5">
        <v>42656</v>
      </c>
      <c r="CG873" s="2"/>
      <c r="CH873" s="2"/>
      <c r="CI873" s="2">
        <v>1</v>
      </c>
      <c r="CJ873" s="2">
        <v>1</v>
      </c>
      <c r="CK873" s="2">
        <v>21</v>
      </c>
      <c r="CL873" s="2" t="s">
        <v>88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"FES1162505927"</f>
        <v>FES1162505927</v>
      </c>
      <c r="F874" s="3">
        <v>42654</v>
      </c>
      <c r="G874" s="2">
        <v>201704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143</v>
      </c>
      <c r="M874" s="2" t="s">
        <v>144</v>
      </c>
      <c r="N874" s="2" t="s">
        <v>1299</v>
      </c>
      <c r="O874" s="2" t="s">
        <v>96</v>
      </c>
      <c r="P874" s="2" t="str">
        <f>"2170529552                    "</f>
        <v xml:space="preserve">2170529552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3.32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0.5</v>
      </c>
      <c r="BJ874" s="2">
        <v>0.2</v>
      </c>
      <c r="BK874" s="2">
        <v>0.5</v>
      </c>
      <c r="BL874" s="2">
        <v>40.76</v>
      </c>
      <c r="BM874" s="2">
        <v>5.71</v>
      </c>
      <c r="BN874" s="2">
        <v>46.47</v>
      </c>
      <c r="BO874" s="2">
        <v>46.47</v>
      </c>
      <c r="BP874" s="2"/>
      <c r="BQ874" s="2" t="s">
        <v>91</v>
      </c>
      <c r="BR874" s="2" t="s">
        <v>83</v>
      </c>
      <c r="BS874" s="3">
        <v>42655</v>
      </c>
      <c r="BT874" s="4">
        <v>0.42777777777777781</v>
      </c>
      <c r="BU874" s="2" t="s">
        <v>1300</v>
      </c>
      <c r="BV874" s="2" t="s">
        <v>85</v>
      </c>
      <c r="BW874" s="2"/>
      <c r="BX874" s="2"/>
      <c r="BY874" s="2">
        <v>1200</v>
      </c>
      <c r="BZ874" s="2"/>
      <c r="CA874" s="2"/>
      <c r="CB874" s="2"/>
      <c r="CC874" s="2" t="s">
        <v>144</v>
      </c>
      <c r="CD874" s="2">
        <v>5247</v>
      </c>
      <c r="CE874" s="2" t="s">
        <v>108</v>
      </c>
      <c r="CF874" s="5">
        <v>42656</v>
      </c>
      <c r="CG874" s="2"/>
      <c r="CH874" s="2"/>
      <c r="CI874" s="2">
        <v>1</v>
      </c>
      <c r="CJ874" s="2">
        <v>1</v>
      </c>
      <c r="CK874" s="2">
        <v>21</v>
      </c>
      <c r="CL874" s="2" t="s">
        <v>88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"FES1162505893"</f>
        <v>FES1162505893</v>
      </c>
      <c r="F875" s="3">
        <v>42654</v>
      </c>
      <c r="G875" s="2">
        <v>201704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594</v>
      </c>
      <c r="M875" s="2" t="s">
        <v>595</v>
      </c>
      <c r="N875" s="2" t="s">
        <v>1301</v>
      </c>
      <c r="O875" s="2" t="s">
        <v>96</v>
      </c>
      <c r="P875" s="2" t="str">
        <f>"2170529521                    "</f>
        <v xml:space="preserve">2170529521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6.43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0.5</v>
      </c>
      <c r="BJ875" s="2">
        <v>0.2</v>
      </c>
      <c r="BK875" s="2">
        <v>0.5</v>
      </c>
      <c r="BL875" s="2">
        <v>78.97</v>
      </c>
      <c r="BM875" s="2">
        <v>11.06</v>
      </c>
      <c r="BN875" s="2">
        <v>90.03</v>
      </c>
      <c r="BO875" s="2">
        <v>90.03</v>
      </c>
      <c r="BP875" s="2"/>
      <c r="BQ875" s="2" t="s">
        <v>1302</v>
      </c>
      <c r="BR875" s="2" t="s">
        <v>83</v>
      </c>
      <c r="BS875" s="3">
        <v>42655</v>
      </c>
      <c r="BT875" s="4">
        <v>0.5</v>
      </c>
      <c r="BU875" s="2" t="s">
        <v>775</v>
      </c>
      <c r="BV875" s="2" t="s">
        <v>85</v>
      </c>
      <c r="BW875" s="2"/>
      <c r="BX875" s="2"/>
      <c r="BY875" s="2">
        <v>1200</v>
      </c>
      <c r="BZ875" s="2"/>
      <c r="CA875" s="2"/>
      <c r="CB875" s="2"/>
      <c r="CC875" s="2" t="s">
        <v>595</v>
      </c>
      <c r="CD875" s="2">
        <v>6170</v>
      </c>
      <c r="CE875" s="2" t="s">
        <v>108</v>
      </c>
      <c r="CF875" s="2"/>
      <c r="CG875" s="2"/>
      <c r="CH875" s="2"/>
      <c r="CI875" s="2">
        <v>3</v>
      </c>
      <c r="CJ875" s="2">
        <v>1</v>
      </c>
      <c r="CK875" s="2">
        <v>23</v>
      </c>
      <c r="CL875" s="2" t="s">
        <v>88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"FES1162505730"</f>
        <v>FES1162505730</v>
      </c>
      <c r="F876" s="3">
        <v>42654</v>
      </c>
      <c r="G876" s="2">
        <v>201704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872</v>
      </c>
      <c r="M876" s="2" t="s">
        <v>873</v>
      </c>
      <c r="N876" s="2" t="s">
        <v>874</v>
      </c>
      <c r="O876" s="2" t="s">
        <v>96</v>
      </c>
      <c r="P876" s="2" t="str">
        <f>"2170528397                    "</f>
        <v xml:space="preserve">2170528397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3.32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0.5</v>
      </c>
      <c r="BJ876" s="2">
        <v>0.2</v>
      </c>
      <c r="BK876" s="2">
        <v>0.5</v>
      </c>
      <c r="BL876" s="2">
        <v>40.76</v>
      </c>
      <c r="BM876" s="2">
        <v>5.71</v>
      </c>
      <c r="BN876" s="2">
        <v>46.47</v>
      </c>
      <c r="BO876" s="2">
        <v>46.47</v>
      </c>
      <c r="BP876" s="2"/>
      <c r="BQ876" s="2" t="s">
        <v>875</v>
      </c>
      <c r="BR876" s="2" t="s">
        <v>83</v>
      </c>
      <c r="BS876" s="3">
        <v>42655</v>
      </c>
      <c r="BT876" s="4">
        <v>0.34027777777777773</v>
      </c>
      <c r="BU876" s="2" t="s">
        <v>1303</v>
      </c>
      <c r="BV876" s="2" t="s">
        <v>85</v>
      </c>
      <c r="BW876" s="2"/>
      <c r="BX876" s="2"/>
      <c r="BY876" s="2">
        <v>1200</v>
      </c>
      <c r="BZ876" s="2"/>
      <c r="CA876" s="2"/>
      <c r="CB876" s="2"/>
      <c r="CC876" s="2" t="s">
        <v>873</v>
      </c>
      <c r="CD876" s="2">
        <v>4126</v>
      </c>
      <c r="CE876" s="2" t="s">
        <v>108</v>
      </c>
      <c r="CF876" s="5">
        <v>42656</v>
      </c>
      <c r="CG876" s="2"/>
      <c r="CH876" s="2"/>
      <c r="CI876" s="2">
        <v>1</v>
      </c>
      <c r="CJ876" s="2">
        <v>1</v>
      </c>
      <c r="CK876" s="2">
        <v>21</v>
      </c>
      <c r="CL876" s="2" t="s">
        <v>88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"FES1162505888"</f>
        <v>FES1162505888</v>
      </c>
      <c r="F877" s="3">
        <v>42654</v>
      </c>
      <c r="G877" s="2">
        <v>201704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98</v>
      </c>
      <c r="M877" s="2" t="s">
        <v>99</v>
      </c>
      <c r="N877" s="2" t="s">
        <v>1098</v>
      </c>
      <c r="O877" s="2" t="s">
        <v>96</v>
      </c>
      <c r="P877" s="2" t="str">
        <f>"2170529517                    "</f>
        <v xml:space="preserve">2170529517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3.32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0.5</v>
      </c>
      <c r="BJ877" s="2">
        <v>1.2</v>
      </c>
      <c r="BK877" s="2">
        <v>1.5</v>
      </c>
      <c r="BL877" s="2">
        <v>40.76</v>
      </c>
      <c r="BM877" s="2">
        <v>5.71</v>
      </c>
      <c r="BN877" s="2">
        <v>46.47</v>
      </c>
      <c r="BO877" s="2">
        <v>46.47</v>
      </c>
      <c r="BP877" s="2"/>
      <c r="BQ877" s="2" t="s">
        <v>1099</v>
      </c>
      <c r="BR877" s="2" t="s">
        <v>83</v>
      </c>
      <c r="BS877" s="3">
        <v>42655</v>
      </c>
      <c r="BT877" s="4">
        <v>0.3125</v>
      </c>
      <c r="BU877" s="2" t="s">
        <v>603</v>
      </c>
      <c r="BV877" s="2" t="s">
        <v>85</v>
      </c>
      <c r="BW877" s="2"/>
      <c r="BX877" s="2"/>
      <c r="BY877" s="2">
        <v>5893</v>
      </c>
      <c r="BZ877" s="2"/>
      <c r="CA877" s="2" t="s">
        <v>107</v>
      </c>
      <c r="CB877" s="2"/>
      <c r="CC877" s="2" t="s">
        <v>99</v>
      </c>
      <c r="CD877" s="2">
        <v>6012</v>
      </c>
      <c r="CE877" s="2" t="s">
        <v>108</v>
      </c>
      <c r="CF877" s="5">
        <v>42655</v>
      </c>
      <c r="CG877" s="2"/>
      <c r="CH877" s="2"/>
      <c r="CI877" s="2">
        <v>1</v>
      </c>
      <c r="CJ877" s="2">
        <v>1</v>
      </c>
      <c r="CK877" s="2">
        <v>21</v>
      </c>
      <c r="CL877" s="2" t="s">
        <v>88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"FES1162505859"</f>
        <v>FES1162505859</v>
      </c>
      <c r="F878" s="3">
        <v>42654</v>
      </c>
      <c r="G878" s="2">
        <v>201704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98</v>
      </c>
      <c r="M878" s="2" t="s">
        <v>99</v>
      </c>
      <c r="N878" s="2" t="s">
        <v>1304</v>
      </c>
      <c r="O878" s="2" t="s">
        <v>96</v>
      </c>
      <c r="P878" s="2" t="str">
        <f>"2170529483                    "</f>
        <v xml:space="preserve">2170529483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4.1500000000000004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1.6</v>
      </c>
      <c r="BJ878" s="2">
        <v>2.4</v>
      </c>
      <c r="BK878" s="2">
        <v>2.5</v>
      </c>
      <c r="BL878" s="2">
        <v>50.95</v>
      </c>
      <c r="BM878" s="2">
        <v>7.13</v>
      </c>
      <c r="BN878" s="2">
        <v>58.08</v>
      </c>
      <c r="BO878" s="2">
        <v>58.08</v>
      </c>
      <c r="BP878" s="2"/>
      <c r="BQ878" s="2" t="s">
        <v>1305</v>
      </c>
      <c r="BR878" s="2" t="s">
        <v>83</v>
      </c>
      <c r="BS878" s="3">
        <v>42655</v>
      </c>
      <c r="BT878" s="4">
        <v>0.32291666666666669</v>
      </c>
      <c r="BU878" s="2" t="s">
        <v>1266</v>
      </c>
      <c r="BV878" s="2" t="s">
        <v>85</v>
      </c>
      <c r="BW878" s="2"/>
      <c r="BX878" s="2"/>
      <c r="BY878" s="2">
        <v>12089.7</v>
      </c>
      <c r="BZ878" s="2"/>
      <c r="CA878" s="2"/>
      <c r="CB878" s="2"/>
      <c r="CC878" s="2" t="s">
        <v>99</v>
      </c>
      <c r="CD878" s="2">
        <v>6001</v>
      </c>
      <c r="CE878" s="2" t="s">
        <v>108</v>
      </c>
      <c r="CF878" s="5">
        <v>42656</v>
      </c>
      <c r="CG878" s="2"/>
      <c r="CH878" s="2"/>
      <c r="CI878" s="2">
        <v>1</v>
      </c>
      <c r="CJ878" s="2">
        <v>1</v>
      </c>
      <c r="CK878" s="2">
        <v>21</v>
      </c>
      <c r="CL878" s="2" t="s">
        <v>88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"FES1162505759"</f>
        <v>FES1162505759</v>
      </c>
      <c r="F879" s="3">
        <v>42654</v>
      </c>
      <c r="G879" s="2">
        <v>201704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148</v>
      </c>
      <c r="M879" s="2" t="s">
        <v>149</v>
      </c>
      <c r="N879" s="2" t="s">
        <v>1306</v>
      </c>
      <c r="O879" s="2" t="s">
        <v>96</v>
      </c>
      <c r="P879" s="2" t="str">
        <f>"2170529382                    "</f>
        <v xml:space="preserve">2170529382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3.32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0.5</v>
      </c>
      <c r="BJ879" s="2">
        <v>0.2</v>
      </c>
      <c r="BK879" s="2">
        <v>0.5</v>
      </c>
      <c r="BL879" s="2">
        <v>40.76</v>
      </c>
      <c r="BM879" s="2">
        <v>5.71</v>
      </c>
      <c r="BN879" s="2">
        <v>46.47</v>
      </c>
      <c r="BO879" s="2">
        <v>46.47</v>
      </c>
      <c r="BP879" s="2"/>
      <c r="BQ879" s="2" t="s">
        <v>1307</v>
      </c>
      <c r="BR879" s="2" t="s">
        <v>83</v>
      </c>
      <c r="BS879" s="3">
        <v>42655</v>
      </c>
      <c r="BT879" s="4">
        <v>0.4375</v>
      </c>
      <c r="BU879" s="2" t="s">
        <v>1308</v>
      </c>
      <c r="BV879" s="2" t="s">
        <v>85</v>
      </c>
      <c r="BW879" s="2"/>
      <c r="BX879" s="2"/>
      <c r="BY879" s="2">
        <v>1200</v>
      </c>
      <c r="BZ879" s="2"/>
      <c r="CA879" s="2"/>
      <c r="CB879" s="2"/>
      <c r="CC879" s="2" t="s">
        <v>149</v>
      </c>
      <c r="CD879" s="2">
        <v>4068</v>
      </c>
      <c r="CE879" s="2" t="s">
        <v>108</v>
      </c>
      <c r="CF879" s="5">
        <v>42656</v>
      </c>
      <c r="CG879" s="2"/>
      <c r="CH879" s="2"/>
      <c r="CI879" s="2">
        <v>1</v>
      </c>
      <c r="CJ879" s="2">
        <v>1</v>
      </c>
      <c r="CK879" s="2">
        <v>21</v>
      </c>
      <c r="CL879" s="2" t="s">
        <v>88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"FES1162505780"</f>
        <v>FES1162505780</v>
      </c>
      <c r="F880" s="3">
        <v>42654</v>
      </c>
      <c r="G880" s="2">
        <v>201704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148</v>
      </c>
      <c r="M880" s="2" t="s">
        <v>149</v>
      </c>
      <c r="N880" s="2" t="s">
        <v>233</v>
      </c>
      <c r="O880" s="2" t="s">
        <v>96</v>
      </c>
      <c r="P880" s="2" t="str">
        <f>"2170529403                    "</f>
        <v xml:space="preserve">2170529403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3.32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1.3</v>
      </c>
      <c r="BJ880" s="2">
        <v>1.9</v>
      </c>
      <c r="BK880" s="2">
        <v>2</v>
      </c>
      <c r="BL880" s="2">
        <v>40.76</v>
      </c>
      <c r="BM880" s="2">
        <v>5.71</v>
      </c>
      <c r="BN880" s="2">
        <v>46.47</v>
      </c>
      <c r="BO880" s="2">
        <v>46.47</v>
      </c>
      <c r="BP880" s="2"/>
      <c r="BQ880" s="2" t="s">
        <v>234</v>
      </c>
      <c r="BR880" s="2" t="s">
        <v>83</v>
      </c>
      <c r="BS880" s="3">
        <v>42655</v>
      </c>
      <c r="BT880" s="4">
        <v>0.4375</v>
      </c>
      <c r="BU880" s="2" t="s">
        <v>1205</v>
      </c>
      <c r="BV880" s="2"/>
      <c r="BW880" s="2"/>
      <c r="BX880" s="2"/>
      <c r="BY880" s="2">
        <v>9472.56</v>
      </c>
      <c r="BZ880" s="2"/>
      <c r="CA880" s="2"/>
      <c r="CB880" s="2"/>
      <c r="CC880" s="2" t="s">
        <v>149</v>
      </c>
      <c r="CD880" s="2">
        <v>4001</v>
      </c>
      <c r="CE880" s="2" t="s">
        <v>108</v>
      </c>
      <c r="CF880" s="5">
        <v>42656</v>
      </c>
      <c r="CG880" s="2"/>
      <c r="CH880" s="2"/>
      <c r="CI880" s="2">
        <v>0</v>
      </c>
      <c r="CJ880" s="2">
        <v>0</v>
      </c>
      <c r="CK880" s="2">
        <v>21</v>
      </c>
      <c r="CL880" s="2" t="s">
        <v>88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"FES1162505814"</f>
        <v>FES1162505814</v>
      </c>
      <c r="F881" s="3">
        <v>42654</v>
      </c>
      <c r="G881" s="2">
        <v>201704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160</v>
      </c>
      <c r="M881" s="2" t="s">
        <v>161</v>
      </c>
      <c r="N881" s="2" t="s">
        <v>179</v>
      </c>
      <c r="O881" s="2" t="s">
        <v>96</v>
      </c>
      <c r="P881" s="2" t="str">
        <f>"2170529450                    "</f>
        <v xml:space="preserve">2170529450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3.32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0.5</v>
      </c>
      <c r="BJ881" s="2">
        <v>0.2</v>
      </c>
      <c r="BK881" s="2">
        <v>0.5</v>
      </c>
      <c r="BL881" s="2">
        <v>40.76</v>
      </c>
      <c r="BM881" s="2">
        <v>5.71</v>
      </c>
      <c r="BN881" s="2">
        <v>46.47</v>
      </c>
      <c r="BO881" s="2">
        <v>46.47</v>
      </c>
      <c r="BP881" s="2"/>
      <c r="BQ881" s="2" t="s">
        <v>180</v>
      </c>
      <c r="BR881" s="2" t="s">
        <v>83</v>
      </c>
      <c r="BS881" s="3">
        <v>42655</v>
      </c>
      <c r="BT881" s="4">
        <v>0.41666666666666669</v>
      </c>
      <c r="BU881" s="2" t="s">
        <v>181</v>
      </c>
      <c r="BV881" s="2" t="s">
        <v>85</v>
      </c>
      <c r="BW881" s="2"/>
      <c r="BX881" s="2"/>
      <c r="BY881" s="2">
        <v>1200</v>
      </c>
      <c r="BZ881" s="2"/>
      <c r="CA881" s="2"/>
      <c r="CB881" s="2"/>
      <c r="CC881" s="2" t="s">
        <v>161</v>
      </c>
      <c r="CD881" s="2">
        <v>7405</v>
      </c>
      <c r="CE881" s="2" t="s">
        <v>108</v>
      </c>
      <c r="CF881" s="5">
        <v>42656</v>
      </c>
      <c r="CG881" s="2"/>
      <c r="CH881" s="2"/>
      <c r="CI881" s="2">
        <v>1</v>
      </c>
      <c r="CJ881" s="2">
        <v>1</v>
      </c>
      <c r="CK881" s="2">
        <v>21</v>
      </c>
      <c r="CL881" s="2" t="s">
        <v>88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"FES1162505811"</f>
        <v>FES1162505811</v>
      </c>
      <c r="F882" s="3">
        <v>42654</v>
      </c>
      <c r="G882" s="2">
        <v>201704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148</v>
      </c>
      <c r="M882" s="2" t="s">
        <v>149</v>
      </c>
      <c r="N882" s="2" t="s">
        <v>422</v>
      </c>
      <c r="O882" s="2" t="s">
        <v>96</v>
      </c>
      <c r="P882" s="2" t="str">
        <f>"2170528388                    "</f>
        <v xml:space="preserve">2170528388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3.32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0.5</v>
      </c>
      <c r="BJ882" s="2">
        <v>0.2</v>
      </c>
      <c r="BK882" s="2">
        <v>0.5</v>
      </c>
      <c r="BL882" s="2">
        <v>40.76</v>
      </c>
      <c r="BM882" s="2">
        <v>5.71</v>
      </c>
      <c r="BN882" s="2">
        <v>46.47</v>
      </c>
      <c r="BO882" s="2">
        <v>46.47</v>
      </c>
      <c r="BP882" s="2"/>
      <c r="BQ882" s="2" t="s">
        <v>423</v>
      </c>
      <c r="BR882" s="2" t="s">
        <v>83</v>
      </c>
      <c r="BS882" s="3">
        <v>42655</v>
      </c>
      <c r="BT882" s="4">
        <v>0.4375</v>
      </c>
      <c r="BU882" s="2" t="s">
        <v>238</v>
      </c>
      <c r="BV882" s="2" t="s">
        <v>85</v>
      </c>
      <c r="BW882" s="2"/>
      <c r="BX882" s="2"/>
      <c r="BY882" s="2">
        <v>1200</v>
      </c>
      <c r="BZ882" s="2"/>
      <c r="CA882" s="2"/>
      <c r="CB882" s="2"/>
      <c r="CC882" s="2" t="s">
        <v>149</v>
      </c>
      <c r="CD882" s="2">
        <v>4052</v>
      </c>
      <c r="CE882" s="2" t="s">
        <v>108</v>
      </c>
      <c r="CF882" s="5">
        <v>42656</v>
      </c>
      <c r="CG882" s="2"/>
      <c r="CH882" s="2"/>
      <c r="CI882" s="2">
        <v>1</v>
      </c>
      <c r="CJ882" s="2">
        <v>1</v>
      </c>
      <c r="CK882" s="2">
        <v>21</v>
      </c>
      <c r="CL882" s="2" t="s">
        <v>88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"FES1162505832"</f>
        <v>FES1162505832</v>
      </c>
      <c r="F883" s="3">
        <v>42654</v>
      </c>
      <c r="G883" s="2">
        <v>201704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160</v>
      </c>
      <c r="M883" s="2" t="s">
        <v>161</v>
      </c>
      <c r="N883" s="2" t="s">
        <v>182</v>
      </c>
      <c r="O883" s="2" t="s">
        <v>96</v>
      </c>
      <c r="P883" s="2" t="str">
        <f>"2170529460                    "</f>
        <v xml:space="preserve">2170529460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3.32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0.5</v>
      </c>
      <c r="BJ883" s="2">
        <v>0.2</v>
      </c>
      <c r="BK883" s="2">
        <v>0.5</v>
      </c>
      <c r="BL883" s="2">
        <v>40.76</v>
      </c>
      <c r="BM883" s="2">
        <v>5.71</v>
      </c>
      <c r="BN883" s="2">
        <v>46.47</v>
      </c>
      <c r="BO883" s="2">
        <v>46.47</v>
      </c>
      <c r="BP883" s="2"/>
      <c r="BQ883" s="2" t="s">
        <v>91</v>
      </c>
      <c r="BR883" s="2" t="s">
        <v>83</v>
      </c>
      <c r="BS883" s="3">
        <v>42655</v>
      </c>
      <c r="BT883" s="4">
        <v>0.45833333333333331</v>
      </c>
      <c r="BU883" s="2" t="s">
        <v>1249</v>
      </c>
      <c r="BV883" s="2"/>
      <c r="BW883" s="2" t="s">
        <v>222</v>
      </c>
      <c r="BX883" s="2" t="s">
        <v>356</v>
      </c>
      <c r="BY883" s="2">
        <v>1200</v>
      </c>
      <c r="BZ883" s="2"/>
      <c r="CA883" s="2"/>
      <c r="CB883" s="2"/>
      <c r="CC883" s="2" t="s">
        <v>161</v>
      </c>
      <c r="CD883" s="2">
        <v>8001</v>
      </c>
      <c r="CE883" s="2" t="s">
        <v>108</v>
      </c>
      <c r="CF883" s="5">
        <v>42656</v>
      </c>
      <c r="CG883" s="2"/>
      <c r="CH883" s="2"/>
      <c r="CI883" s="2">
        <v>0</v>
      </c>
      <c r="CJ883" s="2">
        <v>0</v>
      </c>
      <c r="CK883" s="2">
        <v>21</v>
      </c>
      <c r="CL883" s="2" t="s">
        <v>88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"FES1162505798"</f>
        <v>FES1162505798</v>
      </c>
      <c r="F884" s="3">
        <v>42654</v>
      </c>
      <c r="G884" s="2">
        <v>201704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93</v>
      </c>
      <c r="M884" s="2" t="s">
        <v>94</v>
      </c>
      <c r="N884" s="2" t="s">
        <v>536</v>
      </c>
      <c r="O884" s="2" t="s">
        <v>96</v>
      </c>
      <c r="P884" s="2" t="str">
        <f>"2170529430                    "</f>
        <v xml:space="preserve">2170529430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3.32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0.5</v>
      </c>
      <c r="BJ884" s="2">
        <v>0.2</v>
      </c>
      <c r="BK884" s="2">
        <v>0.5</v>
      </c>
      <c r="BL884" s="2">
        <v>40.76</v>
      </c>
      <c r="BM884" s="2">
        <v>5.71</v>
      </c>
      <c r="BN884" s="2">
        <v>46.47</v>
      </c>
      <c r="BO884" s="2">
        <v>46.47</v>
      </c>
      <c r="BP884" s="2"/>
      <c r="BQ884" s="2" t="s">
        <v>537</v>
      </c>
      <c r="BR884" s="2" t="s">
        <v>83</v>
      </c>
      <c r="BS884" s="3">
        <v>42655</v>
      </c>
      <c r="BT884" s="4">
        <v>0.54166666666666663</v>
      </c>
      <c r="BU884" s="2" t="s">
        <v>540</v>
      </c>
      <c r="BV884" s="2" t="s">
        <v>85</v>
      </c>
      <c r="BW884" s="2"/>
      <c r="BX884" s="2"/>
      <c r="BY884" s="2">
        <v>1200</v>
      </c>
      <c r="BZ884" s="2"/>
      <c r="CA884" s="2"/>
      <c r="CB884" s="2"/>
      <c r="CC884" s="2" t="s">
        <v>94</v>
      </c>
      <c r="CD884" s="2">
        <v>4300</v>
      </c>
      <c r="CE884" s="2" t="s">
        <v>108</v>
      </c>
      <c r="CF884" s="5">
        <v>42656</v>
      </c>
      <c r="CG884" s="2"/>
      <c r="CH884" s="2"/>
      <c r="CI884" s="2">
        <v>1</v>
      </c>
      <c r="CJ884" s="2">
        <v>1</v>
      </c>
      <c r="CK884" s="2">
        <v>21</v>
      </c>
      <c r="CL884" s="2" t="s">
        <v>88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"FES1162505833"</f>
        <v>FES1162505833</v>
      </c>
      <c r="F885" s="3">
        <v>42654</v>
      </c>
      <c r="G885" s="2">
        <v>201704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137</v>
      </c>
      <c r="M885" s="2" t="s">
        <v>138</v>
      </c>
      <c r="N885" s="2" t="s">
        <v>1309</v>
      </c>
      <c r="O885" s="2" t="s">
        <v>96</v>
      </c>
      <c r="P885" s="2" t="str">
        <f>"2170529461                    "</f>
        <v xml:space="preserve">2170529461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3.32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0.5</v>
      </c>
      <c r="BJ885" s="2">
        <v>0.2</v>
      </c>
      <c r="BK885" s="2">
        <v>0.5</v>
      </c>
      <c r="BL885" s="2">
        <v>40.76</v>
      </c>
      <c r="BM885" s="2">
        <v>5.71</v>
      </c>
      <c r="BN885" s="2">
        <v>46.47</v>
      </c>
      <c r="BO885" s="2">
        <v>46.47</v>
      </c>
      <c r="BP885" s="2"/>
      <c r="BQ885" s="2" t="s">
        <v>82</v>
      </c>
      <c r="BR885" s="2" t="s">
        <v>83</v>
      </c>
      <c r="BS885" s="3">
        <v>42655</v>
      </c>
      <c r="BT885" s="4">
        <v>0.33333333333333331</v>
      </c>
      <c r="BU885" s="2" t="s">
        <v>1310</v>
      </c>
      <c r="BV885" s="2"/>
      <c r="BW885" s="2"/>
      <c r="BX885" s="2"/>
      <c r="BY885" s="2">
        <v>1200</v>
      </c>
      <c r="BZ885" s="2"/>
      <c r="CA885" s="2" t="s">
        <v>129</v>
      </c>
      <c r="CB885" s="2"/>
      <c r="CC885" s="2" t="s">
        <v>138</v>
      </c>
      <c r="CD885" s="2">
        <v>3201</v>
      </c>
      <c r="CE885" s="2" t="s">
        <v>108</v>
      </c>
      <c r="CF885" s="5">
        <v>42656</v>
      </c>
      <c r="CG885" s="2"/>
      <c r="CH885" s="2"/>
      <c r="CI885" s="2">
        <v>0</v>
      </c>
      <c r="CJ885" s="2">
        <v>0</v>
      </c>
      <c r="CK885" s="2">
        <v>21</v>
      </c>
      <c r="CL885" s="2" t="s">
        <v>88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"FES1162505687"</f>
        <v>FES1162505687</v>
      </c>
      <c r="F886" s="3">
        <v>42654</v>
      </c>
      <c r="G886" s="2">
        <v>201704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156</v>
      </c>
      <c r="M886" s="2" t="s">
        <v>157</v>
      </c>
      <c r="N886" s="2" t="s">
        <v>158</v>
      </c>
      <c r="O886" s="2" t="s">
        <v>96</v>
      </c>
      <c r="P886" s="2" t="str">
        <f>"2170526793                    "</f>
        <v xml:space="preserve">2170526793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3.32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0.5</v>
      </c>
      <c r="BJ886" s="2">
        <v>0.2</v>
      </c>
      <c r="BK886" s="2">
        <v>0.5</v>
      </c>
      <c r="BL886" s="2">
        <v>40.76</v>
      </c>
      <c r="BM886" s="2">
        <v>5.71</v>
      </c>
      <c r="BN886" s="2">
        <v>46.47</v>
      </c>
      <c r="BO886" s="2">
        <v>46.47</v>
      </c>
      <c r="BP886" s="2"/>
      <c r="BQ886" s="2" t="s">
        <v>91</v>
      </c>
      <c r="BR886" s="2" t="s">
        <v>83</v>
      </c>
      <c r="BS886" s="3">
        <v>42655</v>
      </c>
      <c r="BT886" s="4">
        <v>0.41666666666666669</v>
      </c>
      <c r="BU886" s="2" t="s">
        <v>1285</v>
      </c>
      <c r="BV886" s="2" t="s">
        <v>85</v>
      </c>
      <c r="BW886" s="2"/>
      <c r="BX886" s="2"/>
      <c r="BY886" s="2">
        <v>1200</v>
      </c>
      <c r="BZ886" s="2"/>
      <c r="CA886" s="2" t="s">
        <v>129</v>
      </c>
      <c r="CB886" s="2"/>
      <c r="CC886" s="2" t="s">
        <v>157</v>
      </c>
      <c r="CD886" s="2">
        <v>7130</v>
      </c>
      <c r="CE886" s="2" t="s">
        <v>108</v>
      </c>
      <c r="CF886" s="5">
        <v>42656</v>
      </c>
      <c r="CG886" s="2"/>
      <c r="CH886" s="2"/>
      <c r="CI886" s="2">
        <v>1</v>
      </c>
      <c r="CJ886" s="2">
        <v>1</v>
      </c>
      <c r="CK886" s="2">
        <v>21</v>
      </c>
      <c r="CL886" s="2" t="s">
        <v>88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"FES1162505785"</f>
        <v>FES1162505785</v>
      </c>
      <c r="F887" s="3">
        <v>42654</v>
      </c>
      <c r="G887" s="2">
        <v>201704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323</v>
      </c>
      <c r="M887" s="2" t="s">
        <v>324</v>
      </c>
      <c r="N887" s="2" t="s">
        <v>325</v>
      </c>
      <c r="O887" s="2" t="s">
        <v>96</v>
      </c>
      <c r="P887" s="2" t="str">
        <f>"2170529414                    "</f>
        <v xml:space="preserve">2170529414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3.32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0.5</v>
      </c>
      <c r="BJ887" s="2">
        <v>0.2</v>
      </c>
      <c r="BK887" s="2">
        <v>0.5</v>
      </c>
      <c r="BL887" s="2">
        <v>40.76</v>
      </c>
      <c r="BM887" s="2">
        <v>5.71</v>
      </c>
      <c r="BN887" s="2">
        <v>46.47</v>
      </c>
      <c r="BO887" s="2">
        <v>46.47</v>
      </c>
      <c r="BP887" s="2"/>
      <c r="BQ887" s="2" t="s">
        <v>117</v>
      </c>
      <c r="BR887" s="2" t="s">
        <v>83</v>
      </c>
      <c r="BS887" s="3">
        <v>42655</v>
      </c>
      <c r="BT887" s="4">
        <v>0.375</v>
      </c>
      <c r="BU887" s="2" t="s">
        <v>1214</v>
      </c>
      <c r="BV887" s="2"/>
      <c r="BW887" s="2"/>
      <c r="BX887" s="2"/>
      <c r="BY887" s="2">
        <v>1200</v>
      </c>
      <c r="BZ887" s="2"/>
      <c r="CA887" s="2" t="s">
        <v>1215</v>
      </c>
      <c r="CB887" s="2"/>
      <c r="CC887" s="2" t="s">
        <v>324</v>
      </c>
      <c r="CD887" s="2">
        <v>9301</v>
      </c>
      <c r="CE887" s="2" t="s">
        <v>108</v>
      </c>
      <c r="CF887" s="5">
        <v>42656</v>
      </c>
      <c r="CG887" s="2"/>
      <c r="CH887" s="2"/>
      <c r="CI887" s="2">
        <v>0</v>
      </c>
      <c r="CJ887" s="2">
        <v>0</v>
      </c>
      <c r="CK887" s="2">
        <v>21</v>
      </c>
      <c r="CL887" s="2" t="s">
        <v>88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"FES1162505813"</f>
        <v>FES1162505813</v>
      </c>
      <c r="F888" s="3">
        <v>42654</v>
      </c>
      <c r="G888" s="2">
        <v>201704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148</v>
      </c>
      <c r="M888" s="2" t="s">
        <v>149</v>
      </c>
      <c r="N888" s="2" t="s">
        <v>242</v>
      </c>
      <c r="O888" s="2" t="s">
        <v>96</v>
      </c>
      <c r="P888" s="2" t="str">
        <f>"2170529449                    "</f>
        <v xml:space="preserve">2170529449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3.32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0.5</v>
      </c>
      <c r="BJ888" s="2">
        <v>0.2</v>
      </c>
      <c r="BK888" s="2">
        <v>0.5</v>
      </c>
      <c r="BL888" s="2">
        <v>40.76</v>
      </c>
      <c r="BM888" s="2">
        <v>5.71</v>
      </c>
      <c r="BN888" s="2">
        <v>46.47</v>
      </c>
      <c r="BO888" s="2">
        <v>46.47</v>
      </c>
      <c r="BP888" s="2"/>
      <c r="BQ888" s="2" t="s">
        <v>91</v>
      </c>
      <c r="BR888" s="2" t="s">
        <v>83</v>
      </c>
      <c r="BS888" s="3">
        <v>42655</v>
      </c>
      <c r="BT888" s="4">
        <v>0.4375</v>
      </c>
      <c r="BU888" s="2" t="s">
        <v>1311</v>
      </c>
      <c r="BV888" s="2"/>
      <c r="BW888" s="2"/>
      <c r="BX888" s="2"/>
      <c r="BY888" s="2">
        <v>1200</v>
      </c>
      <c r="BZ888" s="2"/>
      <c r="CA888" s="2"/>
      <c r="CB888" s="2"/>
      <c r="CC888" s="2" t="s">
        <v>149</v>
      </c>
      <c r="CD888" s="2">
        <v>4001</v>
      </c>
      <c r="CE888" s="2" t="s">
        <v>108</v>
      </c>
      <c r="CF888" s="5">
        <v>42656</v>
      </c>
      <c r="CG888" s="2"/>
      <c r="CH888" s="2"/>
      <c r="CI888" s="2">
        <v>0</v>
      </c>
      <c r="CJ888" s="2">
        <v>0</v>
      </c>
      <c r="CK888" s="2">
        <v>21</v>
      </c>
      <c r="CL888" s="2" t="s">
        <v>88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"FES1162505661"</f>
        <v>FES1162505661</v>
      </c>
      <c r="F889" s="3">
        <v>42654</v>
      </c>
      <c r="G889" s="2">
        <v>201704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153</v>
      </c>
      <c r="M889" s="2" t="s">
        <v>153</v>
      </c>
      <c r="N889" s="2" t="s">
        <v>353</v>
      </c>
      <c r="O889" s="2" t="s">
        <v>96</v>
      </c>
      <c r="P889" s="2" t="str">
        <f>"2170529353                    "</f>
        <v xml:space="preserve">2170529353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3.32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0.5</v>
      </c>
      <c r="BJ889" s="2">
        <v>0.2</v>
      </c>
      <c r="BK889" s="2">
        <v>0.5</v>
      </c>
      <c r="BL889" s="2">
        <v>40.76</v>
      </c>
      <c r="BM889" s="2">
        <v>5.71</v>
      </c>
      <c r="BN889" s="2">
        <v>46.47</v>
      </c>
      <c r="BO889" s="2">
        <v>46.47</v>
      </c>
      <c r="BP889" s="2"/>
      <c r="BQ889" s="2" t="s">
        <v>354</v>
      </c>
      <c r="BR889" s="2" t="s">
        <v>83</v>
      </c>
      <c r="BS889" s="3">
        <v>42655</v>
      </c>
      <c r="BT889" s="4">
        <v>0.49305555555555558</v>
      </c>
      <c r="BU889" s="2" t="s">
        <v>434</v>
      </c>
      <c r="BV889" s="2" t="s">
        <v>85</v>
      </c>
      <c r="BW889" s="2"/>
      <c r="BX889" s="2"/>
      <c r="BY889" s="2">
        <v>1200</v>
      </c>
      <c r="BZ889" s="2"/>
      <c r="CA889" s="2"/>
      <c r="CB889" s="2"/>
      <c r="CC889" s="2" t="s">
        <v>153</v>
      </c>
      <c r="CD889" s="2">
        <v>7646</v>
      </c>
      <c r="CE889" s="2" t="s">
        <v>108</v>
      </c>
      <c r="CF889" s="5">
        <v>42656</v>
      </c>
      <c r="CG889" s="2"/>
      <c r="CH889" s="2"/>
      <c r="CI889" s="2">
        <v>1</v>
      </c>
      <c r="CJ889" s="2">
        <v>1</v>
      </c>
      <c r="CK889" s="2">
        <v>21</v>
      </c>
      <c r="CL889" s="2" t="s">
        <v>88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"FES1162505744"</f>
        <v>FES1162505744</v>
      </c>
      <c r="F890" s="3">
        <v>42654</v>
      </c>
      <c r="G890" s="2">
        <v>201704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153</v>
      </c>
      <c r="M890" s="2" t="s">
        <v>153</v>
      </c>
      <c r="N890" s="2" t="s">
        <v>200</v>
      </c>
      <c r="O890" s="2" t="s">
        <v>96</v>
      </c>
      <c r="P890" s="2" t="str">
        <f>"2170529030                    "</f>
        <v xml:space="preserve">2170529030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3.32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0.5</v>
      </c>
      <c r="BJ890" s="2">
        <v>0.2</v>
      </c>
      <c r="BK890" s="2">
        <v>0.5</v>
      </c>
      <c r="BL890" s="2">
        <v>40.76</v>
      </c>
      <c r="BM890" s="2">
        <v>5.71</v>
      </c>
      <c r="BN890" s="2">
        <v>46.47</v>
      </c>
      <c r="BO890" s="2">
        <v>46.47</v>
      </c>
      <c r="BP890" s="2"/>
      <c r="BQ890" s="2" t="s">
        <v>201</v>
      </c>
      <c r="BR890" s="2" t="s">
        <v>83</v>
      </c>
      <c r="BS890" s="3">
        <v>42655</v>
      </c>
      <c r="BT890" s="4">
        <v>0.4597222222222222</v>
      </c>
      <c r="BU890" s="2" t="s">
        <v>448</v>
      </c>
      <c r="BV890" s="2" t="s">
        <v>85</v>
      </c>
      <c r="BW890" s="2"/>
      <c r="BX890" s="2"/>
      <c r="BY890" s="2">
        <v>1200</v>
      </c>
      <c r="BZ890" s="2"/>
      <c r="CA890" s="2"/>
      <c r="CB890" s="2"/>
      <c r="CC890" s="2" t="s">
        <v>153</v>
      </c>
      <c r="CD890" s="2">
        <v>7646</v>
      </c>
      <c r="CE890" s="2" t="s">
        <v>108</v>
      </c>
      <c r="CF890" s="5">
        <v>42656</v>
      </c>
      <c r="CG890" s="2"/>
      <c r="CH890" s="2"/>
      <c r="CI890" s="2">
        <v>1</v>
      </c>
      <c r="CJ890" s="2">
        <v>1</v>
      </c>
      <c r="CK890" s="2">
        <v>21</v>
      </c>
      <c r="CL890" s="2" t="s">
        <v>88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"FES1162505684"</f>
        <v>FES1162505684</v>
      </c>
      <c r="F891" s="3">
        <v>42654</v>
      </c>
      <c r="G891" s="2">
        <v>201704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160</v>
      </c>
      <c r="M891" s="2" t="s">
        <v>161</v>
      </c>
      <c r="N891" s="2" t="s">
        <v>622</v>
      </c>
      <c r="O891" s="2" t="s">
        <v>96</v>
      </c>
      <c r="P891" s="2" t="str">
        <f>"2170526720                    "</f>
        <v xml:space="preserve">2170526720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3.32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0.5</v>
      </c>
      <c r="BJ891" s="2">
        <v>0.2</v>
      </c>
      <c r="BK891" s="2">
        <v>0.5</v>
      </c>
      <c r="BL891" s="2">
        <v>40.76</v>
      </c>
      <c r="BM891" s="2">
        <v>5.71</v>
      </c>
      <c r="BN891" s="2">
        <v>46.47</v>
      </c>
      <c r="BO891" s="2">
        <v>46.47</v>
      </c>
      <c r="BP891" s="2"/>
      <c r="BQ891" s="2" t="s">
        <v>623</v>
      </c>
      <c r="BR891" s="2" t="s">
        <v>83</v>
      </c>
      <c r="BS891" s="3">
        <v>42655</v>
      </c>
      <c r="BT891" s="4">
        <v>0.45347222222222222</v>
      </c>
      <c r="BU891" s="2" t="s">
        <v>831</v>
      </c>
      <c r="BV891" s="2" t="s">
        <v>85</v>
      </c>
      <c r="BW891" s="2"/>
      <c r="BX891" s="2"/>
      <c r="BY891" s="2">
        <v>1200</v>
      </c>
      <c r="BZ891" s="2"/>
      <c r="CA891" s="2" t="s">
        <v>1295</v>
      </c>
      <c r="CB891" s="2"/>
      <c r="CC891" s="2" t="s">
        <v>161</v>
      </c>
      <c r="CD891" s="2">
        <v>7490</v>
      </c>
      <c r="CE891" s="2" t="s">
        <v>108</v>
      </c>
      <c r="CF891" s="5">
        <v>42655</v>
      </c>
      <c r="CG891" s="2"/>
      <c r="CH891" s="2"/>
      <c r="CI891" s="2">
        <v>1</v>
      </c>
      <c r="CJ891" s="2">
        <v>1</v>
      </c>
      <c r="CK891" s="2">
        <v>21</v>
      </c>
      <c r="CL891" s="2" t="s">
        <v>88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"FES1162505928"</f>
        <v>FES1162505928</v>
      </c>
      <c r="F892" s="3">
        <v>42654</v>
      </c>
      <c r="G892" s="2">
        <v>201704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98</v>
      </c>
      <c r="M892" s="2" t="s">
        <v>99</v>
      </c>
      <c r="N892" s="2" t="s">
        <v>769</v>
      </c>
      <c r="O892" s="2" t="s">
        <v>96</v>
      </c>
      <c r="P892" s="2" t="str">
        <f>"2170529555                    "</f>
        <v xml:space="preserve">2170529555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3.32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0.5</v>
      </c>
      <c r="BJ892" s="2">
        <v>0.2</v>
      </c>
      <c r="BK892" s="2">
        <v>0.5</v>
      </c>
      <c r="BL892" s="2">
        <v>40.76</v>
      </c>
      <c r="BM892" s="2">
        <v>5.71</v>
      </c>
      <c r="BN892" s="2">
        <v>46.47</v>
      </c>
      <c r="BO892" s="2">
        <v>46.47</v>
      </c>
      <c r="BP892" s="2"/>
      <c r="BQ892" s="2" t="s">
        <v>770</v>
      </c>
      <c r="BR892" s="2" t="s">
        <v>83</v>
      </c>
      <c r="BS892" s="3">
        <v>42655</v>
      </c>
      <c r="BT892" s="4">
        <v>0.3576388888888889</v>
      </c>
      <c r="BU892" s="2" t="s">
        <v>1312</v>
      </c>
      <c r="BV892" s="2"/>
      <c r="BW892" s="2"/>
      <c r="BX892" s="2"/>
      <c r="BY892" s="2">
        <v>1200</v>
      </c>
      <c r="BZ892" s="2"/>
      <c r="CA892" s="2"/>
      <c r="CB892" s="2"/>
      <c r="CC892" s="2" t="s">
        <v>99</v>
      </c>
      <c r="CD892" s="2">
        <v>6001</v>
      </c>
      <c r="CE892" s="2" t="s">
        <v>108</v>
      </c>
      <c r="CF892" s="5">
        <v>42656</v>
      </c>
      <c r="CG892" s="2"/>
      <c r="CH892" s="2"/>
      <c r="CI892" s="2">
        <v>0</v>
      </c>
      <c r="CJ892" s="2">
        <v>0</v>
      </c>
      <c r="CK892" s="2">
        <v>21</v>
      </c>
      <c r="CL892" s="2" t="s">
        <v>88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"FES1162505804"</f>
        <v>FES1162505804</v>
      </c>
      <c r="F893" s="3">
        <v>42654</v>
      </c>
      <c r="G893" s="2">
        <v>201704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98</v>
      </c>
      <c r="M893" s="2" t="s">
        <v>99</v>
      </c>
      <c r="N893" s="2" t="s">
        <v>104</v>
      </c>
      <c r="O893" s="2" t="s">
        <v>96</v>
      </c>
      <c r="P893" s="2" t="str">
        <f>"2170529438                    "</f>
        <v xml:space="preserve">2170529438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3.32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0.5</v>
      </c>
      <c r="BJ893" s="2">
        <v>0.2</v>
      </c>
      <c r="BK893" s="2">
        <v>0.5</v>
      </c>
      <c r="BL893" s="2">
        <v>40.76</v>
      </c>
      <c r="BM893" s="2">
        <v>5.71</v>
      </c>
      <c r="BN893" s="2">
        <v>46.47</v>
      </c>
      <c r="BO893" s="2">
        <v>46.47</v>
      </c>
      <c r="BP893" s="2"/>
      <c r="BQ893" s="2" t="s">
        <v>105</v>
      </c>
      <c r="BR893" s="2" t="s">
        <v>83</v>
      </c>
      <c r="BS893" s="3">
        <v>42655</v>
      </c>
      <c r="BT893" s="4">
        <v>0.42708333333333331</v>
      </c>
      <c r="BU893" s="2" t="s">
        <v>106</v>
      </c>
      <c r="BV893" s="2" t="s">
        <v>85</v>
      </c>
      <c r="BW893" s="2"/>
      <c r="BX893" s="2"/>
      <c r="BY893" s="2">
        <v>1200</v>
      </c>
      <c r="BZ893" s="2"/>
      <c r="CA893" s="2" t="s">
        <v>107</v>
      </c>
      <c r="CB893" s="2"/>
      <c r="CC893" s="2" t="s">
        <v>99</v>
      </c>
      <c r="CD893" s="2">
        <v>6001</v>
      </c>
      <c r="CE893" s="2" t="s">
        <v>108</v>
      </c>
      <c r="CF893" s="5">
        <v>42655</v>
      </c>
      <c r="CG893" s="2"/>
      <c r="CH893" s="2"/>
      <c r="CI893" s="2">
        <v>1</v>
      </c>
      <c r="CJ893" s="2">
        <v>1</v>
      </c>
      <c r="CK893" s="2">
        <v>21</v>
      </c>
      <c r="CL893" s="2" t="s">
        <v>88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"FES1162505741"</f>
        <v>FES1162505741</v>
      </c>
      <c r="F894" s="3">
        <v>42654</v>
      </c>
      <c r="G894" s="2">
        <v>201704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884</v>
      </c>
      <c r="M894" s="2" t="s">
        <v>885</v>
      </c>
      <c r="N894" s="2" t="s">
        <v>886</v>
      </c>
      <c r="O894" s="2" t="s">
        <v>96</v>
      </c>
      <c r="P894" s="2" t="str">
        <f>"2170528877                    "</f>
        <v xml:space="preserve">2170528877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6.43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1</v>
      </c>
      <c r="BJ894" s="2">
        <v>1.4</v>
      </c>
      <c r="BK894" s="2">
        <v>1.5</v>
      </c>
      <c r="BL894" s="2">
        <v>78.97</v>
      </c>
      <c r="BM894" s="2">
        <v>11.06</v>
      </c>
      <c r="BN894" s="2">
        <v>90.03</v>
      </c>
      <c r="BO894" s="2">
        <v>90.03</v>
      </c>
      <c r="BP894" s="2"/>
      <c r="BQ894" s="2" t="s">
        <v>82</v>
      </c>
      <c r="BR894" s="2" t="s">
        <v>83</v>
      </c>
      <c r="BS894" s="3">
        <v>42656</v>
      </c>
      <c r="BT894" s="4">
        <v>0.64722222222222225</v>
      </c>
      <c r="BU894" s="2" t="s">
        <v>887</v>
      </c>
      <c r="BV894" s="2" t="s">
        <v>85</v>
      </c>
      <c r="BW894" s="2"/>
      <c r="BX894" s="2"/>
      <c r="BY894" s="2">
        <v>6881.78</v>
      </c>
      <c r="BZ894" s="2"/>
      <c r="CA894" s="2" t="s">
        <v>888</v>
      </c>
      <c r="CB894" s="2"/>
      <c r="CC894" s="2" t="s">
        <v>885</v>
      </c>
      <c r="CD894" s="2">
        <v>7380</v>
      </c>
      <c r="CE894" s="2" t="s">
        <v>108</v>
      </c>
      <c r="CF894" s="5">
        <v>42656</v>
      </c>
      <c r="CG894" s="2"/>
      <c r="CH894" s="2"/>
      <c r="CI894" s="2">
        <v>3</v>
      </c>
      <c r="CJ894" s="2">
        <v>2</v>
      </c>
      <c r="CK894" s="2">
        <v>23</v>
      </c>
      <c r="CL894" s="2" t="s">
        <v>88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"FES1162505751"</f>
        <v>FES1162505751</v>
      </c>
      <c r="F895" s="3">
        <v>42654</v>
      </c>
      <c r="G895" s="2">
        <v>201704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160</v>
      </c>
      <c r="M895" s="2" t="s">
        <v>161</v>
      </c>
      <c r="N895" s="2" t="s">
        <v>411</v>
      </c>
      <c r="O895" s="2" t="s">
        <v>96</v>
      </c>
      <c r="P895" s="2" t="str">
        <f>"2170529372                    "</f>
        <v xml:space="preserve">2170529372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3.32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0.5</v>
      </c>
      <c r="BJ895" s="2">
        <v>0.2</v>
      </c>
      <c r="BK895" s="2">
        <v>0.5</v>
      </c>
      <c r="BL895" s="2">
        <v>40.76</v>
      </c>
      <c r="BM895" s="2">
        <v>5.71</v>
      </c>
      <c r="BN895" s="2">
        <v>46.47</v>
      </c>
      <c r="BO895" s="2">
        <v>46.47</v>
      </c>
      <c r="BP895" s="2"/>
      <c r="BQ895" s="2" t="s">
        <v>412</v>
      </c>
      <c r="BR895" s="2" t="s">
        <v>83</v>
      </c>
      <c r="BS895" s="3">
        <v>42655</v>
      </c>
      <c r="BT895" s="4">
        <v>0.45833333333333331</v>
      </c>
      <c r="BU895" s="2" t="s">
        <v>1313</v>
      </c>
      <c r="BV895" s="2" t="s">
        <v>85</v>
      </c>
      <c r="BW895" s="2"/>
      <c r="BX895" s="2"/>
      <c r="BY895" s="2">
        <v>1200</v>
      </c>
      <c r="BZ895" s="2"/>
      <c r="CA895" s="2"/>
      <c r="CB895" s="2"/>
      <c r="CC895" s="2" t="s">
        <v>161</v>
      </c>
      <c r="CD895" s="2">
        <v>7945</v>
      </c>
      <c r="CE895" s="2" t="s">
        <v>108</v>
      </c>
      <c r="CF895" s="5">
        <v>42656</v>
      </c>
      <c r="CG895" s="2"/>
      <c r="CH895" s="2"/>
      <c r="CI895" s="2">
        <v>1</v>
      </c>
      <c r="CJ895" s="2">
        <v>1</v>
      </c>
      <c r="CK895" s="2">
        <v>21</v>
      </c>
      <c r="CL895" s="2" t="s">
        <v>88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"FES1162505748"</f>
        <v>FES1162505748</v>
      </c>
      <c r="F896" s="3">
        <v>42654</v>
      </c>
      <c r="G896" s="2">
        <v>201704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823</v>
      </c>
      <c r="M896" s="2" t="s">
        <v>824</v>
      </c>
      <c r="N896" s="2" t="s">
        <v>825</v>
      </c>
      <c r="O896" s="2" t="s">
        <v>96</v>
      </c>
      <c r="P896" s="2" t="str">
        <f>"2170529135                    "</f>
        <v xml:space="preserve">2170529135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4.66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0.5</v>
      </c>
      <c r="BJ896" s="2">
        <v>0.2</v>
      </c>
      <c r="BK896" s="2">
        <v>0.5</v>
      </c>
      <c r="BL896" s="2">
        <v>57.31</v>
      </c>
      <c r="BM896" s="2">
        <v>8.02</v>
      </c>
      <c r="BN896" s="2">
        <v>65.33</v>
      </c>
      <c r="BO896" s="2">
        <v>65.33</v>
      </c>
      <c r="BP896" s="2"/>
      <c r="BQ896" s="2" t="s">
        <v>91</v>
      </c>
      <c r="BR896" s="2" t="s">
        <v>83</v>
      </c>
      <c r="BS896" s="3">
        <v>42655</v>
      </c>
      <c r="BT896" s="4">
        <v>0.41666666666666669</v>
      </c>
      <c r="BU896" s="2" t="s">
        <v>431</v>
      </c>
      <c r="BV896" s="2"/>
      <c r="BW896" s="2"/>
      <c r="BX896" s="2"/>
      <c r="BY896" s="2">
        <v>1200</v>
      </c>
      <c r="BZ896" s="2"/>
      <c r="CA896" s="2"/>
      <c r="CB896" s="2"/>
      <c r="CC896" s="2" t="s">
        <v>824</v>
      </c>
      <c r="CD896" s="2">
        <v>2410</v>
      </c>
      <c r="CE896" s="2" t="s">
        <v>108</v>
      </c>
      <c r="CF896" s="5">
        <v>42657</v>
      </c>
      <c r="CG896" s="2"/>
      <c r="CH896" s="2"/>
      <c r="CI896" s="2">
        <v>0</v>
      </c>
      <c r="CJ896" s="2">
        <v>0</v>
      </c>
      <c r="CK896" s="2">
        <v>24</v>
      </c>
      <c r="CL896" s="2" t="s">
        <v>88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"FES1162505693"</f>
        <v>FES1162505693</v>
      </c>
      <c r="F897" s="3">
        <v>42654</v>
      </c>
      <c r="G897" s="2">
        <v>201704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682</v>
      </c>
      <c r="M897" s="2" t="s">
        <v>682</v>
      </c>
      <c r="N897" s="2" t="s">
        <v>683</v>
      </c>
      <c r="O897" s="2" t="s">
        <v>96</v>
      </c>
      <c r="P897" s="2" t="str">
        <f>"2170527005                    "</f>
        <v xml:space="preserve">2170527005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3.32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0.5</v>
      </c>
      <c r="BJ897" s="2">
        <v>0.2</v>
      </c>
      <c r="BK897" s="2">
        <v>0.5</v>
      </c>
      <c r="BL897" s="2">
        <v>40.76</v>
      </c>
      <c r="BM897" s="2">
        <v>5.71</v>
      </c>
      <c r="BN897" s="2">
        <v>46.47</v>
      </c>
      <c r="BO897" s="2">
        <v>46.47</v>
      </c>
      <c r="BP897" s="2"/>
      <c r="BQ897" s="2" t="s">
        <v>117</v>
      </c>
      <c r="BR897" s="2" t="s">
        <v>83</v>
      </c>
      <c r="BS897" s="3">
        <v>42656</v>
      </c>
      <c r="BT897" s="4">
        <v>0.41111111111111115</v>
      </c>
      <c r="BU897" s="2" t="s">
        <v>1147</v>
      </c>
      <c r="BV897" s="2" t="s">
        <v>85</v>
      </c>
      <c r="BW897" s="2"/>
      <c r="BX897" s="2"/>
      <c r="BY897" s="2">
        <v>1200</v>
      </c>
      <c r="BZ897" s="2"/>
      <c r="CA897" s="2" t="s">
        <v>1148</v>
      </c>
      <c r="CB897" s="2"/>
      <c r="CC897" s="2" t="s">
        <v>682</v>
      </c>
      <c r="CD897" s="2">
        <v>6835</v>
      </c>
      <c r="CE897" s="2" t="s">
        <v>108</v>
      </c>
      <c r="CF897" s="5">
        <v>42656</v>
      </c>
      <c r="CG897" s="2"/>
      <c r="CH897" s="2"/>
      <c r="CI897" s="2">
        <v>3</v>
      </c>
      <c r="CJ897" s="2">
        <v>2</v>
      </c>
      <c r="CK897" s="2">
        <v>21</v>
      </c>
      <c r="CL897" s="2" t="s">
        <v>88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"FES1162505696"</f>
        <v>FES1162505696</v>
      </c>
      <c r="F898" s="3">
        <v>42654</v>
      </c>
      <c r="G898" s="2">
        <v>201704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156</v>
      </c>
      <c r="M898" s="2" t="s">
        <v>157</v>
      </c>
      <c r="N898" s="2" t="s">
        <v>507</v>
      </c>
      <c r="O898" s="2" t="s">
        <v>96</v>
      </c>
      <c r="P898" s="2" t="str">
        <f>"2170527181                    "</f>
        <v xml:space="preserve">2170527181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3.32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0.5</v>
      </c>
      <c r="BJ898" s="2">
        <v>0.2</v>
      </c>
      <c r="BK898" s="2">
        <v>0.5</v>
      </c>
      <c r="BL898" s="2">
        <v>40.76</v>
      </c>
      <c r="BM898" s="2">
        <v>5.71</v>
      </c>
      <c r="BN898" s="2">
        <v>46.47</v>
      </c>
      <c r="BO898" s="2">
        <v>46.47</v>
      </c>
      <c r="BP898" s="2"/>
      <c r="BQ898" s="2" t="s">
        <v>508</v>
      </c>
      <c r="BR898" s="2" t="s">
        <v>83</v>
      </c>
      <c r="BS898" s="3">
        <v>42655</v>
      </c>
      <c r="BT898" s="4">
        <v>0.41666666666666669</v>
      </c>
      <c r="BU898" s="2" t="s">
        <v>1314</v>
      </c>
      <c r="BV898" s="2" t="s">
        <v>85</v>
      </c>
      <c r="BW898" s="2"/>
      <c r="BX898" s="2"/>
      <c r="BY898" s="2">
        <v>1200</v>
      </c>
      <c r="BZ898" s="2"/>
      <c r="CA898" s="2" t="s">
        <v>129</v>
      </c>
      <c r="CB898" s="2"/>
      <c r="CC898" s="2" t="s">
        <v>157</v>
      </c>
      <c r="CD898" s="2">
        <v>7130</v>
      </c>
      <c r="CE898" s="2" t="s">
        <v>108</v>
      </c>
      <c r="CF898" s="5">
        <v>42656</v>
      </c>
      <c r="CG898" s="2"/>
      <c r="CH898" s="2"/>
      <c r="CI898" s="2">
        <v>1</v>
      </c>
      <c r="CJ898" s="2">
        <v>1</v>
      </c>
      <c r="CK898" s="2">
        <v>21</v>
      </c>
      <c r="CL898" s="2" t="s">
        <v>88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"FES1162505686"</f>
        <v>FES1162505686</v>
      </c>
      <c r="F899" s="3">
        <v>42654</v>
      </c>
      <c r="G899" s="2">
        <v>201704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160</v>
      </c>
      <c r="M899" s="2" t="s">
        <v>161</v>
      </c>
      <c r="N899" s="2" t="s">
        <v>754</v>
      </c>
      <c r="O899" s="2" t="s">
        <v>96</v>
      </c>
      <c r="P899" s="2" t="str">
        <f>"2170526789                    "</f>
        <v xml:space="preserve">2170526789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3.32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0.5</v>
      </c>
      <c r="BJ899" s="2">
        <v>0.2</v>
      </c>
      <c r="BK899" s="2">
        <v>0.5</v>
      </c>
      <c r="BL899" s="2">
        <v>40.76</v>
      </c>
      <c r="BM899" s="2">
        <v>5.71</v>
      </c>
      <c r="BN899" s="2">
        <v>46.47</v>
      </c>
      <c r="BO899" s="2">
        <v>46.47</v>
      </c>
      <c r="BP899" s="2"/>
      <c r="BQ899" s="2" t="s">
        <v>755</v>
      </c>
      <c r="BR899" s="2" t="s">
        <v>83</v>
      </c>
      <c r="BS899" s="3">
        <v>42655</v>
      </c>
      <c r="BT899" s="4">
        <v>0.40625</v>
      </c>
      <c r="BU899" s="2" t="s">
        <v>724</v>
      </c>
      <c r="BV899" s="2" t="s">
        <v>85</v>
      </c>
      <c r="BW899" s="2"/>
      <c r="BX899" s="2"/>
      <c r="BY899" s="2">
        <v>1200</v>
      </c>
      <c r="BZ899" s="2"/>
      <c r="CA899" s="2" t="s">
        <v>129</v>
      </c>
      <c r="CB899" s="2"/>
      <c r="CC899" s="2" t="s">
        <v>161</v>
      </c>
      <c r="CD899" s="2">
        <v>7441</v>
      </c>
      <c r="CE899" s="2" t="s">
        <v>108</v>
      </c>
      <c r="CF899" s="5">
        <v>42656</v>
      </c>
      <c r="CG899" s="2"/>
      <c r="CH899" s="2"/>
      <c r="CI899" s="2">
        <v>1</v>
      </c>
      <c r="CJ899" s="2">
        <v>1</v>
      </c>
      <c r="CK899" s="2">
        <v>21</v>
      </c>
      <c r="CL899" s="2" t="s">
        <v>88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"FES1162505724"</f>
        <v>FES1162505724</v>
      </c>
      <c r="F900" s="3">
        <v>42654</v>
      </c>
      <c r="G900" s="2">
        <v>201704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98</v>
      </c>
      <c r="M900" s="2" t="s">
        <v>99</v>
      </c>
      <c r="N900" s="2" t="s">
        <v>369</v>
      </c>
      <c r="O900" s="2" t="s">
        <v>96</v>
      </c>
      <c r="P900" s="2" t="str">
        <f>"2170528051                    "</f>
        <v xml:space="preserve">2170528051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3.32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0.6</v>
      </c>
      <c r="BJ900" s="2">
        <v>1.4</v>
      </c>
      <c r="BK900" s="2">
        <v>1.5</v>
      </c>
      <c r="BL900" s="2">
        <v>40.76</v>
      </c>
      <c r="BM900" s="2">
        <v>5.71</v>
      </c>
      <c r="BN900" s="2">
        <v>46.47</v>
      </c>
      <c r="BO900" s="2">
        <v>46.47</v>
      </c>
      <c r="BP900" s="2"/>
      <c r="BQ900" s="2" t="s">
        <v>370</v>
      </c>
      <c r="BR900" s="2" t="s">
        <v>83</v>
      </c>
      <c r="BS900" s="3">
        <v>42655</v>
      </c>
      <c r="BT900" s="4">
        <v>0.38541666666666669</v>
      </c>
      <c r="BU900" s="2" t="s">
        <v>371</v>
      </c>
      <c r="BV900" s="2" t="s">
        <v>85</v>
      </c>
      <c r="BW900" s="2"/>
      <c r="BX900" s="2"/>
      <c r="BY900" s="2">
        <v>7050.24</v>
      </c>
      <c r="BZ900" s="2"/>
      <c r="CA900" s="2" t="s">
        <v>107</v>
      </c>
      <c r="CB900" s="2"/>
      <c r="CC900" s="2" t="s">
        <v>99</v>
      </c>
      <c r="CD900" s="2">
        <v>6001</v>
      </c>
      <c r="CE900" s="2" t="s">
        <v>108</v>
      </c>
      <c r="CF900" s="5">
        <v>42655</v>
      </c>
      <c r="CG900" s="2"/>
      <c r="CH900" s="2"/>
      <c r="CI900" s="2">
        <v>1</v>
      </c>
      <c r="CJ900" s="2">
        <v>1</v>
      </c>
      <c r="CK900" s="2">
        <v>21</v>
      </c>
      <c r="CL900" s="2" t="s">
        <v>88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"FES1162505717"</f>
        <v>FES1162505717</v>
      </c>
      <c r="F901" s="3">
        <v>42654</v>
      </c>
      <c r="G901" s="2">
        <v>201704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305</v>
      </c>
      <c r="M901" s="2" t="s">
        <v>306</v>
      </c>
      <c r="N901" s="2" t="s">
        <v>307</v>
      </c>
      <c r="O901" s="2" t="s">
        <v>96</v>
      </c>
      <c r="P901" s="2" t="str">
        <f>"2170527784                    "</f>
        <v xml:space="preserve">2170527784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6.43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0.5</v>
      </c>
      <c r="BJ901" s="2">
        <v>0.2</v>
      </c>
      <c r="BK901" s="2">
        <v>0.5</v>
      </c>
      <c r="BL901" s="2">
        <v>78.97</v>
      </c>
      <c r="BM901" s="2">
        <v>11.06</v>
      </c>
      <c r="BN901" s="2">
        <v>90.03</v>
      </c>
      <c r="BO901" s="2">
        <v>90.03</v>
      </c>
      <c r="BP901" s="2"/>
      <c r="BQ901" s="2" t="s">
        <v>308</v>
      </c>
      <c r="BR901" s="2" t="s">
        <v>83</v>
      </c>
      <c r="BS901" s="3">
        <v>42656</v>
      </c>
      <c r="BT901" s="4">
        <v>0.60625000000000007</v>
      </c>
      <c r="BU901" s="2" t="s">
        <v>309</v>
      </c>
      <c r="BV901" s="2" t="s">
        <v>85</v>
      </c>
      <c r="BW901" s="2"/>
      <c r="BX901" s="2"/>
      <c r="BY901" s="2">
        <v>1200</v>
      </c>
      <c r="BZ901" s="2"/>
      <c r="CA901" s="2"/>
      <c r="CB901" s="2"/>
      <c r="CC901" s="2" t="s">
        <v>306</v>
      </c>
      <c r="CD901" s="2">
        <v>6139</v>
      </c>
      <c r="CE901" s="2" t="s">
        <v>108</v>
      </c>
      <c r="CF901" s="5">
        <v>42663</v>
      </c>
      <c r="CG901" s="2"/>
      <c r="CH901" s="2"/>
      <c r="CI901" s="2">
        <v>3</v>
      </c>
      <c r="CJ901" s="2">
        <v>2</v>
      </c>
      <c r="CK901" s="2">
        <v>23</v>
      </c>
      <c r="CL901" s="2" t="s">
        <v>88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"FES1162505711"</f>
        <v>FES1162505711</v>
      </c>
      <c r="F902" s="3">
        <v>42654</v>
      </c>
      <c r="G902" s="2">
        <v>201704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98</v>
      </c>
      <c r="M902" s="2" t="s">
        <v>99</v>
      </c>
      <c r="N902" s="2" t="s">
        <v>350</v>
      </c>
      <c r="O902" s="2" t="s">
        <v>96</v>
      </c>
      <c r="P902" s="2" t="str">
        <f>"2170527550                    "</f>
        <v xml:space="preserve">2170527550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3.32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0.5</v>
      </c>
      <c r="BJ902" s="2">
        <v>0.2</v>
      </c>
      <c r="BK902" s="2">
        <v>0.5</v>
      </c>
      <c r="BL902" s="2">
        <v>40.76</v>
      </c>
      <c r="BM902" s="2">
        <v>5.71</v>
      </c>
      <c r="BN902" s="2">
        <v>46.47</v>
      </c>
      <c r="BO902" s="2">
        <v>46.47</v>
      </c>
      <c r="BP902" s="2"/>
      <c r="BQ902" s="2" t="s">
        <v>351</v>
      </c>
      <c r="BR902" s="2" t="s">
        <v>83</v>
      </c>
      <c r="BS902" s="3">
        <v>42655</v>
      </c>
      <c r="BT902" s="4">
        <v>0.3888888888888889</v>
      </c>
      <c r="BU902" s="2" t="s">
        <v>352</v>
      </c>
      <c r="BV902" s="2" t="s">
        <v>85</v>
      </c>
      <c r="BW902" s="2"/>
      <c r="BX902" s="2"/>
      <c r="BY902" s="2">
        <v>1200</v>
      </c>
      <c r="BZ902" s="2"/>
      <c r="CA902" s="2" t="s">
        <v>107</v>
      </c>
      <c r="CB902" s="2"/>
      <c r="CC902" s="2" t="s">
        <v>99</v>
      </c>
      <c r="CD902" s="2">
        <v>6001</v>
      </c>
      <c r="CE902" s="2" t="s">
        <v>108</v>
      </c>
      <c r="CF902" s="5">
        <v>42655</v>
      </c>
      <c r="CG902" s="2"/>
      <c r="CH902" s="2"/>
      <c r="CI902" s="2">
        <v>1</v>
      </c>
      <c r="CJ902" s="2">
        <v>1</v>
      </c>
      <c r="CK902" s="2">
        <v>21</v>
      </c>
      <c r="CL902" s="2" t="s">
        <v>88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"FES1162505700"</f>
        <v>FES1162505700</v>
      </c>
      <c r="F903" s="3">
        <v>42654</v>
      </c>
      <c r="G903" s="2">
        <v>201704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143</v>
      </c>
      <c r="M903" s="2" t="s">
        <v>144</v>
      </c>
      <c r="N903" s="2" t="s">
        <v>1315</v>
      </c>
      <c r="O903" s="2" t="s">
        <v>96</v>
      </c>
      <c r="P903" s="2" t="str">
        <f>"2170527200                    "</f>
        <v xml:space="preserve">2170527200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3.32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0.5</v>
      </c>
      <c r="BJ903" s="2">
        <v>0.2</v>
      </c>
      <c r="BK903" s="2">
        <v>0.5</v>
      </c>
      <c r="BL903" s="2">
        <v>40.76</v>
      </c>
      <c r="BM903" s="2">
        <v>5.71</v>
      </c>
      <c r="BN903" s="2">
        <v>46.47</v>
      </c>
      <c r="BO903" s="2">
        <v>46.47</v>
      </c>
      <c r="BP903" s="2"/>
      <c r="BQ903" s="2" t="s">
        <v>1316</v>
      </c>
      <c r="BR903" s="2" t="s">
        <v>83</v>
      </c>
      <c r="BS903" s="3">
        <v>42655</v>
      </c>
      <c r="BT903" s="4">
        <v>0.41666666666666669</v>
      </c>
      <c r="BU903" s="2" t="s">
        <v>1317</v>
      </c>
      <c r="BV903" s="2"/>
      <c r="BW903" s="2"/>
      <c r="BX903" s="2"/>
      <c r="BY903" s="2">
        <v>1200</v>
      </c>
      <c r="BZ903" s="2"/>
      <c r="CA903" s="2"/>
      <c r="CB903" s="2"/>
      <c r="CC903" s="2" t="s">
        <v>144</v>
      </c>
      <c r="CD903" s="2">
        <v>5201</v>
      </c>
      <c r="CE903" s="2" t="s">
        <v>108</v>
      </c>
      <c r="CF903" s="5">
        <v>42656</v>
      </c>
      <c r="CG903" s="2"/>
      <c r="CH903" s="2"/>
      <c r="CI903" s="2">
        <v>0</v>
      </c>
      <c r="CJ903" s="2">
        <v>0</v>
      </c>
      <c r="CK903" s="2">
        <v>21</v>
      </c>
      <c r="CL903" s="2" t="s">
        <v>88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"FES1162505683"</f>
        <v>FES1162505683</v>
      </c>
      <c r="F904" s="3">
        <v>42654</v>
      </c>
      <c r="G904" s="2">
        <v>201704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98</v>
      </c>
      <c r="M904" s="2" t="s">
        <v>99</v>
      </c>
      <c r="N904" s="2" t="s">
        <v>1318</v>
      </c>
      <c r="O904" s="2" t="s">
        <v>96</v>
      </c>
      <c r="P904" s="2" t="str">
        <f>"2170526704                    "</f>
        <v xml:space="preserve">2170526704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3.32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0.5</v>
      </c>
      <c r="BJ904" s="2">
        <v>0.2</v>
      </c>
      <c r="BK904" s="2">
        <v>0.5</v>
      </c>
      <c r="BL904" s="2">
        <v>40.76</v>
      </c>
      <c r="BM904" s="2">
        <v>5.71</v>
      </c>
      <c r="BN904" s="2">
        <v>46.47</v>
      </c>
      <c r="BO904" s="2">
        <v>46.47</v>
      </c>
      <c r="BP904" s="2"/>
      <c r="BQ904" s="2" t="s">
        <v>723</v>
      </c>
      <c r="BR904" s="2" t="s">
        <v>83</v>
      </c>
      <c r="BS904" s="3">
        <v>42655</v>
      </c>
      <c r="BT904" s="4">
        <v>0.2951388888888889</v>
      </c>
      <c r="BU904" s="2" t="s">
        <v>1319</v>
      </c>
      <c r="BV904" s="2" t="s">
        <v>85</v>
      </c>
      <c r="BW904" s="2"/>
      <c r="BX904" s="2"/>
      <c r="BY904" s="2">
        <v>1200</v>
      </c>
      <c r="BZ904" s="2"/>
      <c r="CA904" s="2" t="s">
        <v>107</v>
      </c>
      <c r="CB904" s="2"/>
      <c r="CC904" s="2" t="s">
        <v>99</v>
      </c>
      <c r="CD904" s="2">
        <v>6012</v>
      </c>
      <c r="CE904" s="2" t="s">
        <v>108</v>
      </c>
      <c r="CF904" s="5">
        <v>42655</v>
      </c>
      <c r="CG904" s="2"/>
      <c r="CH904" s="2"/>
      <c r="CI904" s="2">
        <v>1</v>
      </c>
      <c r="CJ904" s="2">
        <v>1</v>
      </c>
      <c r="CK904" s="2">
        <v>21</v>
      </c>
      <c r="CL904" s="2" t="s">
        <v>88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"FES1162505666"</f>
        <v>FES1162505666</v>
      </c>
      <c r="F905" s="3">
        <v>42654</v>
      </c>
      <c r="G905" s="2">
        <v>201704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98</v>
      </c>
      <c r="M905" s="2" t="s">
        <v>99</v>
      </c>
      <c r="N905" s="2" t="s">
        <v>1320</v>
      </c>
      <c r="O905" s="2" t="s">
        <v>96</v>
      </c>
      <c r="P905" s="2" t="str">
        <f>"2170516321                    "</f>
        <v xml:space="preserve">2170516321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3.32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0.5</v>
      </c>
      <c r="BJ905" s="2">
        <v>0.2</v>
      </c>
      <c r="BK905" s="2">
        <v>0.5</v>
      </c>
      <c r="BL905" s="2">
        <v>40.76</v>
      </c>
      <c r="BM905" s="2">
        <v>5.71</v>
      </c>
      <c r="BN905" s="2">
        <v>46.47</v>
      </c>
      <c r="BO905" s="2">
        <v>46.47</v>
      </c>
      <c r="BP905" s="2"/>
      <c r="BQ905" s="2" t="s">
        <v>1321</v>
      </c>
      <c r="BR905" s="2" t="s">
        <v>83</v>
      </c>
      <c r="BS905" s="3">
        <v>42655</v>
      </c>
      <c r="BT905" s="4">
        <v>0.4236111111111111</v>
      </c>
      <c r="BU905" s="2" t="s">
        <v>1322</v>
      </c>
      <c r="BV905" s="2"/>
      <c r="BW905" s="2"/>
      <c r="BX905" s="2"/>
      <c r="BY905" s="2">
        <v>1200</v>
      </c>
      <c r="BZ905" s="2"/>
      <c r="CA905" s="2" t="s">
        <v>107</v>
      </c>
      <c r="CB905" s="2"/>
      <c r="CC905" s="2" t="s">
        <v>99</v>
      </c>
      <c r="CD905" s="2">
        <v>6001</v>
      </c>
      <c r="CE905" s="2" t="s">
        <v>108</v>
      </c>
      <c r="CF905" s="5">
        <v>42655</v>
      </c>
      <c r="CG905" s="2"/>
      <c r="CH905" s="2"/>
      <c r="CI905" s="2">
        <v>0</v>
      </c>
      <c r="CJ905" s="2">
        <v>0</v>
      </c>
      <c r="CK905" s="2">
        <v>21</v>
      </c>
      <c r="CL905" s="2" t="s">
        <v>88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"FES1162505732"</f>
        <v>FES1162505732</v>
      </c>
      <c r="F906" s="3">
        <v>42654</v>
      </c>
      <c r="G906" s="2">
        <v>201704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98</v>
      </c>
      <c r="M906" s="2" t="s">
        <v>99</v>
      </c>
      <c r="N906" s="2" t="s">
        <v>330</v>
      </c>
      <c r="O906" s="2" t="s">
        <v>96</v>
      </c>
      <c r="P906" s="2" t="str">
        <f>"2170528423                    "</f>
        <v xml:space="preserve">2170528423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3.32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0.5</v>
      </c>
      <c r="BJ906" s="2">
        <v>0.2</v>
      </c>
      <c r="BK906" s="2">
        <v>0.5</v>
      </c>
      <c r="BL906" s="2">
        <v>40.76</v>
      </c>
      <c r="BM906" s="2">
        <v>5.71</v>
      </c>
      <c r="BN906" s="2">
        <v>46.47</v>
      </c>
      <c r="BO906" s="2">
        <v>46.47</v>
      </c>
      <c r="BP906" s="2"/>
      <c r="BQ906" s="2" t="s">
        <v>331</v>
      </c>
      <c r="BR906" s="2" t="s">
        <v>83</v>
      </c>
      <c r="BS906" s="3">
        <v>42655</v>
      </c>
      <c r="BT906" s="4">
        <v>0.38750000000000001</v>
      </c>
      <c r="BU906" s="2" t="s">
        <v>467</v>
      </c>
      <c r="BV906" s="2" t="s">
        <v>85</v>
      </c>
      <c r="BW906" s="2"/>
      <c r="BX906" s="2"/>
      <c r="BY906" s="2">
        <v>1200</v>
      </c>
      <c r="BZ906" s="2"/>
      <c r="CA906" s="2" t="s">
        <v>468</v>
      </c>
      <c r="CB906" s="2"/>
      <c r="CC906" s="2" t="s">
        <v>99</v>
      </c>
      <c r="CD906" s="2">
        <v>6070</v>
      </c>
      <c r="CE906" s="2" t="s">
        <v>108</v>
      </c>
      <c r="CF906" s="5">
        <v>42656</v>
      </c>
      <c r="CG906" s="2"/>
      <c r="CH906" s="2"/>
      <c r="CI906" s="2">
        <v>1</v>
      </c>
      <c r="CJ906" s="2">
        <v>1</v>
      </c>
      <c r="CK906" s="2">
        <v>21</v>
      </c>
      <c r="CL906" s="2" t="s">
        <v>88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"FES1162505872"</f>
        <v>FES1162505872</v>
      </c>
      <c r="F907" s="3">
        <v>42654</v>
      </c>
      <c r="G907" s="2">
        <v>201704</v>
      </c>
      <c r="H907" s="2" t="s">
        <v>74</v>
      </c>
      <c r="I907" s="2" t="s">
        <v>75</v>
      </c>
      <c r="J907" s="2" t="s">
        <v>76</v>
      </c>
      <c r="K907" s="2" t="s">
        <v>77</v>
      </c>
      <c r="L907" s="2" t="s">
        <v>160</v>
      </c>
      <c r="M907" s="2" t="s">
        <v>161</v>
      </c>
      <c r="N907" s="2" t="s">
        <v>334</v>
      </c>
      <c r="O907" s="2" t="s">
        <v>96</v>
      </c>
      <c r="P907" s="2" t="str">
        <f>"2170529496                    "</f>
        <v xml:space="preserve">2170529496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3.32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0.7</v>
      </c>
      <c r="BJ907" s="2">
        <v>1.6</v>
      </c>
      <c r="BK907" s="2">
        <v>2</v>
      </c>
      <c r="BL907" s="2">
        <v>40.76</v>
      </c>
      <c r="BM907" s="2">
        <v>5.71</v>
      </c>
      <c r="BN907" s="2">
        <v>46.47</v>
      </c>
      <c r="BO907" s="2">
        <v>46.47</v>
      </c>
      <c r="BP907" s="2"/>
      <c r="BQ907" s="2" t="s">
        <v>168</v>
      </c>
      <c r="BR907" s="2" t="s">
        <v>83</v>
      </c>
      <c r="BS907" s="3">
        <v>42655</v>
      </c>
      <c r="BT907" s="4">
        <v>0.45833333333333331</v>
      </c>
      <c r="BU907" s="2" t="s">
        <v>1323</v>
      </c>
      <c r="BV907" s="2" t="s">
        <v>85</v>
      </c>
      <c r="BW907" s="2"/>
      <c r="BX907" s="2"/>
      <c r="BY907" s="2">
        <v>8173.98</v>
      </c>
      <c r="BZ907" s="2"/>
      <c r="CA907" s="2"/>
      <c r="CB907" s="2"/>
      <c r="CC907" s="2" t="s">
        <v>161</v>
      </c>
      <c r="CD907" s="2">
        <v>7945</v>
      </c>
      <c r="CE907" s="2" t="s">
        <v>108</v>
      </c>
      <c r="CF907" s="5">
        <v>42656</v>
      </c>
      <c r="CG907" s="2"/>
      <c r="CH907" s="2"/>
      <c r="CI907" s="2">
        <v>1</v>
      </c>
      <c r="CJ907" s="2">
        <v>1</v>
      </c>
      <c r="CK907" s="2">
        <v>21</v>
      </c>
      <c r="CL907" s="2" t="s">
        <v>88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"FES1162505871"</f>
        <v>FES1162505871</v>
      </c>
      <c r="F908" s="3">
        <v>42654</v>
      </c>
      <c r="G908" s="2">
        <v>201704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160</v>
      </c>
      <c r="M908" s="2" t="s">
        <v>161</v>
      </c>
      <c r="N908" s="2" t="s">
        <v>411</v>
      </c>
      <c r="O908" s="2" t="s">
        <v>96</v>
      </c>
      <c r="P908" s="2" t="str">
        <f>"2170529494                    "</f>
        <v xml:space="preserve">2170529494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3.32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0.5</v>
      </c>
      <c r="BJ908" s="2">
        <v>0.2</v>
      </c>
      <c r="BK908" s="2">
        <v>0.5</v>
      </c>
      <c r="BL908" s="2">
        <v>40.76</v>
      </c>
      <c r="BM908" s="2">
        <v>5.71</v>
      </c>
      <c r="BN908" s="2">
        <v>46.47</v>
      </c>
      <c r="BO908" s="2">
        <v>46.47</v>
      </c>
      <c r="BP908" s="2"/>
      <c r="BQ908" s="2" t="s">
        <v>412</v>
      </c>
      <c r="BR908" s="2" t="s">
        <v>83</v>
      </c>
      <c r="BS908" s="3">
        <v>42655</v>
      </c>
      <c r="BT908" s="4">
        <v>0.45833333333333331</v>
      </c>
      <c r="BU908" s="2" t="s">
        <v>1324</v>
      </c>
      <c r="BV908" s="2" t="s">
        <v>85</v>
      </c>
      <c r="BW908" s="2"/>
      <c r="BX908" s="2"/>
      <c r="BY908" s="2">
        <v>1200</v>
      </c>
      <c r="BZ908" s="2"/>
      <c r="CA908" s="2"/>
      <c r="CB908" s="2"/>
      <c r="CC908" s="2" t="s">
        <v>161</v>
      </c>
      <c r="CD908" s="2">
        <v>7945</v>
      </c>
      <c r="CE908" s="2" t="s">
        <v>108</v>
      </c>
      <c r="CF908" s="5">
        <v>42656</v>
      </c>
      <c r="CG908" s="2"/>
      <c r="CH908" s="2"/>
      <c r="CI908" s="2">
        <v>1</v>
      </c>
      <c r="CJ908" s="2">
        <v>1</v>
      </c>
      <c r="CK908" s="2">
        <v>21</v>
      </c>
      <c r="CL908" s="2" t="s">
        <v>88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"FES1162505916"</f>
        <v>FES1162505916</v>
      </c>
      <c r="F909" s="3">
        <v>42654</v>
      </c>
      <c r="G909" s="2">
        <v>201704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160</v>
      </c>
      <c r="M909" s="2" t="s">
        <v>161</v>
      </c>
      <c r="N909" s="2" t="s">
        <v>176</v>
      </c>
      <c r="O909" s="2" t="s">
        <v>96</v>
      </c>
      <c r="P909" s="2" t="str">
        <f>"2170529539                    "</f>
        <v xml:space="preserve">2170529539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3.32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0.5</v>
      </c>
      <c r="BJ909" s="2">
        <v>0.2</v>
      </c>
      <c r="BK909" s="2">
        <v>0.5</v>
      </c>
      <c r="BL909" s="2">
        <v>40.76</v>
      </c>
      <c r="BM909" s="2">
        <v>5.71</v>
      </c>
      <c r="BN909" s="2">
        <v>46.47</v>
      </c>
      <c r="BO909" s="2">
        <v>46.47</v>
      </c>
      <c r="BP909" s="2"/>
      <c r="BQ909" s="2" t="s">
        <v>258</v>
      </c>
      <c r="BR909" s="2" t="s">
        <v>83</v>
      </c>
      <c r="BS909" s="3">
        <v>42655</v>
      </c>
      <c r="BT909" s="4">
        <v>0.41666666666666669</v>
      </c>
      <c r="BU909" s="2" t="s">
        <v>146</v>
      </c>
      <c r="BV909" s="2" t="s">
        <v>85</v>
      </c>
      <c r="BW909" s="2"/>
      <c r="BX909" s="2"/>
      <c r="BY909" s="2">
        <v>1200</v>
      </c>
      <c r="BZ909" s="2"/>
      <c r="CA909" s="2"/>
      <c r="CB909" s="2"/>
      <c r="CC909" s="2" t="s">
        <v>161</v>
      </c>
      <c r="CD909" s="2">
        <v>7405</v>
      </c>
      <c r="CE909" s="2" t="s">
        <v>108</v>
      </c>
      <c r="CF909" s="5">
        <v>42656</v>
      </c>
      <c r="CG909" s="2"/>
      <c r="CH909" s="2"/>
      <c r="CI909" s="2">
        <v>1</v>
      </c>
      <c r="CJ909" s="2">
        <v>1</v>
      </c>
      <c r="CK909" s="2">
        <v>21</v>
      </c>
      <c r="CL909" s="2" t="s">
        <v>88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"FES1162505716"</f>
        <v>FES1162505716</v>
      </c>
      <c r="F910" s="3">
        <v>42654</v>
      </c>
      <c r="G910" s="2">
        <v>201704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305</v>
      </c>
      <c r="M910" s="2" t="s">
        <v>306</v>
      </c>
      <c r="N910" s="2" t="s">
        <v>307</v>
      </c>
      <c r="O910" s="2" t="s">
        <v>96</v>
      </c>
      <c r="P910" s="2" t="str">
        <f>"2170527782                    "</f>
        <v xml:space="preserve">2170527782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6.43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0.5</v>
      </c>
      <c r="BJ910" s="2">
        <v>0.2</v>
      </c>
      <c r="BK910" s="2">
        <v>0.5</v>
      </c>
      <c r="BL910" s="2">
        <v>78.97</v>
      </c>
      <c r="BM910" s="2">
        <v>11.06</v>
      </c>
      <c r="BN910" s="2">
        <v>90.03</v>
      </c>
      <c r="BO910" s="2">
        <v>90.03</v>
      </c>
      <c r="BP910" s="2"/>
      <c r="BQ910" s="2">
        <v>1162505716</v>
      </c>
      <c r="BR910" s="2" t="s">
        <v>83</v>
      </c>
      <c r="BS910" s="3">
        <v>42656</v>
      </c>
      <c r="BT910" s="4">
        <v>0.60625000000000007</v>
      </c>
      <c r="BU910" s="2" t="s">
        <v>309</v>
      </c>
      <c r="BV910" s="2" t="s">
        <v>85</v>
      </c>
      <c r="BW910" s="2"/>
      <c r="BX910" s="2"/>
      <c r="BY910" s="2">
        <v>1200</v>
      </c>
      <c r="BZ910" s="2"/>
      <c r="CA910" s="2"/>
      <c r="CB910" s="2"/>
      <c r="CC910" s="2" t="s">
        <v>306</v>
      </c>
      <c r="CD910" s="2">
        <v>6139</v>
      </c>
      <c r="CE910" s="2" t="s">
        <v>108</v>
      </c>
      <c r="CF910" s="5">
        <v>42663</v>
      </c>
      <c r="CG910" s="2"/>
      <c r="CH910" s="2"/>
      <c r="CI910" s="2">
        <v>3</v>
      </c>
      <c r="CJ910" s="2">
        <v>2</v>
      </c>
      <c r="CK910" s="2">
        <v>23</v>
      </c>
      <c r="CL910" s="2" t="s">
        <v>88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"FES1162505250"</f>
        <v>FES1162505250</v>
      </c>
      <c r="F911" s="3">
        <v>42650</v>
      </c>
      <c r="G911" s="2">
        <v>201704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510</v>
      </c>
      <c r="M911" s="2" t="s">
        <v>511</v>
      </c>
      <c r="N911" s="2" t="s">
        <v>512</v>
      </c>
      <c r="O911" s="2" t="s">
        <v>81</v>
      </c>
      <c r="P911" s="2" t="str">
        <f>"2170528896                    "</f>
        <v xml:space="preserve">2170528896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6.79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1</v>
      </c>
      <c r="BJ911" s="2">
        <v>1.3</v>
      </c>
      <c r="BK911" s="2">
        <v>2</v>
      </c>
      <c r="BL911" s="2">
        <v>88.43</v>
      </c>
      <c r="BM911" s="2">
        <v>12.38</v>
      </c>
      <c r="BN911" s="2">
        <v>100.81</v>
      </c>
      <c r="BO911" s="2">
        <v>100.81</v>
      </c>
      <c r="BP911" s="2" t="s">
        <v>90</v>
      </c>
      <c r="BQ911" s="2" t="s">
        <v>117</v>
      </c>
      <c r="BR911" s="2" t="s">
        <v>83</v>
      </c>
      <c r="BS911" s="3">
        <v>42653</v>
      </c>
      <c r="BT911" s="4">
        <v>0.3743055555555555</v>
      </c>
      <c r="BU911" s="2" t="s">
        <v>513</v>
      </c>
      <c r="BV911" s="2" t="s">
        <v>85</v>
      </c>
      <c r="BW911" s="2"/>
      <c r="BX911" s="2"/>
      <c r="BY911" s="2">
        <v>6555</v>
      </c>
      <c r="BZ911" s="2"/>
      <c r="CA911" s="2"/>
      <c r="CB911" s="2"/>
      <c r="CC911" s="2" t="s">
        <v>511</v>
      </c>
      <c r="CD911" s="2">
        <v>3291</v>
      </c>
      <c r="CE911" s="2" t="s">
        <v>86</v>
      </c>
      <c r="CF911" s="5">
        <v>42654</v>
      </c>
      <c r="CG911" s="2"/>
      <c r="CH911" s="2"/>
      <c r="CI911" s="2">
        <v>1</v>
      </c>
      <c r="CJ911" s="2">
        <v>1</v>
      </c>
      <c r="CK911" s="2" t="s">
        <v>1063</v>
      </c>
      <c r="CL911" s="2" t="s">
        <v>88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"FES1162504948"</f>
        <v>FES1162504948</v>
      </c>
      <c r="F912" s="3">
        <v>42649</v>
      </c>
      <c r="G912" s="2">
        <v>201704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253</v>
      </c>
      <c r="M912" s="2" t="s">
        <v>254</v>
      </c>
      <c r="N912" s="2" t="s">
        <v>255</v>
      </c>
      <c r="O912" s="2" t="s">
        <v>81</v>
      </c>
      <c r="P912" s="2" t="str">
        <f>"2170528595                    "</f>
        <v xml:space="preserve">2170528595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4.66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1.4</v>
      </c>
      <c r="BK912" s="2">
        <v>2</v>
      </c>
      <c r="BL912" s="2">
        <v>62.31</v>
      </c>
      <c r="BM912" s="2">
        <v>8.7200000000000006</v>
      </c>
      <c r="BN912" s="2">
        <v>71.03</v>
      </c>
      <c r="BO912" s="2">
        <v>71.03</v>
      </c>
      <c r="BP912" s="2" t="s">
        <v>90</v>
      </c>
      <c r="BQ912" s="2" t="s">
        <v>117</v>
      </c>
      <c r="BR912" s="2" t="s">
        <v>83</v>
      </c>
      <c r="BS912" s="3">
        <v>42650</v>
      </c>
      <c r="BT912" s="4">
        <v>0.59722222222222221</v>
      </c>
      <c r="BU912" s="2" t="s">
        <v>457</v>
      </c>
      <c r="BV912" s="2" t="s">
        <v>85</v>
      </c>
      <c r="BW912" s="2"/>
      <c r="BX912" s="2"/>
      <c r="BY912" s="2">
        <v>6939.32</v>
      </c>
      <c r="BZ912" s="2"/>
      <c r="CA912" s="2"/>
      <c r="CB912" s="2"/>
      <c r="CC912" s="2" t="s">
        <v>254</v>
      </c>
      <c r="CD912" s="2">
        <v>3370</v>
      </c>
      <c r="CE912" s="2" t="s">
        <v>86</v>
      </c>
      <c r="CF912" s="5">
        <v>42654</v>
      </c>
      <c r="CG912" s="2"/>
      <c r="CH912" s="2"/>
      <c r="CI912" s="2">
        <v>2</v>
      </c>
      <c r="CJ912" s="2">
        <v>1</v>
      </c>
      <c r="CK912" s="2" t="s">
        <v>1059</v>
      </c>
      <c r="CL912" s="2" t="s">
        <v>88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"FES1162505047"</f>
        <v>FES1162505047</v>
      </c>
      <c r="F913" s="3">
        <v>42649</v>
      </c>
      <c r="G913" s="2">
        <v>201704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823</v>
      </c>
      <c r="M913" s="2" t="s">
        <v>824</v>
      </c>
      <c r="N913" s="2" t="s">
        <v>825</v>
      </c>
      <c r="O913" s="2" t="s">
        <v>81</v>
      </c>
      <c r="P913" s="2" t="str">
        <f>"2170528704                    "</f>
        <v xml:space="preserve">2170528704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6.79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5</v>
      </c>
      <c r="BJ913" s="2">
        <v>3.3</v>
      </c>
      <c r="BK913" s="2">
        <v>5</v>
      </c>
      <c r="BL913" s="2">
        <v>88.43</v>
      </c>
      <c r="BM913" s="2">
        <v>12.38</v>
      </c>
      <c r="BN913" s="2">
        <v>100.81</v>
      </c>
      <c r="BO913" s="2">
        <v>100.81</v>
      </c>
      <c r="BP913" s="2"/>
      <c r="BQ913" s="2" t="s">
        <v>91</v>
      </c>
      <c r="BR913" s="2" t="s">
        <v>83</v>
      </c>
      <c r="BS913" s="3">
        <v>42650</v>
      </c>
      <c r="BT913" s="4">
        <v>0.41666666666666669</v>
      </c>
      <c r="BU913" s="2" t="s">
        <v>1325</v>
      </c>
      <c r="BV913" s="2"/>
      <c r="BW913" s="2"/>
      <c r="BX913" s="2"/>
      <c r="BY913" s="2">
        <v>16707.990000000002</v>
      </c>
      <c r="BZ913" s="2"/>
      <c r="CA913" s="2" t="s">
        <v>129</v>
      </c>
      <c r="CB913" s="2"/>
      <c r="CC913" s="2" t="s">
        <v>824</v>
      </c>
      <c r="CD913" s="2">
        <v>2410</v>
      </c>
      <c r="CE913" s="2" t="s">
        <v>86</v>
      </c>
      <c r="CF913" s="5">
        <v>42654</v>
      </c>
      <c r="CG913" s="2"/>
      <c r="CH913" s="2"/>
      <c r="CI913" s="2">
        <v>0</v>
      </c>
      <c r="CJ913" s="2">
        <v>0</v>
      </c>
      <c r="CK913" s="2" t="s">
        <v>1063</v>
      </c>
      <c r="CL913" s="2" t="s">
        <v>88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"FES1162504836"</f>
        <v>FES1162504836</v>
      </c>
      <c r="F914" s="3">
        <v>42649</v>
      </c>
      <c r="G914" s="2">
        <v>201704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78</v>
      </c>
      <c r="M914" s="2" t="s">
        <v>79</v>
      </c>
      <c r="N914" s="2" t="s">
        <v>1326</v>
      </c>
      <c r="O914" s="2" t="s">
        <v>81</v>
      </c>
      <c r="P914" s="2" t="str">
        <f>"2170528511                    "</f>
        <v xml:space="preserve">2170528511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5.7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3.6</v>
      </c>
      <c r="BJ914" s="2">
        <v>2.2000000000000002</v>
      </c>
      <c r="BK914" s="2">
        <v>4</v>
      </c>
      <c r="BL914" s="2">
        <v>75.05</v>
      </c>
      <c r="BM914" s="2">
        <v>10.51</v>
      </c>
      <c r="BN914" s="2">
        <v>85.56</v>
      </c>
      <c r="BO914" s="2">
        <v>85.56</v>
      </c>
      <c r="BP914" s="2"/>
      <c r="BQ914" s="2" t="s">
        <v>91</v>
      </c>
      <c r="BR914" s="2" t="s">
        <v>83</v>
      </c>
      <c r="BS914" s="3">
        <v>42650</v>
      </c>
      <c r="BT914" s="4">
        <v>0.41666666666666669</v>
      </c>
      <c r="BU914" s="2" t="s">
        <v>1327</v>
      </c>
      <c r="BV914" s="2" t="s">
        <v>85</v>
      </c>
      <c r="BW914" s="2"/>
      <c r="BX914" s="2"/>
      <c r="BY914" s="2">
        <v>11083.8</v>
      </c>
      <c r="BZ914" s="2"/>
      <c r="CA914" s="2" t="s">
        <v>129</v>
      </c>
      <c r="CB914" s="2"/>
      <c r="CC914" s="2" t="s">
        <v>79</v>
      </c>
      <c r="CD914" s="2">
        <v>1930</v>
      </c>
      <c r="CE914" s="2" t="s">
        <v>108</v>
      </c>
      <c r="CF914" s="5">
        <v>42654</v>
      </c>
      <c r="CG914" s="2"/>
      <c r="CH914" s="2"/>
      <c r="CI914" s="2">
        <v>1</v>
      </c>
      <c r="CJ914" s="2">
        <v>1</v>
      </c>
      <c r="CK914" s="2" t="s">
        <v>87</v>
      </c>
      <c r="CL914" s="2" t="s">
        <v>88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"FES1162505948"</f>
        <v>FES1162505948</v>
      </c>
      <c r="F915" s="3">
        <v>42654</v>
      </c>
      <c r="G915" s="2">
        <v>201704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503</v>
      </c>
      <c r="M915" s="2" t="s">
        <v>504</v>
      </c>
      <c r="N915" s="2" t="s">
        <v>505</v>
      </c>
      <c r="O915" s="2" t="s">
        <v>96</v>
      </c>
      <c r="P915" s="2" t="str">
        <f>"2170529354                    "</f>
        <v xml:space="preserve">2170529354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73.19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3</v>
      </c>
      <c r="BI915" s="2">
        <v>24.6</v>
      </c>
      <c r="BJ915" s="2">
        <v>7</v>
      </c>
      <c r="BK915" s="2">
        <v>25</v>
      </c>
      <c r="BL915" s="2">
        <v>899.21</v>
      </c>
      <c r="BM915" s="2">
        <v>125.89</v>
      </c>
      <c r="BN915" s="2">
        <v>1025.0999999999999</v>
      </c>
      <c r="BO915" s="2">
        <v>1025.0999999999999</v>
      </c>
      <c r="BP915" s="2"/>
      <c r="BQ915" s="2" t="s">
        <v>91</v>
      </c>
      <c r="BR915" s="2" t="s">
        <v>83</v>
      </c>
      <c r="BS915" s="3">
        <v>42655</v>
      </c>
      <c r="BT915" s="4">
        <v>0.41666666666666669</v>
      </c>
      <c r="BU915" s="2" t="s">
        <v>1328</v>
      </c>
      <c r="BV915" s="2" t="s">
        <v>85</v>
      </c>
      <c r="BW915" s="2"/>
      <c r="BX915" s="2"/>
      <c r="BY915" s="2">
        <v>35075.49</v>
      </c>
      <c r="BZ915" s="2"/>
      <c r="CA915" s="2"/>
      <c r="CB915" s="2"/>
      <c r="CC915" s="2" t="s">
        <v>504</v>
      </c>
      <c r="CD915" s="2">
        <v>7349</v>
      </c>
      <c r="CE915" s="2" t="s">
        <v>86</v>
      </c>
      <c r="CF915" s="5">
        <v>42656</v>
      </c>
      <c r="CG915" s="2"/>
      <c r="CH915" s="2"/>
      <c r="CI915" s="2">
        <v>1</v>
      </c>
      <c r="CJ915" s="2">
        <v>1</v>
      </c>
      <c r="CK915" s="2">
        <v>23</v>
      </c>
      <c r="CL915" s="2" t="s">
        <v>88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"009932186812"</f>
        <v>009932186812</v>
      </c>
      <c r="F916" s="3">
        <v>42654</v>
      </c>
      <c r="G916" s="2">
        <v>201704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160</v>
      </c>
      <c r="M916" s="2" t="s">
        <v>161</v>
      </c>
      <c r="N916" s="2" t="s">
        <v>236</v>
      </c>
      <c r="O916" s="2" t="s">
        <v>96</v>
      </c>
      <c r="P916" s="2" t="str">
        <f>"MIKE   RUSSEL                 "</f>
        <v xml:space="preserve">MIKE   RUSSEL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3.32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0.5</v>
      </c>
      <c r="BJ916" s="2">
        <v>0.2</v>
      </c>
      <c r="BK916" s="2">
        <v>0.5</v>
      </c>
      <c r="BL916" s="2">
        <v>40.76</v>
      </c>
      <c r="BM916" s="2">
        <v>5.71</v>
      </c>
      <c r="BN916" s="2">
        <v>46.47</v>
      </c>
      <c r="BO916" s="2">
        <v>46.47</v>
      </c>
      <c r="BP916" s="2" t="s">
        <v>1329</v>
      </c>
      <c r="BQ916" s="2" t="s">
        <v>1330</v>
      </c>
      <c r="BR916" s="2" t="s">
        <v>83</v>
      </c>
      <c r="BS916" s="3">
        <v>42655</v>
      </c>
      <c r="BT916" s="4">
        <v>0.41666666666666669</v>
      </c>
      <c r="BU916" s="2" t="s">
        <v>1331</v>
      </c>
      <c r="BV916" s="2" t="s">
        <v>85</v>
      </c>
      <c r="BW916" s="2"/>
      <c r="BX916" s="2"/>
      <c r="BY916" s="2">
        <v>1200</v>
      </c>
      <c r="BZ916" s="2"/>
      <c r="CA916" s="2"/>
      <c r="CB916" s="2"/>
      <c r="CC916" s="2" t="s">
        <v>161</v>
      </c>
      <c r="CD916" s="2">
        <v>7405</v>
      </c>
      <c r="CE916" s="2" t="s">
        <v>108</v>
      </c>
      <c r="CF916" s="5">
        <v>42656</v>
      </c>
      <c r="CG916" s="2"/>
      <c r="CH916" s="2"/>
      <c r="CI916" s="2">
        <v>1</v>
      </c>
      <c r="CJ916" s="2">
        <v>1</v>
      </c>
      <c r="CK916" s="2">
        <v>21</v>
      </c>
      <c r="CL916" s="2" t="s">
        <v>88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"FES1162505977"</f>
        <v>FES1162505977</v>
      </c>
      <c r="F917" s="3">
        <v>42654</v>
      </c>
      <c r="G917" s="2">
        <v>201704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160</v>
      </c>
      <c r="M917" s="2" t="s">
        <v>161</v>
      </c>
      <c r="N917" s="2" t="s">
        <v>441</v>
      </c>
      <c r="O917" s="2" t="s">
        <v>96</v>
      </c>
      <c r="P917" s="2" t="str">
        <f>"2170529489                    "</f>
        <v xml:space="preserve">2170529489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3.32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1</v>
      </c>
      <c r="BJ917" s="2">
        <v>0.2</v>
      </c>
      <c r="BK917" s="2">
        <v>1</v>
      </c>
      <c r="BL917" s="2">
        <v>40.76</v>
      </c>
      <c r="BM917" s="2">
        <v>5.71</v>
      </c>
      <c r="BN917" s="2">
        <v>46.47</v>
      </c>
      <c r="BO917" s="2">
        <v>46.47</v>
      </c>
      <c r="BP917" s="2"/>
      <c r="BQ917" s="2" t="s">
        <v>168</v>
      </c>
      <c r="BR917" s="2" t="s">
        <v>83</v>
      </c>
      <c r="BS917" s="3">
        <v>42655</v>
      </c>
      <c r="BT917" s="4">
        <v>0.42708333333333331</v>
      </c>
      <c r="BU917" s="2" t="s">
        <v>1332</v>
      </c>
      <c r="BV917" s="2" t="s">
        <v>85</v>
      </c>
      <c r="BW917" s="2"/>
      <c r="BX917" s="2"/>
      <c r="BY917" s="2">
        <v>1200</v>
      </c>
      <c r="BZ917" s="2"/>
      <c r="CA917" s="2"/>
      <c r="CB917" s="2"/>
      <c r="CC917" s="2" t="s">
        <v>161</v>
      </c>
      <c r="CD917" s="2">
        <v>7580</v>
      </c>
      <c r="CE917" s="2" t="s">
        <v>108</v>
      </c>
      <c r="CF917" s="5">
        <v>42656</v>
      </c>
      <c r="CG917" s="2"/>
      <c r="CH917" s="2"/>
      <c r="CI917" s="2">
        <v>1</v>
      </c>
      <c r="CJ917" s="2">
        <v>1</v>
      </c>
      <c r="CK917" s="2">
        <v>21</v>
      </c>
      <c r="CL917" s="2" t="s">
        <v>88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"FES1162505736"</f>
        <v>FES1162505736</v>
      </c>
      <c r="F918" s="3">
        <v>42654</v>
      </c>
      <c r="G918" s="2">
        <v>201704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160</v>
      </c>
      <c r="M918" s="2" t="s">
        <v>161</v>
      </c>
      <c r="N918" s="2" t="s">
        <v>267</v>
      </c>
      <c r="O918" s="2" t="s">
        <v>96</v>
      </c>
      <c r="P918" s="2" t="str">
        <f>"2170528610                    "</f>
        <v xml:space="preserve">2170528610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4.1500000000000004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2.2999999999999998</v>
      </c>
      <c r="BJ918" s="2">
        <v>1.4</v>
      </c>
      <c r="BK918" s="2">
        <v>2.5</v>
      </c>
      <c r="BL918" s="2">
        <v>50.95</v>
      </c>
      <c r="BM918" s="2">
        <v>7.13</v>
      </c>
      <c r="BN918" s="2">
        <v>58.08</v>
      </c>
      <c r="BO918" s="2">
        <v>58.08</v>
      </c>
      <c r="BP918" s="2"/>
      <c r="BQ918" s="2" t="s">
        <v>117</v>
      </c>
      <c r="BR918" s="2" t="s">
        <v>83</v>
      </c>
      <c r="BS918" s="3">
        <v>42655</v>
      </c>
      <c r="BT918" s="4">
        <v>0.375</v>
      </c>
      <c r="BU918" s="2" t="s">
        <v>1244</v>
      </c>
      <c r="BV918" s="2" t="s">
        <v>85</v>
      </c>
      <c r="BW918" s="2"/>
      <c r="BX918" s="2"/>
      <c r="BY918" s="2">
        <v>6780.82</v>
      </c>
      <c r="BZ918" s="2"/>
      <c r="CA918" s="2" t="s">
        <v>129</v>
      </c>
      <c r="CB918" s="2"/>
      <c r="CC918" s="2" t="s">
        <v>161</v>
      </c>
      <c r="CD918" s="2">
        <v>7441</v>
      </c>
      <c r="CE918" s="2" t="s">
        <v>86</v>
      </c>
      <c r="CF918" s="5">
        <v>42656</v>
      </c>
      <c r="CG918" s="2"/>
      <c r="CH918" s="2"/>
      <c r="CI918" s="2">
        <v>1</v>
      </c>
      <c r="CJ918" s="2">
        <v>1</v>
      </c>
      <c r="CK918" s="2">
        <v>21</v>
      </c>
      <c r="CL918" s="2" t="s">
        <v>88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"FES1162505738"</f>
        <v>FES1162505738</v>
      </c>
      <c r="F919" s="3">
        <v>42654</v>
      </c>
      <c r="G919" s="2">
        <v>201704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160</v>
      </c>
      <c r="M919" s="2" t="s">
        <v>161</v>
      </c>
      <c r="N919" s="2" t="s">
        <v>302</v>
      </c>
      <c r="O919" s="2" t="s">
        <v>96</v>
      </c>
      <c r="P919" s="2" t="str">
        <f>"2170528635                    "</f>
        <v xml:space="preserve">2170528635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4.9800000000000004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1.4</v>
      </c>
      <c r="BJ919" s="2">
        <v>2.9</v>
      </c>
      <c r="BK919" s="2">
        <v>3</v>
      </c>
      <c r="BL919" s="2">
        <v>61.14</v>
      </c>
      <c r="BM919" s="2">
        <v>8.56</v>
      </c>
      <c r="BN919" s="2">
        <v>69.7</v>
      </c>
      <c r="BO919" s="2">
        <v>69.7</v>
      </c>
      <c r="BP919" s="2"/>
      <c r="BQ919" s="2" t="s">
        <v>303</v>
      </c>
      <c r="BR919" s="2" t="s">
        <v>83</v>
      </c>
      <c r="BS919" s="3">
        <v>42655</v>
      </c>
      <c r="BT919" s="4">
        <v>0.36805555555555558</v>
      </c>
      <c r="BU919" s="2" t="s">
        <v>1333</v>
      </c>
      <c r="BV919" s="2" t="s">
        <v>85</v>
      </c>
      <c r="BW919" s="2"/>
      <c r="BX919" s="2"/>
      <c r="BY919" s="2">
        <v>14618.21</v>
      </c>
      <c r="BZ919" s="2"/>
      <c r="CA919" s="2"/>
      <c r="CB919" s="2"/>
      <c r="CC919" s="2" t="s">
        <v>161</v>
      </c>
      <c r="CD919" s="2">
        <v>7530</v>
      </c>
      <c r="CE919" s="2" t="s">
        <v>86</v>
      </c>
      <c r="CF919" s="5">
        <v>42656</v>
      </c>
      <c r="CG919" s="2"/>
      <c r="CH919" s="2"/>
      <c r="CI919" s="2">
        <v>1</v>
      </c>
      <c r="CJ919" s="2">
        <v>1</v>
      </c>
      <c r="CK919" s="2">
        <v>21</v>
      </c>
      <c r="CL919" s="2" t="s">
        <v>88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"FES1162505676"</f>
        <v>FES1162505676</v>
      </c>
      <c r="F920" s="3">
        <v>42654</v>
      </c>
      <c r="G920" s="2">
        <v>201704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160</v>
      </c>
      <c r="M920" s="2" t="s">
        <v>161</v>
      </c>
      <c r="N920" s="2" t="s">
        <v>411</v>
      </c>
      <c r="O920" s="2" t="s">
        <v>96</v>
      </c>
      <c r="P920" s="2" t="str">
        <f>"2170521673                    "</f>
        <v xml:space="preserve">2170521673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3.32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0.5</v>
      </c>
      <c r="BJ920" s="2">
        <v>0.2</v>
      </c>
      <c r="BK920" s="2">
        <v>0.5</v>
      </c>
      <c r="BL920" s="2">
        <v>40.76</v>
      </c>
      <c r="BM920" s="2">
        <v>5.71</v>
      </c>
      <c r="BN920" s="2">
        <v>46.47</v>
      </c>
      <c r="BO920" s="2">
        <v>46.47</v>
      </c>
      <c r="BP920" s="2"/>
      <c r="BQ920" s="2" t="s">
        <v>412</v>
      </c>
      <c r="BR920" s="2" t="s">
        <v>83</v>
      </c>
      <c r="BS920" s="3">
        <v>42655</v>
      </c>
      <c r="BT920" s="4">
        <v>0.45833333333333331</v>
      </c>
      <c r="BU920" s="2" t="s">
        <v>413</v>
      </c>
      <c r="BV920" s="2" t="s">
        <v>85</v>
      </c>
      <c r="BW920" s="2"/>
      <c r="BX920" s="2"/>
      <c r="BY920" s="2">
        <v>1200</v>
      </c>
      <c r="BZ920" s="2"/>
      <c r="CA920" s="2"/>
      <c r="CB920" s="2"/>
      <c r="CC920" s="2" t="s">
        <v>161</v>
      </c>
      <c r="CD920" s="2">
        <v>7945</v>
      </c>
      <c r="CE920" s="2" t="s">
        <v>108</v>
      </c>
      <c r="CF920" s="5">
        <v>42656</v>
      </c>
      <c r="CG920" s="2"/>
      <c r="CH920" s="2"/>
      <c r="CI920" s="2">
        <v>1</v>
      </c>
      <c r="CJ920" s="2">
        <v>1</v>
      </c>
      <c r="CK920" s="2">
        <v>21</v>
      </c>
      <c r="CL920" s="2" t="s">
        <v>88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"FES1162505699"</f>
        <v>FES1162505699</v>
      </c>
      <c r="F921" s="3">
        <v>42654</v>
      </c>
      <c r="G921" s="2">
        <v>201704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160</v>
      </c>
      <c r="M921" s="2" t="s">
        <v>161</v>
      </c>
      <c r="N921" s="2" t="s">
        <v>1334</v>
      </c>
      <c r="O921" s="2" t="s">
        <v>96</v>
      </c>
      <c r="P921" s="2" t="str">
        <f>"2170527197                    "</f>
        <v xml:space="preserve">2170527197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3.32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0.5</v>
      </c>
      <c r="BJ921" s="2">
        <v>0.2</v>
      </c>
      <c r="BK921" s="2">
        <v>0.5</v>
      </c>
      <c r="BL921" s="2">
        <v>40.76</v>
      </c>
      <c r="BM921" s="2">
        <v>5.71</v>
      </c>
      <c r="BN921" s="2">
        <v>46.47</v>
      </c>
      <c r="BO921" s="2">
        <v>46.47</v>
      </c>
      <c r="BP921" s="2"/>
      <c r="BQ921" s="2" t="s">
        <v>1335</v>
      </c>
      <c r="BR921" s="2" t="s">
        <v>83</v>
      </c>
      <c r="BS921" s="3">
        <v>42655</v>
      </c>
      <c r="BT921" s="4">
        <v>0.40277777777777773</v>
      </c>
      <c r="BU921" s="2" t="s">
        <v>238</v>
      </c>
      <c r="BV921" s="2" t="s">
        <v>85</v>
      </c>
      <c r="BW921" s="2"/>
      <c r="BX921" s="2"/>
      <c r="BY921" s="2">
        <v>1200</v>
      </c>
      <c r="BZ921" s="2"/>
      <c r="CA921" s="2"/>
      <c r="CB921" s="2"/>
      <c r="CC921" s="2" t="s">
        <v>161</v>
      </c>
      <c r="CD921" s="2">
        <v>7560</v>
      </c>
      <c r="CE921" s="2" t="s">
        <v>108</v>
      </c>
      <c r="CF921" s="5">
        <v>42656</v>
      </c>
      <c r="CG921" s="2"/>
      <c r="CH921" s="2"/>
      <c r="CI921" s="2">
        <v>1</v>
      </c>
      <c r="CJ921" s="2">
        <v>1</v>
      </c>
      <c r="CK921" s="2">
        <v>21</v>
      </c>
      <c r="CL921" s="2" t="s">
        <v>88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"FES1162505659"</f>
        <v>FES1162505659</v>
      </c>
      <c r="F922" s="3">
        <v>42654</v>
      </c>
      <c r="G922" s="2">
        <v>201704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160</v>
      </c>
      <c r="M922" s="2" t="s">
        <v>161</v>
      </c>
      <c r="N922" s="2" t="s">
        <v>179</v>
      </c>
      <c r="O922" s="2" t="s">
        <v>96</v>
      </c>
      <c r="P922" s="2" t="str">
        <f>"2170529286                    "</f>
        <v xml:space="preserve">2170529286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14.93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9</v>
      </c>
      <c r="BJ922" s="2">
        <v>4</v>
      </c>
      <c r="BK922" s="2">
        <v>9</v>
      </c>
      <c r="BL922" s="2">
        <v>183.41</v>
      </c>
      <c r="BM922" s="2">
        <v>25.68</v>
      </c>
      <c r="BN922" s="2">
        <v>209.09</v>
      </c>
      <c r="BO922" s="2">
        <v>209.09</v>
      </c>
      <c r="BP922" s="2"/>
      <c r="BQ922" s="2" t="s">
        <v>180</v>
      </c>
      <c r="BR922" s="2" t="s">
        <v>83</v>
      </c>
      <c r="BS922" s="3">
        <v>42655</v>
      </c>
      <c r="BT922" s="4">
        <v>0.41666666666666669</v>
      </c>
      <c r="BU922" s="2" t="s">
        <v>181</v>
      </c>
      <c r="BV922" s="2" t="s">
        <v>85</v>
      </c>
      <c r="BW922" s="2"/>
      <c r="BX922" s="2"/>
      <c r="BY922" s="2">
        <v>19812</v>
      </c>
      <c r="BZ922" s="2"/>
      <c r="CA922" s="2"/>
      <c r="CB922" s="2"/>
      <c r="CC922" s="2" t="s">
        <v>161</v>
      </c>
      <c r="CD922" s="2">
        <v>7405</v>
      </c>
      <c r="CE922" s="2" t="s">
        <v>86</v>
      </c>
      <c r="CF922" s="5">
        <v>42656</v>
      </c>
      <c r="CG922" s="2"/>
      <c r="CH922" s="2"/>
      <c r="CI922" s="2">
        <v>1</v>
      </c>
      <c r="CJ922" s="2">
        <v>1</v>
      </c>
      <c r="CK922" s="2">
        <v>21</v>
      </c>
      <c r="CL922" s="2" t="s">
        <v>88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"FES1162505831"</f>
        <v>FES1162505831</v>
      </c>
      <c r="F923" s="3">
        <v>42654</v>
      </c>
      <c r="G923" s="2">
        <v>201704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143</v>
      </c>
      <c r="M923" s="2" t="s">
        <v>144</v>
      </c>
      <c r="N923" s="2" t="s">
        <v>216</v>
      </c>
      <c r="O923" s="2" t="s">
        <v>96</v>
      </c>
      <c r="P923" s="2" t="str">
        <f>"2170529439                    "</f>
        <v xml:space="preserve">2170529439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3.32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0.5</v>
      </c>
      <c r="BJ923" s="2">
        <v>0.2</v>
      </c>
      <c r="BK923" s="2">
        <v>0.5</v>
      </c>
      <c r="BL923" s="2">
        <v>40.76</v>
      </c>
      <c r="BM923" s="2">
        <v>5.71</v>
      </c>
      <c r="BN923" s="2">
        <v>46.47</v>
      </c>
      <c r="BO923" s="2">
        <v>46.47</v>
      </c>
      <c r="BP923" s="2"/>
      <c r="BQ923" s="2" t="s">
        <v>91</v>
      </c>
      <c r="BR923" s="2" t="s">
        <v>83</v>
      </c>
      <c r="BS923" s="3">
        <v>42655</v>
      </c>
      <c r="BT923" s="4">
        <v>0.41666666666666669</v>
      </c>
      <c r="BU923" s="2" t="s">
        <v>1336</v>
      </c>
      <c r="BV923" s="2" t="s">
        <v>85</v>
      </c>
      <c r="BW923" s="2"/>
      <c r="BX923" s="2"/>
      <c r="BY923" s="2">
        <v>1200</v>
      </c>
      <c r="BZ923" s="2"/>
      <c r="CA923" s="2" t="s">
        <v>129</v>
      </c>
      <c r="CB923" s="2"/>
      <c r="CC923" s="2" t="s">
        <v>144</v>
      </c>
      <c r="CD923" s="2">
        <v>5201</v>
      </c>
      <c r="CE923" s="2" t="s">
        <v>108</v>
      </c>
      <c r="CF923" s="5">
        <v>42657</v>
      </c>
      <c r="CG923" s="2"/>
      <c r="CH923" s="2"/>
      <c r="CI923" s="2">
        <v>1</v>
      </c>
      <c r="CJ923" s="2">
        <v>1</v>
      </c>
      <c r="CK923" s="2">
        <v>21</v>
      </c>
      <c r="CL923" s="2" t="s">
        <v>88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"FES1162505812"</f>
        <v>FES1162505812</v>
      </c>
      <c r="F924" s="3">
        <v>42654</v>
      </c>
      <c r="G924" s="2">
        <v>201704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160</v>
      </c>
      <c r="M924" s="2" t="s">
        <v>161</v>
      </c>
      <c r="N924" s="2" t="s">
        <v>1337</v>
      </c>
      <c r="O924" s="2" t="s">
        <v>96</v>
      </c>
      <c r="P924" s="2" t="str">
        <f>"2170528964                    "</f>
        <v xml:space="preserve">2170528964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3.32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1.2</v>
      </c>
      <c r="BJ924" s="2">
        <v>1.9</v>
      </c>
      <c r="BK924" s="2">
        <v>2</v>
      </c>
      <c r="BL924" s="2">
        <v>40.76</v>
      </c>
      <c r="BM924" s="2">
        <v>5.71</v>
      </c>
      <c r="BN924" s="2">
        <v>46.47</v>
      </c>
      <c r="BO924" s="2">
        <v>46.47</v>
      </c>
      <c r="BP924" s="2"/>
      <c r="BQ924" s="2" t="s">
        <v>1338</v>
      </c>
      <c r="BR924" s="2" t="s">
        <v>83</v>
      </c>
      <c r="BS924" s="3">
        <v>42655</v>
      </c>
      <c r="BT924" s="4">
        <v>0.41666666666666669</v>
      </c>
      <c r="BU924" s="2" t="s">
        <v>1339</v>
      </c>
      <c r="BV924" s="2" t="s">
        <v>85</v>
      </c>
      <c r="BW924" s="2"/>
      <c r="BX924" s="2"/>
      <c r="BY924" s="2">
        <v>9574.2099999999991</v>
      </c>
      <c r="BZ924" s="2"/>
      <c r="CA924" s="2"/>
      <c r="CB924" s="2"/>
      <c r="CC924" s="2" t="s">
        <v>161</v>
      </c>
      <c r="CD924" s="2">
        <v>7460</v>
      </c>
      <c r="CE924" s="2" t="s">
        <v>86</v>
      </c>
      <c r="CF924" s="5">
        <v>42656</v>
      </c>
      <c r="CG924" s="2"/>
      <c r="CH924" s="2"/>
      <c r="CI924" s="2">
        <v>1</v>
      </c>
      <c r="CJ924" s="2">
        <v>1</v>
      </c>
      <c r="CK924" s="2">
        <v>21</v>
      </c>
      <c r="CL924" s="2" t="s">
        <v>88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"FES1162505826"</f>
        <v>FES1162505826</v>
      </c>
      <c r="F925" s="3">
        <v>42654</v>
      </c>
      <c r="G925" s="2">
        <v>201704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160</v>
      </c>
      <c r="M925" s="2" t="s">
        <v>161</v>
      </c>
      <c r="N925" s="2" t="s">
        <v>279</v>
      </c>
      <c r="O925" s="2" t="s">
        <v>96</v>
      </c>
      <c r="P925" s="2" t="str">
        <f>"2170528507                    "</f>
        <v xml:space="preserve">2170528507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14.93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9</v>
      </c>
      <c r="BJ925" s="2">
        <v>4.8</v>
      </c>
      <c r="BK925" s="2">
        <v>9</v>
      </c>
      <c r="BL925" s="2">
        <v>183.41</v>
      </c>
      <c r="BM925" s="2">
        <v>25.68</v>
      </c>
      <c r="BN925" s="2">
        <v>209.09</v>
      </c>
      <c r="BO925" s="2">
        <v>209.09</v>
      </c>
      <c r="BP925" s="2"/>
      <c r="BQ925" s="2" t="s">
        <v>280</v>
      </c>
      <c r="BR925" s="2" t="s">
        <v>83</v>
      </c>
      <c r="BS925" s="3">
        <v>42655</v>
      </c>
      <c r="BT925" s="4">
        <v>0.3576388888888889</v>
      </c>
      <c r="BU925" s="2" t="s">
        <v>1340</v>
      </c>
      <c r="BV925" s="2" t="s">
        <v>85</v>
      </c>
      <c r="BW925" s="2"/>
      <c r="BX925" s="2"/>
      <c r="BY925" s="2">
        <v>23960.31</v>
      </c>
      <c r="BZ925" s="2"/>
      <c r="CA925" s="2" t="s">
        <v>129</v>
      </c>
      <c r="CB925" s="2"/>
      <c r="CC925" s="2" t="s">
        <v>161</v>
      </c>
      <c r="CD925" s="2">
        <v>7441</v>
      </c>
      <c r="CE925" s="2" t="s">
        <v>86</v>
      </c>
      <c r="CF925" s="5">
        <v>42656</v>
      </c>
      <c r="CG925" s="2"/>
      <c r="CH925" s="2"/>
      <c r="CI925" s="2">
        <v>1</v>
      </c>
      <c r="CJ925" s="2">
        <v>1</v>
      </c>
      <c r="CK925" s="2">
        <v>21</v>
      </c>
      <c r="CL925" s="2" t="s">
        <v>88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"FES1162505695"</f>
        <v>FES1162505695</v>
      </c>
      <c r="F926" s="3">
        <v>42654</v>
      </c>
      <c r="G926" s="2">
        <v>201704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153</v>
      </c>
      <c r="M926" s="2" t="s">
        <v>153</v>
      </c>
      <c r="N926" s="2" t="s">
        <v>154</v>
      </c>
      <c r="O926" s="2" t="s">
        <v>96</v>
      </c>
      <c r="P926" s="2" t="str">
        <f>"2170527160                    "</f>
        <v xml:space="preserve">2170527160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4.1500000000000004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2</v>
      </c>
      <c r="BJ926" s="2">
        <v>2.5</v>
      </c>
      <c r="BK926" s="2">
        <v>2.5</v>
      </c>
      <c r="BL926" s="2">
        <v>50.95</v>
      </c>
      <c r="BM926" s="2">
        <v>7.13</v>
      </c>
      <c r="BN926" s="2">
        <v>58.08</v>
      </c>
      <c r="BO926" s="2">
        <v>58.08</v>
      </c>
      <c r="BP926" s="2"/>
      <c r="BQ926" s="2" t="s">
        <v>117</v>
      </c>
      <c r="BR926" s="2" t="s">
        <v>83</v>
      </c>
      <c r="BS926" s="3">
        <v>42655</v>
      </c>
      <c r="BT926" s="4">
        <v>0.4826388888888889</v>
      </c>
      <c r="BU926" s="2" t="s">
        <v>155</v>
      </c>
      <c r="BV926" s="2" t="s">
        <v>85</v>
      </c>
      <c r="BW926" s="2"/>
      <c r="BX926" s="2"/>
      <c r="BY926" s="2">
        <v>12672</v>
      </c>
      <c r="BZ926" s="2"/>
      <c r="CA926" s="2"/>
      <c r="CB926" s="2"/>
      <c r="CC926" s="2" t="s">
        <v>153</v>
      </c>
      <c r="CD926" s="2">
        <v>7646</v>
      </c>
      <c r="CE926" s="2" t="s">
        <v>86</v>
      </c>
      <c r="CF926" s="5">
        <v>42656</v>
      </c>
      <c r="CG926" s="2"/>
      <c r="CH926" s="2"/>
      <c r="CI926" s="2">
        <v>1</v>
      </c>
      <c r="CJ926" s="2">
        <v>1</v>
      </c>
      <c r="CK926" s="2">
        <v>21</v>
      </c>
      <c r="CL926" s="2" t="s">
        <v>88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"FES1162505828"</f>
        <v>FES1162505828</v>
      </c>
      <c r="F927" s="3">
        <v>42654</v>
      </c>
      <c r="G927" s="2">
        <v>201704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160</v>
      </c>
      <c r="M927" s="2" t="s">
        <v>161</v>
      </c>
      <c r="N927" s="2" t="s">
        <v>555</v>
      </c>
      <c r="O927" s="2" t="s">
        <v>96</v>
      </c>
      <c r="P927" s="2" t="str">
        <f>"2170529022                    "</f>
        <v xml:space="preserve">2170529022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3.32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1</v>
      </c>
      <c r="BI927" s="2">
        <v>0.5</v>
      </c>
      <c r="BJ927" s="2">
        <v>0.2</v>
      </c>
      <c r="BK927" s="2">
        <v>0.5</v>
      </c>
      <c r="BL927" s="2">
        <v>40.76</v>
      </c>
      <c r="BM927" s="2">
        <v>5.71</v>
      </c>
      <c r="BN927" s="2">
        <v>46.47</v>
      </c>
      <c r="BO927" s="2">
        <v>46.47</v>
      </c>
      <c r="BP927" s="2"/>
      <c r="BQ927" s="2"/>
      <c r="BR927" s="2" t="s">
        <v>83</v>
      </c>
      <c r="BS927" s="3">
        <v>42655</v>
      </c>
      <c r="BT927" s="4">
        <v>0.54166666666666663</v>
      </c>
      <c r="BU927" s="2" t="s">
        <v>556</v>
      </c>
      <c r="BV927" s="2" t="s">
        <v>88</v>
      </c>
      <c r="BW927" s="2" t="s">
        <v>222</v>
      </c>
      <c r="BX927" s="2" t="s">
        <v>356</v>
      </c>
      <c r="BY927" s="2">
        <v>1200</v>
      </c>
      <c r="BZ927" s="2"/>
      <c r="CA927" s="2"/>
      <c r="CB927" s="2"/>
      <c r="CC927" s="2" t="s">
        <v>161</v>
      </c>
      <c r="CD927" s="2">
        <v>7945</v>
      </c>
      <c r="CE927" s="2" t="s">
        <v>108</v>
      </c>
      <c r="CF927" s="5">
        <v>42656</v>
      </c>
      <c r="CG927" s="2"/>
      <c r="CH927" s="2"/>
      <c r="CI927" s="2">
        <v>1</v>
      </c>
      <c r="CJ927" s="2">
        <v>1</v>
      </c>
      <c r="CK927" s="2">
        <v>21</v>
      </c>
      <c r="CL927" s="2" t="s">
        <v>88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"FES1162505797"</f>
        <v>FES1162505797</v>
      </c>
      <c r="F928" s="3">
        <v>42654</v>
      </c>
      <c r="G928" s="2">
        <v>201704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160</v>
      </c>
      <c r="M928" s="2" t="s">
        <v>161</v>
      </c>
      <c r="N928" s="2" t="s">
        <v>176</v>
      </c>
      <c r="O928" s="2" t="s">
        <v>96</v>
      </c>
      <c r="P928" s="2" t="str">
        <f>"2170529427                    "</f>
        <v xml:space="preserve">2170529427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3.32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2</v>
      </c>
      <c r="BJ928" s="2">
        <v>0.2</v>
      </c>
      <c r="BK928" s="2">
        <v>2</v>
      </c>
      <c r="BL928" s="2">
        <v>40.76</v>
      </c>
      <c r="BM928" s="2">
        <v>5.71</v>
      </c>
      <c r="BN928" s="2">
        <v>46.47</v>
      </c>
      <c r="BO928" s="2">
        <v>46.47</v>
      </c>
      <c r="BP928" s="2"/>
      <c r="BQ928" s="2" t="s">
        <v>258</v>
      </c>
      <c r="BR928" s="2" t="s">
        <v>83</v>
      </c>
      <c r="BS928" s="3">
        <v>42655</v>
      </c>
      <c r="BT928" s="4">
        <v>0.41666666666666669</v>
      </c>
      <c r="BU928" s="2" t="s">
        <v>146</v>
      </c>
      <c r="BV928" s="2" t="s">
        <v>85</v>
      </c>
      <c r="BW928" s="2"/>
      <c r="BX928" s="2"/>
      <c r="BY928" s="2">
        <v>1200</v>
      </c>
      <c r="BZ928" s="2"/>
      <c r="CA928" s="2"/>
      <c r="CB928" s="2"/>
      <c r="CC928" s="2" t="s">
        <v>161</v>
      </c>
      <c r="CD928" s="2">
        <v>7405</v>
      </c>
      <c r="CE928" s="2" t="s">
        <v>108</v>
      </c>
      <c r="CF928" s="5">
        <v>42656</v>
      </c>
      <c r="CG928" s="2"/>
      <c r="CH928" s="2"/>
      <c r="CI928" s="2">
        <v>1</v>
      </c>
      <c r="CJ928" s="2">
        <v>1</v>
      </c>
      <c r="CK928" s="2">
        <v>21</v>
      </c>
      <c r="CL928" s="2" t="s">
        <v>88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"009935556468"</f>
        <v>009935556468</v>
      </c>
      <c r="F929" s="3">
        <v>42650</v>
      </c>
      <c r="G929" s="2">
        <v>201704</v>
      </c>
      <c r="H929" s="2" t="s">
        <v>137</v>
      </c>
      <c r="I929" s="2" t="s">
        <v>138</v>
      </c>
      <c r="J929" s="2" t="s">
        <v>1183</v>
      </c>
      <c r="K929" s="2" t="s">
        <v>77</v>
      </c>
      <c r="L929" s="2" t="s">
        <v>74</v>
      </c>
      <c r="M929" s="2" t="s">
        <v>75</v>
      </c>
      <c r="N929" s="2" t="s">
        <v>1341</v>
      </c>
      <c r="O929" s="2" t="s">
        <v>81</v>
      </c>
      <c r="P929" s="2" t="str">
        <f>"                              "</f>
        <v xml:space="preserve">          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6.22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5.5</v>
      </c>
      <c r="BJ929" s="2">
        <v>3.4</v>
      </c>
      <c r="BK929" s="2">
        <v>6</v>
      </c>
      <c r="BL929" s="2">
        <v>81.42</v>
      </c>
      <c r="BM929" s="2">
        <v>11.4</v>
      </c>
      <c r="BN929" s="2">
        <v>92.82</v>
      </c>
      <c r="BO929" s="2">
        <v>92.82</v>
      </c>
      <c r="BP929" s="2"/>
      <c r="BQ929" s="2"/>
      <c r="BR929" s="2" t="s">
        <v>1186</v>
      </c>
      <c r="BS929" s="3">
        <v>42653</v>
      </c>
      <c r="BT929" s="4">
        <v>0.38472222222222219</v>
      </c>
      <c r="BU929" s="2" t="s">
        <v>1187</v>
      </c>
      <c r="BV929" s="2" t="s">
        <v>85</v>
      </c>
      <c r="BW929" s="2"/>
      <c r="BX929" s="2"/>
      <c r="BY929" s="2">
        <v>17100</v>
      </c>
      <c r="BZ929" s="2"/>
      <c r="CA929" s="2"/>
      <c r="CB929" s="2"/>
      <c r="CC929" s="2" t="s">
        <v>75</v>
      </c>
      <c r="CD929" s="2">
        <v>1600</v>
      </c>
      <c r="CE929" s="2" t="s">
        <v>86</v>
      </c>
      <c r="CF929" s="5">
        <v>42653</v>
      </c>
      <c r="CG929" s="2"/>
      <c r="CH929" s="2"/>
      <c r="CI929" s="2">
        <v>1</v>
      </c>
      <c r="CJ929" s="2">
        <v>1</v>
      </c>
      <c r="CK929" s="2" t="s">
        <v>366</v>
      </c>
      <c r="CL929" s="2" t="s">
        <v>88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"FES1162506033"</f>
        <v>FES1162506033</v>
      </c>
      <c r="F930" s="3">
        <v>42655</v>
      </c>
      <c r="G930" s="2">
        <v>201704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872</v>
      </c>
      <c r="M930" s="2" t="s">
        <v>873</v>
      </c>
      <c r="N930" s="2" t="s">
        <v>1342</v>
      </c>
      <c r="O930" s="2" t="s">
        <v>96</v>
      </c>
      <c r="P930" s="2" t="str">
        <f>"2170526952                    "</f>
        <v xml:space="preserve">2170526952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3.32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</v>
      </c>
      <c r="BJ930" s="2">
        <v>0.2</v>
      </c>
      <c r="BK930" s="2">
        <v>1</v>
      </c>
      <c r="BL930" s="2">
        <v>40.76</v>
      </c>
      <c r="BM930" s="2">
        <v>5.71</v>
      </c>
      <c r="BN930" s="2">
        <v>46.47</v>
      </c>
      <c r="BO930" s="2">
        <v>46.47</v>
      </c>
      <c r="BP930" s="2"/>
      <c r="BQ930" s="2" t="s">
        <v>1343</v>
      </c>
      <c r="BR930" s="2" t="s">
        <v>83</v>
      </c>
      <c r="BS930" s="3">
        <v>42656</v>
      </c>
      <c r="BT930" s="4">
        <v>0.34027777777777773</v>
      </c>
      <c r="BU930" s="2" t="s">
        <v>431</v>
      </c>
      <c r="BV930" s="2" t="s">
        <v>85</v>
      </c>
      <c r="BW930" s="2"/>
      <c r="BX930" s="2"/>
      <c r="BY930" s="2">
        <v>1200</v>
      </c>
      <c r="BZ930" s="2" t="s">
        <v>27</v>
      </c>
      <c r="CA930" s="2"/>
      <c r="CB930" s="2"/>
      <c r="CC930" s="2" t="s">
        <v>873</v>
      </c>
      <c r="CD930" s="2">
        <v>4126</v>
      </c>
      <c r="CE930" s="2" t="s">
        <v>108</v>
      </c>
      <c r="CF930" s="5">
        <v>42657</v>
      </c>
      <c r="CG930" s="2"/>
      <c r="CH930" s="2"/>
      <c r="CI930" s="2">
        <v>1</v>
      </c>
      <c r="CJ930" s="2">
        <v>1</v>
      </c>
      <c r="CK930" s="2">
        <v>21</v>
      </c>
      <c r="CL930" s="2" t="s">
        <v>88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"FES1162506185"</f>
        <v>FES1162506185</v>
      </c>
      <c r="F931" s="3">
        <v>42655</v>
      </c>
      <c r="G931" s="2">
        <v>201704</v>
      </c>
      <c r="H931" s="2" t="s">
        <v>74</v>
      </c>
      <c r="I931" s="2" t="s">
        <v>75</v>
      </c>
      <c r="J931" s="2" t="s">
        <v>76</v>
      </c>
      <c r="K931" s="2" t="s">
        <v>77</v>
      </c>
      <c r="L931" s="2" t="s">
        <v>98</v>
      </c>
      <c r="M931" s="2" t="s">
        <v>99</v>
      </c>
      <c r="N931" s="2" t="s">
        <v>1344</v>
      </c>
      <c r="O931" s="2" t="s">
        <v>191</v>
      </c>
      <c r="P931" s="2" t="str">
        <f>"2170529708                    "</f>
        <v xml:space="preserve">2170529708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351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34.42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1</v>
      </c>
      <c r="BJ931" s="2">
        <v>0.2</v>
      </c>
      <c r="BK931" s="2">
        <v>1</v>
      </c>
      <c r="BL931" s="2">
        <v>422.86</v>
      </c>
      <c r="BM931" s="2">
        <v>59.2</v>
      </c>
      <c r="BN931" s="2">
        <v>482.06</v>
      </c>
      <c r="BO931" s="2">
        <v>482.06</v>
      </c>
      <c r="BP931" s="2" t="s">
        <v>1345</v>
      </c>
      <c r="BQ931" s="2" t="s">
        <v>1346</v>
      </c>
      <c r="BR931" s="2" t="s">
        <v>83</v>
      </c>
      <c r="BS931" s="3">
        <v>42655</v>
      </c>
      <c r="BT931" s="4">
        <v>0.41666666666666669</v>
      </c>
      <c r="BU931" s="2" t="s">
        <v>1347</v>
      </c>
      <c r="BV931" s="2" t="s">
        <v>85</v>
      </c>
      <c r="BW931" s="2"/>
      <c r="BX931" s="2"/>
      <c r="BY931" s="2">
        <v>1200</v>
      </c>
      <c r="BZ931" s="2" t="s">
        <v>395</v>
      </c>
      <c r="CA931" s="2"/>
      <c r="CB931" s="2"/>
      <c r="CC931" s="2" t="s">
        <v>99</v>
      </c>
      <c r="CD931" s="2">
        <v>6001</v>
      </c>
      <c r="CE931" s="2" t="s">
        <v>108</v>
      </c>
      <c r="CF931" s="5">
        <v>42657</v>
      </c>
      <c r="CG931" s="2"/>
      <c r="CH931" s="2"/>
      <c r="CI931" s="2">
        <v>0</v>
      </c>
      <c r="CJ931" s="2">
        <v>0</v>
      </c>
      <c r="CK931" s="2">
        <v>21</v>
      </c>
      <c r="CL931" s="2" t="s">
        <v>88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"FES1162506245"</f>
        <v>FES1162506245</v>
      </c>
      <c r="F932" s="3">
        <v>42655</v>
      </c>
      <c r="G932" s="2">
        <v>201704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98</v>
      </c>
      <c r="M932" s="2" t="s">
        <v>99</v>
      </c>
      <c r="N932" s="2" t="s">
        <v>369</v>
      </c>
      <c r="O932" s="2" t="s">
        <v>96</v>
      </c>
      <c r="P932" s="2" t="str">
        <f>"2170526868                    "</f>
        <v xml:space="preserve">2170526868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4.9800000000000004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1.7</v>
      </c>
      <c r="BJ932" s="2">
        <v>2.8</v>
      </c>
      <c r="BK932" s="2">
        <v>3</v>
      </c>
      <c r="BL932" s="2">
        <v>61.14</v>
      </c>
      <c r="BM932" s="2">
        <v>8.56</v>
      </c>
      <c r="BN932" s="2">
        <v>69.7</v>
      </c>
      <c r="BO932" s="2">
        <v>69.7</v>
      </c>
      <c r="BP932" s="2"/>
      <c r="BQ932" s="2" t="s">
        <v>370</v>
      </c>
      <c r="BR932" s="2" t="s">
        <v>83</v>
      </c>
      <c r="BS932" s="3">
        <v>42656</v>
      </c>
      <c r="BT932" s="4">
        <v>0.40277777777777773</v>
      </c>
      <c r="BU932" s="2" t="s">
        <v>1348</v>
      </c>
      <c r="BV932" s="2" t="s">
        <v>85</v>
      </c>
      <c r="BW932" s="2"/>
      <c r="BX932" s="2"/>
      <c r="BY932" s="2">
        <v>14010.48</v>
      </c>
      <c r="BZ932" s="2" t="s">
        <v>27</v>
      </c>
      <c r="CA932" s="2" t="s">
        <v>1349</v>
      </c>
      <c r="CB932" s="2"/>
      <c r="CC932" s="2" t="s">
        <v>99</v>
      </c>
      <c r="CD932" s="2">
        <v>6001</v>
      </c>
      <c r="CE932" s="2" t="s">
        <v>1350</v>
      </c>
      <c r="CF932" s="5">
        <v>42656</v>
      </c>
      <c r="CG932" s="2"/>
      <c r="CH932" s="2"/>
      <c r="CI932" s="2">
        <v>1</v>
      </c>
      <c r="CJ932" s="2">
        <v>1</v>
      </c>
      <c r="CK932" s="2">
        <v>21</v>
      </c>
      <c r="CL932" s="2" t="s">
        <v>88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"FES1162506090"</f>
        <v>FES1162506090</v>
      </c>
      <c r="F933" s="3">
        <v>42655</v>
      </c>
      <c r="G933" s="2">
        <v>201704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148</v>
      </c>
      <c r="M933" s="2" t="s">
        <v>149</v>
      </c>
      <c r="N933" s="2" t="s">
        <v>726</v>
      </c>
      <c r="O933" s="2" t="s">
        <v>96</v>
      </c>
      <c r="P933" s="2" t="str">
        <f>"2170527592                    "</f>
        <v xml:space="preserve">2170527592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3.32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</v>
      </c>
      <c r="BJ933" s="2">
        <v>0.2</v>
      </c>
      <c r="BK933" s="2">
        <v>1</v>
      </c>
      <c r="BL933" s="2">
        <v>40.76</v>
      </c>
      <c r="BM933" s="2">
        <v>5.71</v>
      </c>
      <c r="BN933" s="2">
        <v>46.47</v>
      </c>
      <c r="BO933" s="2">
        <v>46.47</v>
      </c>
      <c r="BP933" s="2"/>
      <c r="BQ933" s="2" t="s">
        <v>117</v>
      </c>
      <c r="BR933" s="2" t="s">
        <v>83</v>
      </c>
      <c r="BS933" s="3">
        <v>42656</v>
      </c>
      <c r="BT933" s="4">
        <v>0.4375</v>
      </c>
      <c r="BU933" s="2" t="s">
        <v>1351</v>
      </c>
      <c r="BV933" s="2" t="s">
        <v>85</v>
      </c>
      <c r="BW933" s="2"/>
      <c r="BX933" s="2"/>
      <c r="BY933" s="2">
        <v>1200</v>
      </c>
      <c r="BZ933" s="2" t="s">
        <v>27</v>
      </c>
      <c r="CA933" s="2"/>
      <c r="CB933" s="2"/>
      <c r="CC933" s="2" t="s">
        <v>149</v>
      </c>
      <c r="CD933" s="2">
        <v>4070</v>
      </c>
      <c r="CE933" s="2" t="s">
        <v>108</v>
      </c>
      <c r="CF933" s="5">
        <v>42657</v>
      </c>
      <c r="CG933" s="2"/>
      <c r="CH933" s="2"/>
      <c r="CI933" s="2">
        <v>1</v>
      </c>
      <c r="CJ933" s="2">
        <v>1</v>
      </c>
      <c r="CK933" s="2">
        <v>21</v>
      </c>
      <c r="CL933" s="2" t="s">
        <v>88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"FES1162506046"</f>
        <v>FES1162506046</v>
      </c>
      <c r="F934" s="3">
        <v>42655</v>
      </c>
      <c r="G934" s="2">
        <v>201704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148</v>
      </c>
      <c r="M934" s="2" t="s">
        <v>149</v>
      </c>
      <c r="N934" s="2" t="s">
        <v>293</v>
      </c>
      <c r="O934" s="2" t="s">
        <v>96</v>
      </c>
      <c r="P934" s="2" t="str">
        <f>"2170527419                    "</f>
        <v xml:space="preserve">2170527419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3.32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40.76</v>
      </c>
      <c r="BM934" s="2">
        <v>5.71</v>
      </c>
      <c r="BN934" s="2">
        <v>46.47</v>
      </c>
      <c r="BO934" s="2">
        <v>46.47</v>
      </c>
      <c r="BP934" s="2"/>
      <c r="BQ934" s="2" t="s">
        <v>1352</v>
      </c>
      <c r="BR934" s="2" t="s">
        <v>83</v>
      </c>
      <c r="BS934" s="3">
        <v>42656</v>
      </c>
      <c r="BT934" s="4">
        <v>0.4375</v>
      </c>
      <c r="BU934" s="2" t="s">
        <v>164</v>
      </c>
      <c r="BV934" s="2" t="s">
        <v>85</v>
      </c>
      <c r="BW934" s="2"/>
      <c r="BX934" s="2"/>
      <c r="BY934" s="2">
        <v>1200</v>
      </c>
      <c r="BZ934" s="2" t="s">
        <v>27</v>
      </c>
      <c r="CA934" s="2"/>
      <c r="CB934" s="2"/>
      <c r="CC934" s="2" t="s">
        <v>149</v>
      </c>
      <c r="CD934" s="2">
        <v>4051</v>
      </c>
      <c r="CE934" s="2" t="s">
        <v>108</v>
      </c>
      <c r="CF934" s="5">
        <v>42676</v>
      </c>
      <c r="CG934" s="2"/>
      <c r="CH934" s="2"/>
      <c r="CI934" s="2">
        <v>1</v>
      </c>
      <c r="CJ934" s="2">
        <v>1</v>
      </c>
      <c r="CK934" s="2">
        <v>21</v>
      </c>
      <c r="CL934" s="2" t="s">
        <v>88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"FES1162506227"</f>
        <v>FES1162506227</v>
      </c>
      <c r="F935" s="3">
        <v>42655</v>
      </c>
      <c r="G935" s="2">
        <v>201704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463</v>
      </c>
      <c r="M935" s="2" t="s">
        <v>464</v>
      </c>
      <c r="N935" s="2" t="s">
        <v>465</v>
      </c>
      <c r="O935" s="2" t="s">
        <v>96</v>
      </c>
      <c r="P935" s="2" t="str">
        <f>"2170529760                    "</f>
        <v xml:space="preserve">2170529760 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3.32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1</v>
      </c>
      <c r="BJ935" s="2">
        <v>0.2</v>
      </c>
      <c r="BK935" s="2">
        <v>1</v>
      </c>
      <c r="BL935" s="2">
        <v>40.76</v>
      </c>
      <c r="BM935" s="2">
        <v>5.71</v>
      </c>
      <c r="BN935" s="2">
        <v>46.47</v>
      </c>
      <c r="BO935" s="2">
        <v>46.47</v>
      </c>
      <c r="BP935" s="2"/>
      <c r="BQ935" s="2" t="s">
        <v>91</v>
      </c>
      <c r="BR935" s="2" t="s">
        <v>83</v>
      </c>
      <c r="BS935" s="3">
        <v>42656</v>
      </c>
      <c r="BT935" s="4">
        <v>0.4916666666666667</v>
      </c>
      <c r="BU935" s="2" t="s">
        <v>1353</v>
      </c>
      <c r="BV935" s="2" t="s">
        <v>85</v>
      </c>
      <c r="BW935" s="2"/>
      <c r="BX935" s="2"/>
      <c r="BY935" s="2">
        <v>1200</v>
      </c>
      <c r="BZ935" s="2" t="s">
        <v>27</v>
      </c>
      <c r="CA935" s="2" t="s">
        <v>1354</v>
      </c>
      <c r="CB935" s="2"/>
      <c r="CC935" s="2" t="s">
        <v>464</v>
      </c>
      <c r="CD935" s="2">
        <v>5256</v>
      </c>
      <c r="CE935" s="2" t="s">
        <v>108</v>
      </c>
      <c r="CF935" s="5">
        <v>42656</v>
      </c>
      <c r="CG935" s="2"/>
      <c r="CH935" s="2"/>
      <c r="CI935" s="2">
        <v>1</v>
      </c>
      <c r="CJ935" s="2">
        <v>1</v>
      </c>
      <c r="CK935" s="2">
        <v>21</v>
      </c>
      <c r="CL935" s="2" t="s">
        <v>88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"080001458043"</f>
        <v>080001458043</v>
      </c>
      <c r="F936" s="3">
        <v>42655</v>
      </c>
      <c r="G936" s="2">
        <v>201704</v>
      </c>
      <c r="H936" s="2" t="s">
        <v>148</v>
      </c>
      <c r="I936" s="2" t="s">
        <v>149</v>
      </c>
      <c r="J936" s="2" t="s">
        <v>1355</v>
      </c>
      <c r="K936" s="2" t="s">
        <v>77</v>
      </c>
      <c r="L936" s="2" t="s">
        <v>74</v>
      </c>
      <c r="M936" s="2" t="s">
        <v>75</v>
      </c>
      <c r="N936" s="2" t="s">
        <v>189</v>
      </c>
      <c r="O936" s="2" t="s">
        <v>96</v>
      </c>
      <c r="P936" s="2" t="str">
        <f>"1412247151                    "</f>
        <v xml:space="preserve">1412247151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3.32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2</v>
      </c>
      <c r="BJ936" s="2">
        <v>1.1000000000000001</v>
      </c>
      <c r="BK936" s="2">
        <v>2</v>
      </c>
      <c r="BL936" s="2">
        <v>40.76</v>
      </c>
      <c r="BM936" s="2">
        <v>5.71</v>
      </c>
      <c r="BN936" s="2">
        <v>46.47</v>
      </c>
      <c r="BO936" s="2">
        <v>46.47</v>
      </c>
      <c r="BP936" s="2" t="s">
        <v>1053</v>
      </c>
      <c r="BQ936" s="2" t="s">
        <v>381</v>
      </c>
      <c r="BR936" s="2" t="s">
        <v>1356</v>
      </c>
      <c r="BS936" s="3">
        <v>42656</v>
      </c>
      <c r="BT936" s="4">
        <v>0.34166666666666662</v>
      </c>
      <c r="BU936" s="2" t="s">
        <v>1209</v>
      </c>
      <c r="BV936" s="2" t="s">
        <v>85</v>
      </c>
      <c r="BW936" s="2"/>
      <c r="BX936" s="2"/>
      <c r="BY936" s="2">
        <v>5440</v>
      </c>
      <c r="BZ936" s="2"/>
      <c r="CA936" s="2"/>
      <c r="CB936" s="2"/>
      <c r="CC936" s="2" t="s">
        <v>75</v>
      </c>
      <c r="CD936" s="2">
        <v>1601</v>
      </c>
      <c r="CE936" s="2" t="s">
        <v>86</v>
      </c>
      <c r="CF936" s="5">
        <v>42656</v>
      </c>
      <c r="CG936" s="2"/>
      <c r="CH936" s="2"/>
      <c r="CI936" s="2">
        <v>1</v>
      </c>
      <c r="CJ936" s="2">
        <v>1</v>
      </c>
      <c r="CK936" s="2">
        <v>21</v>
      </c>
      <c r="CL936" s="2" t="s">
        <v>88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"FES1162506225"</f>
        <v>FES1162506225</v>
      </c>
      <c r="F937" s="3">
        <v>42655</v>
      </c>
      <c r="G937" s="2">
        <v>201704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143</v>
      </c>
      <c r="M937" s="2" t="s">
        <v>144</v>
      </c>
      <c r="N937" s="2" t="s">
        <v>475</v>
      </c>
      <c r="O937" s="2" t="s">
        <v>96</v>
      </c>
      <c r="P937" s="2" t="str">
        <f>"2170529758                    "</f>
        <v xml:space="preserve">2170529758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3.32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1</v>
      </c>
      <c r="BJ937" s="2">
        <v>0.2</v>
      </c>
      <c r="BK937" s="2">
        <v>1</v>
      </c>
      <c r="BL937" s="2">
        <v>40.76</v>
      </c>
      <c r="BM937" s="2">
        <v>5.71</v>
      </c>
      <c r="BN937" s="2">
        <v>46.47</v>
      </c>
      <c r="BO937" s="2">
        <v>46.47</v>
      </c>
      <c r="BP937" s="2"/>
      <c r="BQ937" s="2" t="s">
        <v>476</v>
      </c>
      <c r="BR937" s="2" t="s">
        <v>83</v>
      </c>
      <c r="BS937" s="3">
        <v>42656</v>
      </c>
      <c r="BT937" s="4">
        <v>0.41666666666666669</v>
      </c>
      <c r="BU937" s="2" t="s">
        <v>1357</v>
      </c>
      <c r="BV937" s="2" t="s">
        <v>85</v>
      </c>
      <c r="BW937" s="2"/>
      <c r="BX937" s="2"/>
      <c r="BY937" s="2">
        <v>1200</v>
      </c>
      <c r="BZ937" s="2" t="s">
        <v>27</v>
      </c>
      <c r="CA937" s="2" t="s">
        <v>129</v>
      </c>
      <c r="CB937" s="2"/>
      <c r="CC937" s="2" t="s">
        <v>144</v>
      </c>
      <c r="CD937" s="2">
        <v>5201</v>
      </c>
      <c r="CE937" s="2" t="s">
        <v>108</v>
      </c>
      <c r="CF937" s="5">
        <v>42660</v>
      </c>
      <c r="CG937" s="2"/>
      <c r="CH937" s="2"/>
      <c r="CI937" s="2">
        <v>1</v>
      </c>
      <c r="CJ937" s="2">
        <v>1</v>
      </c>
      <c r="CK937" s="2">
        <v>21</v>
      </c>
      <c r="CL937" s="2" t="s">
        <v>88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"FES1162506219"</f>
        <v>FES1162506219</v>
      </c>
      <c r="F938" s="3">
        <v>42655</v>
      </c>
      <c r="G938" s="2">
        <v>201704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98</v>
      </c>
      <c r="M938" s="2" t="s">
        <v>99</v>
      </c>
      <c r="N938" s="2" t="s">
        <v>1318</v>
      </c>
      <c r="O938" s="2" t="s">
        <v>96</v>
      </c>
      <c r="P938" s="2" t="str">
        <f>"2170529741                    "</f>
        <v xml:space="preserve">2170529741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3.32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1</v>
      </c>
      <c r="BJ938" s="2">
        <v>0.2</v>
      </c>
      <c r="BK938" s="2">
        <v>1</v>
      </c>
      <c r="BL938" s="2">
        <v>40.76</v>
      </c>
      <c r="BM938" s="2">
        <v>5.71</v>
      </c>
      <c r="BN938" s="2">
        <v>46.47</v>
      </c>
      <c r="BO938" s="2">
        <v>46.47</v>
      </c>
      <c r="BP938" s="2"/>
      <c r="BQ938" s="2" t="s">
        <v>723</v>
      </c>
      <c r="BR938" s="2" t="s">
        <v>83</v>
      </c>
      <c r="BS938" s="3">
        <v>42656</v>
      </c>
      <c r="BT938" s="4">
        <v>0.2986111111111111</v>
      </c>
      <c r="BU938" s="2" t="s">
        <v>1358</v>
      </c>
      <c r="BV938" s="2" t="s">
        <v>85</v>
      </c>
      <c r="BW938" s="2"/>
      <c r="BX938" s="2"/>
      <c r="BY938" s="2">
        <v>1200</v>
      </c>
      <c r="BZ938" s="2" t="s">
        <v>27</v>
      </c>
      <c r="CA938" s="2" t="s">
        <v>1349</v>
      </c>
      <c r="CB938" s="2"/>
      <c r="CC938" s="2" t="s">
        <v>99</v>
      </c>
      <c r="CD938" s="2">
        <v>6012</v>
      </c>
      <c r="CE938" s="2" t="s">
        <v>108</v>
      </c>
      <c r="CF938" s="5">
        <v>42656</v>
      </c>
      <c r="CG938" s="2"/>
      <c r="CH938" s="2"/>
      <c r="CI938" s="2">
        <v>1</v>
      </c>
      <c r="CJ938" s="2">
        <v>1</v>
      </c>
      <c r="CK938" s="2">
        <v>21</v>
      </c>
      <c r="CL938" s="2" t="s">
        <v>88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"FES1162506042"</f>
        <v>FES1162506042</v>
      </c>
      <c r="F939" s="3">
        <v>42655</v>
      </c>
      <c r="G939" s="2">
        <v>201704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160</v>
      </c>
      <c r="M939" s="2" t="s">
        <v>161</v>
      </c>
      <c r="N939" s="2" t="s">
        <v>1359</v>
      </c>
      <c r="O939" s="2" t="s">
        <v>96</v>
      </c>
      <c r="P939" s="2" t="str">
        <f>"2170527282                    "</f>
        <v xml:space="preserve">2170527282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3.32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1</v>
      </c>
      <c r="BJ939" s="2">
        <v>0.2</v>
      </c>
      <c r="BK939" s="2">
        <v>1</v>
      </c>
      <c r="BL939" s="2">
        <v>40.76</v>
      </c>
      <c r="BM939" s="2">
        <v>5.71</v>
      </c>
      <c r="BN939" s="2">
        <v>46.47</v>
      </c>
      <c r="BO939" s="2">
        <v>46.47</v>
      </c>
      <c r="BP939" s="2"/>
      <c r="BQ939" s="2" t="s">
        <v>1360</v>
      </c>
      <c r="BR939" s="2" t="s">
        <v>83</v>
      </c>
      <c r="BS939" s="3">
        <v>42656</v>
      </c>
      <c r="BT939" s="4">
        <v>0.38680555555555557</v>
      </c>
      <c r="BU939" s="2" t="s">
        <v>1361</v>
      </c>
      <c r="BV939" s="2" t="s">
        <v>85</v>
      </c>
      <c r="BW939" s="2"/>
      <c r="BX939" s="2"/>
      <c r="BY939" s="2">
        <v>1200</v>
      </c>
      <c r="BZ939" s="2" t="s">
        <v>27</v>
      </c>
      <c r="CA939" s="2"/>
      <c r="CB939" s="2"/>
      <c r="CC939" s="2" t="s">
        <v>161</v>
      </c>
      <c r="CD939" s="2">
        <v>7580</v>
      </c>
      <c r="CE939" s="2" t="s">
        <v>108</v>
      </c>
      <c r="CF939" s="5">
        <v>42657</v>
      </c>
      <c r="CG939" s="2"/>
      <c r="CH939" s="2"/>
      <c r="CI939" s="2">
        <v>1</v>
      </c>
      <c r="CJ939" s="2">
        <v>1</v>
      </c>
      <c r="CK939" s="2">
        <v>21</v>
      </c>
      <c r="CL939" s="2" t="s">
        <v>88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"FES1162506038"</f>
        <v>FES1162506038</v>
      </c>
      <c r="F940" s="3">
        <v>42655</v>
      </c>
      <c r="G940" s="2">
        <v>201704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377</v>
      </c>
      <c r="M940" s="2" t="s">
        <v>378</v>
      </c>
      <c r="N940" s="2" t="s">
        <v>379</v>
      </c>
      <c r="O940" s="2" t="s">
        <v>96</v>
      </c>
      <c r="P940" s="2" t="str">
        <f>"2170527176                    "</f>
        <v xml:space="preserve">2170527176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3.32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40.76</v>
      </c>
      <c r="BM940" s="2">
        <v>5.71</v>
      </c>
      <c r="BN940" s="2">
        <v>46.47</v>
      </c>
      <c r="BO940" s="2">
        <v>46.47</v>
      </c>
      <c r="BP940" s="2"/>
      <c r="BQ940" s="2" t="s">
        <v>382</v>
      </c>
      <c r="BR940" s="2" t="s">
        <v>83</v>
      </c>
      <c r="BS940" s="3">
        <v>42656</v>
      </c>
      <c r="BT940" s="4">
        <v>0.36458333333333331</v>
      </c>
      <c r="BU940" s="2" t="s">
        <v>1362</v>
      </c>
      <c r="BV940" s="2" t="s">
        <v>85</v>
      </c>
      <c r="BW940" s="2"/>
      <c r="BX940" s="2"/>
      <c r="BY940" s="2">
        <v>1200</v>
      </c>
      <c r="BZ940" s="2" t="s">
        <v>27</v>
      </c>
      <c r="CA940" s="2" t="s">
        <v>535</v>
      </c>
      <c r="CB940" s="2"/>
      <c r="CC940" s="2" t="s">
        <v>378</v>
      </c>
      <c r="CD940" s="2">
        <v>6536</v>
      </c>
      <c r="CE940" s="2" t="s">
        <v>108</v>
      </c>
      <c r="CF940" s="5">
        <v>42656</v>
      </c>
      <c r="CG940" s="2"/>
      <c r="CH940" s="2"/>
      <c r="CI940" s="2">
        <v>1</v>
      </c>
      <c r="CJ940" s="2">
        <v>1</v>
      </c>
      <c r="CK940" s="2">
        <v>21</v>
      </c>
      <c r="CL940" s="2" t="s">
        <v>88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"FES1162506206"</f>
        <v>FES1162506206</v>
      </c>
      <c r="F941" s="3">
        <v>42655</v>
      </c>
      <c r="G941" s="2">
        <v>201704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160</v>
      </c>
      <c r="M941" s="2" t="s">
        <v>161</v>
      </c>
      <c r="N941" s="2" t="s">
        <v>279</v>
      </c>
      <c r="O941" s="2" t="s">
        <v>96</v>
      </c>
      <c r="P941" s="2" t="str">
        <f>"2170529473                    "</f>
        <v xml:space="preserve">2170529473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3.32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</v>
      </c>
      <c r="BJ941" s="2">
        <v>0.2</v>
      </c>
      <c r="BK941" s="2">
        <v>1</v>
      </c>
      <c r="BL941" s="2">
        <v>40.76</v>
      </c>
      <c r="BM941" s="2">
        <v>5.71</v>
      </c>
      <c r="BN941" s="2">
        <v>46.47</v>
      </c>
      <c r="BO941" s="2">
        <v>46.47</v>
      </c>
      <c r="BP941" s="2"/>
      <c r="BQ941" s="2" t="s">
        <v>280</v>
      </c>
      <c r="BR941" s="2" t="s">
        <v>83</v>
      </c>
      <c r="BS941" s="3">
        <v>42656</v>
      </c>
      <c r="BT941" s="4">
        <v>0.35555555555555557</v>
      </c>
      <c r="BU941" s="2" t="s">
        <v>1363</v>
      </c>
      <c r="BV941" s="2" t="s">
        <v>85</v>
      </c>
      <c r="BW941" s="2"/>
      <c r="BX941" s="2"/>
      <c r="BY941" s="2">
        <v>1200</v>
      </c>
      <c r="BZ941" s="2" t="s">
        <v>27</v>
      </c>
      <c r="CA941" s="2"/>
      <c r="CB941" s="2"/>
      <c r="CC941" s="2" t="s">
        <v>161</v>
      </c>
      <c r="CD941" s="2">
        <v>7441</v>
      </c>
      <c r="CE941" s="2" t="s">
        <v>108</v>
      </c>
      <c r="CF941" s="5">
        <v>42657</v>
      </c>
      <c r="CG941" s="2"/>
      <c r="CH941" s="2"/>
      <c r="CI941" s="2">
        <v>1</v>
      </c>
      <c r="CJ941" s="2">
        <v>1</v>
      </c>
      <c r="CK941" s="2">
        <v>21</v>
      </c>
      <c r="CL941" s="2" t="s">
        <v>88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"FES1162506005"</f>
        <v>FES1162506005</v>
      </c>
      <c r="F942" s="3">
        <v>42655</v>
      </c>
      <c r="G942" s="2">
        <v>201704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156</v>
      </c>
      <c r="M942" s="2" t="s">
        <v>157</v>
      </c>
      <c r="N942" s="2" t="s">
        <v>158</v>
      </c>
      <c r="O942" s="2" t="s">
        <v>96</v>
      </c>
      <c r="P942" s="2" t="str">
        <f>"2170526015                    "</f>
        <v xml:space="preserve">2170526015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3.32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1</v>
      </c>
      <c r="BJ942" s="2">
        <v>0.2</v>
      </c>
      <c r="BK942" s="2">
        <v>1</v>
      </c>
      <c r="BL942" s="2">
        <v>40.76</v>
      </c>
      <c r="BM942" s="2">
        <v>5.71</v>
      </c>
      <c r="BN942" s="2">
        <v>46.47</v>
      </c>
      <c r="BO942" s="2">
        <v>46.47</v>
      </c>
      <c r="BP942" s="2"/>
      <c r="BQ942" s="2" t="s">
        <v>91</v>
      </c>
      <c r="BR942" s="2" t="s">
        <v>83</v>
      </c>
      <c r="BS942" s="3">
        <v>42656</v>
      </c>
      <c r="BT942" s="4">
        <v>0.41666666666666669</v>
      </c>
      <c r="BU942" s="2" t="s">
        <v>1364</v>
      </c>
      <c r="BV942" s="2" t="s">
        <v>85</v>
      </c>
      <c r="BW942" s="2"/>
      <c r="BX942" s="2"/>
      <c r="BY942" s="2">
        <v>1200</v>
      </c>
      <c r="BZ942" s="2" t="s">
        <v>27</v>
      </c>
      <c r="CA942" s="2"/>
      <c r="CB942" s="2"/>
      <c r="CC942" s="2" t="s">
        <v>157</v>
      </c>
      <c r="CD942" s="2">
        <v>7130</v>
      </c>
      <c r="CE942" s="2" t="s">
        <v>108</v>
      </c>
      <c r="CF942" s="5">
        <v>42657</v>
      </c>
      <c r="CG942" s="2"/>
      <c r="CH942" s="2"/>
      <c r="CI942" s="2">
        <v>1</v>
      </c>
      <c r="CJ942" s="2">
        <v>1</v>
      </c>
      <c r="CK942" s="2">
        <v>21</v>
      </c>
      <c r="CL942" s="2" t="s">
        <v>88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"FES1162506087"</f>
        <v>FES1162506087</v>
      </c>
      <c r="F943" s="3">
        <v>42655</v>
      </c>
      <c r="G943" s="2">
        <v>201704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160</v>
      </c>
      <c r="M943" s="2" t="s">
        <v>161</v>
      </c>
      <c r="N943" s="2" t="s">
        <v>176</v>
      </c>
      <c r="O943" s="2" t="s">
        <v>96</v>
      </c>
      <c r="P943" s="2" t="str">
        <f>"2170527557                    "</f>
        <v xml:space="preserve">2170527557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3.32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1</v>
      </c>
      <c r="BJ943" s="2">
        <v>0.2</v>
      </c>
      <c r="BK943" s="2">
        <v>1</v>
      </c>
      <c r="BL943" s="2">
        <v>40.76</v>
      </c>
      <c r="BM943" s="2">
        <v>5.71</v>
      </c>
      <c r="BN943" s="2">
        <v>46.47</v>
      </c>
      <c r="BO943" s="2">
        <v>46.47</v>
      </c>
      <c r="BP943" s="2"/>
      <c r="BQ943" s="2" t="s">
        <v>177</v>
      </c>
      <c r="BR943" s="2" t="s">
        <v>83</v>
      </c>
      <c r="BS943" s="3">
        <v>42656</v>
      </c>
      <c r="BT943" s="4">
        <v>0.40833333333333338</v>
      </c>
      <c r="BU943" s="2" t="s">
        <v>178</v>
      </c>
      <c r="BV943" s="2" t="s">
        <v>85</v>
      </c>
      <c r="BW943" s="2"/>
      <c r="BX943" s="2"/>
      <c r="BY943" s="2">
        <v>1200</v>
      </c>
      <c r="BZ943" s="2" t="s">
        <v>27</v>
      </c>
      <c r="CA943" s="2"/>
      <c r="CB943" s="2"/>
      <c r="CC943" s="2" t="s">
        <v>161</v>
      </c>
      <c r="CD943" s="2">
        <v>7530</v>
      </c>
      <c r="CE943" s="2" t="s">
        <v>108</v>
      </c>
      <c r="CF943" s="5">
        <v>42657</v>
      </c>
      <c r="CG943" s="2"/>
      <c r="CH943" s="2"/>
      <c r="CI943" s="2">
        <v>1</v>
      </c>
      <c r="CJ943" s="2">
        <v>1</v>
      </c>
      <c r="CK943" s="2">
        <v>21</v>
      </c>
      <c r="CL943" s="2" t="s">
        <v>88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"FES1162506153"</f>
        <v>FES1162506153</v>
      </c>
      <c r="F944" s="3">
        <v>42655</v>
      </c>
      <c r="G944" s="2">
        <v>201704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269</v>
      </c>
      <c r="M944" s="2" t="s">
        <v>270</v>
      </c>
      <c r="N944" s="2" t="s">
        <v>299</v>
      </c>
      <c r="O944" s="2" t="s">
        <v>96</v>
      </c>
      <c r="P944" s="2" t="str">
        <f>"21705296736                   "</f>
        <v xml:space="preserve">21705296736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3.32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</v>
      </c>
      <c r="BJ944" s="2">
        <v>0.2</v>
      </c>
      <c r="BK944" s="2">
        <v>1</v>
      </c>
      <c r="BL944" s="2">
        <v>40.76</v>
      </c>
      <c r="BM944" s="2">
        <v>5.71</v>
      </c>
      <c r="BN944" s="2">
        <v>46.47</v>
      </c>
      <c r="BO944" s="2">
        <v>46.47</v>
      </c>
      <c r="BP944" s="2"/>
      <c r="BQ944" s="2" t="s">
        <v>300</v>
      </c>
      <c r="BR944" s="2" t="s">
        <v>83</v>
      </c>
      <c r="BS944" s="3">
        <v>42656</v>
      </c>
      <c r="BT944" s="4">
        <v>0.4375</v>
      </c>
      <c r="BU944" s="2" t="s">
        <v>724</v>
      </c>
      <c r="BV944" s="2" t="s">
        <v>85</v>
      </c>
      <c r="BW944" s="2"/>
      <c r="BX944" s="2"/>
      <c r="BY944" s="2">
        <v>1200</v>
      </c>
      <c r="BZ944" s="2" t="s">
        <v>27</v>
      </c>
      <c r="CA944" s="2" t="s">
        <v>129</v>
      </c>
      <c r="CB944" s="2"/>
      <c r="CC944" s="2" t="s">
        <v>270</v>
      </c>
      <c r="CD944" s="2">
        <v>3610</v>
      </c>
      <c r="CE944" s="2" t="s">
        <v>108</v>
      </c>
      <c r="CF944" s="5">
        <v>42657</v>
      </c>
      <c r="CG944" s="2"/>
      <c r="CH944" s="2"/>
      <c r="CI944" s="2">
        <v>1</v>
      </c>
      <c r="CJ944" s="2">
        <v>1</v>
      </c>
      <c r="CK944" s="2">
        <v>21</v>
      </c>
      <c r="CL944" s="2" t="s">
        <v>88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"FES1162506145"</f>
        <v>FES1162506145</v>
      </c>
      <c r="F945" s="3">
        <v>42655</v>
      </c>
      <c r="G945" s="2">
        <v>201704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269</v>
      </c>
      <c r="M945" s="2" t="s">
        <v>270</v>
      </c>
      <c r="N945" s="2" t="s">
        <v>299</v>
      </c>
      <c r="O945" s="2" t="s">
        <v>96</v>
      </c>
      <c r="P945" s="2" t="str">
        <f>"2170529664                    "</f>
        <v xml:space="preserve">2170529664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3.32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</v>
      </c>
      <c r="BJ945" s="2">
        <v>0.2</v>
      </c>
      <c r="BK945" s="2">
        <v>1</v>
      </c>
      <c r="BL945" s="2">
        <v>40.76</v>
      </c>
      <c r="BM945" s="2">
        <v>5.71</v>
      </c>
      <c r="BN945" s="2">
        <v>46.47</v>
      </c>
      <c r="BO945" s="2">
        <v>46.47</v>
      </c>
      <c r="BP945" s="2"/>
      <c r="BQ945" s="2" t="s">
        <v>300</v>
      </c>
      <c r="BR945" s="2" t="s">
        <v>83</v>
      </c>
      <c r="BS945" s="3">
        <v>42656</v>
      </c>
      <c r="BT945" s="4">
        <v>0.4375</v>
      </c>
      <c r="BU945" s="2" t="s">
        <v>724</v>
      </c>
      <c r="BV945" s="2" t="s">
        <v>85</v>
      </c>
      <c r="BW945" s="2"/>
      <c r="BX945" s="2"/>
      <c r="BY945" s="2">
        <v>1200</v>
      </c>
      <c r="BZ945" s="2" t="s">
        <v>27</v>
      </c>
      <c r="CA945" s="2" t="s">
        <v>129</v>
      </c>
      <c r="CB945" s="2"/>
      <c r="CC945" s="2" t="s">
        <v>270</v>
      </c>
      <c r="CD945" s="2">
        <v>3610</v>
      </c>
      <c r="CE945" s="2" t="s">
        <v>108</v>
      </c>
      <c r="CF945" s="5">
        <v>42657</v>
      </c>
      <c r="CG945" s="2"/>
      <c r="CH945" s="2"/>
      <c r="CI945" s="2">
        <v>1</v>
      </c>
      <c r="CJ945" s="2">
        <v>1</v>
      </c>
      <c r="CK945" s="2">
        <v>21</v>
      </c>
      <c r="CL945" s="2" t="s">
        <v>88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"FES1162506094"</f>
        <v>FES1162506094</v>
      </c>
      <c r="F946" s="3">
        <v>42655</v>
      </c>
      <c r="G946" s="2">
        <v>201704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156</v>
      </c>
      <c r="M946" s="2" t="s">
        <v>157</v>
      </c>
      <c r="N946" s="2" t="s">
        <v>507</v>
      </c>
      <c r="O946" s="2" t="s">
        <v>96</v>
      </c>
      <c r="P946" s="2" t="str">
        <f>"2170527646                    "</f>
        <v xml:space="preserve">2170527646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3.32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1</v>
      </c>
      <c r="BJ946" s="2">
        <v>0.2</v>
      </c>
      <c r="BK946" s="2">
        <v>1</v>
      </c>
      <c r="BL946" s="2">
        <v>40.76</v>
      </c>
      <c r="BM946" s="2">
        <v>5.71</v>
      </c>
      <c r="BN946" s="2">
        <v>46.47</v>
      </c>
      <c r="BO946" s="2">
        <v>46.47</v>
      </c>
      <c r="BP946" s="2"/>
      <c r="BQ946" s="2" t="s">
        <v>508</v>
      </c>
      <c r="BR946" s="2" t="s">
        <v>83</v>
      </c>
      <c r="BS946" s="3">
        <v>42656</v>
      </c>
      <c r="BT946" s="4">
        <v>0.41666666666666669</v>
      </c>
      <c r="BU946" s="2" t="s">
        <v>926</v>
      </c>
      <c r="BV946" s="2" t="s">
        <v>85</v>
      </c>
      <c r="BW946" s="2"/>
      <c r="BX946" s="2"/>
      <c r="BY946" s="2">
        <v>1200</v>
      </c>
      <c r="BZ946" s="2" t="s">
        <v>27</v>
      </c>
      <c r="CA946" s="2"/>
      <c r="CB946" s="2"/>
      <c r="CC946" s="2" t="s">
        <v>157</v>
      </c>
      <c r="CD946" s="2">
        <v>7130</v>
      </c>
      <c r="CE946" s="2" t="s">
        <v>108</v>
      </c>
      <c r="CF946" s="5">
        <v>42657</v>
      </c>
      <c r="CG946" s="2"/>
      <c r="CH946" s="2"/>
      <c r="CI946" s="2">
        <v>1</v>
      </c>
      <c r="CJ946" s="2">
        <v>1</v>
      </c>
      <c r="CK946" s="2">
        <v>21</v>
      </c>
      <c r="CL946" s="2" t="s">
        <v>88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"FES1162506032"</f>
        <v>FES1162506032</v>
      </c>
      <c r="F947" s="3">
        <v>42655</v>
      </c>
      <c r="G947" s="2">
        <v>201704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148</v>
      </c>
      <c r="M947" s="2" t="s">
        <v>149</v>
      </c>
      <c r="N947" s="2" t="s">
        <v>809</v>
      </c>
      <c r="O947" s="2" t="s">
        <v>96</v>
      </c>
      <c r="P947" s="2" t="str">
        <f>"2170526922                    "</f>
        <v xml:space="preserve">2170526922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3.32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</v>
      </c>
      <c r="BJ947" s="2">
        <v>0.2</v>
      </c>
      <c r="BK947" s="2">
        <v>1</v>
      </c>
      <c r="BL947" s="2">
        <v>40.76</v>
      </c>
      <c r="BM947" s="2">
        <v>5.71</v>
      </c>
      <c r="BN947" s="2">
        <v>46.47</v>
      </c>
      <c r="BO947" s="2">
        <v>46.47</v>
      </c>
      <c r="BP947" s="2"/>
      <c r="BQ947" s="2" t="s">
        <v>91</v>
      </c>
      <c r="BR947" s="2" t="s">
        <v>83</v>
      </c>
      <c r="BS947" s="3">
        <v>42656</v>
      </c>
      <c r="BT947" s="4">
        <v>0.4375</v>
      </c>
      <c r="BU947" s="2" t="s">
        <v>1284</v>
      </c>
      <c r="BV947" s="2" t="s">
        <v>85</v>
      </c>
      <c r="BW947" s="2"/>
      <c r="BX947" s="2"/>
      <c r="BY947" s="2">
        <v>1200</v>
      </c>
      <c r="BZ947" s="2" t="s">
        <v>27</v>
      </c>
      <c r="CA947" s="2"/>
      <c r="CB947" s="2"/>
      <c r="CC947" s="2" t="s">
        <v>149</v>
      </c>
      <c r="CD947" s="2">
        <v>4094</v>
      </c>
      <c r="CE947" s="2" t="s">
        <v>108</v>
      </c>
      <c r="CF947" s="5">
        <v>42657</v>
      </c>
      <c r="CG947" s="2"/>
      <c r="CH947" s="2"/>
      <c r="CI947" s="2">
        <v>1</v>
      </c>
      <c r="CJ947" s="2">
        <v>1</v>
      </c>
      <c r="CK947" s="2">
        <v>21</v>
      </c>
      <c r="CL947" s="2" t="s">
        <v>88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"FES1162506093"</f>
        <v>FES1162506093</v>
      </c>
      <c r="F948" s="3">
        <v>42655</v>
      </c>
      <c r="G948" s="2">
        <v>201704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153</v>
      </c>
      <c r="M948" s="2" t="s">
        <v>153</v>
      </c>
      <c r="N948" s="2" t="s">
        <v>343</v>
      </c>
      <c r="O948" s="2" t="s">
        <v>96</v>
      </c>
      <c r="P948" s="2" t="str">
        <f>"2170527607                    "</f>
        <v xml:space="preserve">2170527607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3.32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1</v>
      </c>
      <c r="BJ948" s="2">
        <v>0.2</v>
      </c>
      <c r="BK948" s="2">
        <v>1</v>
      </c>
      <c r="BL948" s="2">
        <v>40.76</v>
      </c>
      <c r="BM948" s="2">
        <v>5.71</v>
      </c>
      <c r="BN948" s="2">
        <v>46.47</v>
      </c>
      <c r="BO948" s="2">
        <v>46.47</v>
      </c>
      <c r="BP948" s="2"/>
      <c r="BQ948" s="2" t="s">
        <v>344</v>
      </c>
      <c r="BR948" s="2" t="s">
        <v>83</v>
      </c>
      <c r="BS948" s="3">
        <v>42656</v>
      </c>
      <c r="BT948" s="4">
        <v>0.49305555555555558</v>
      </c>
      <c r="BU948" s="2" t="s">
        <v>720</v>
      </c>
      <c r="BV948" s="2" t="s">
        <v>85</v>
      </c>
      <c r="BW948" s="2"/>
      <c r="BX948" s="2"/>
      <c r="BY948" s="2">
        <v>1200</v>
      </c>
      <c r="BZ948" s="2" t="s">
        <v>27</v>
      </c>
      <c r="CA948" s="2"/>
      <c r="CB948" s="2"/>
      <c r="CC948" s="2" t="s">
        <v>153</v>
      </c>
      <c r="CD948" s="2">
        <v>7646</v>
      </c>
      <c r="CE948" s="2" t="s">
        <v>108</v>
      </c>
      <c r="CF948" s="5">
        <v>42657</v>
      </c>
      <c r="CG948" s="2"/>
      <c r="CH948" s="2"/>
      <c r="CI948" s="2">
        <v>1</v>
      </c>
      <c r="CJ948" s="2">
        <v>1</v>
      </c>
      <c r="CK948" s="2">
        <v>21</v>
      </c>
      <c r="CL948" s="2" t="s">
        <v>88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"FES1162506184"</f>
        <v>FES1162506184</v>
      </c>
      <c r="F949" s="3">
        <v>42655</v>
      </c>
      <c r="G949" s="2">
        <v>201704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148</v>
      </c>
      <c r="M949" s="2" t="s">
        <v>149</v>
      </c>
      <c r="N949" s="2" t="s">
        <v>1365</v>
      </c>
      <c r="O949" s="2" t="s">
        <v>96</v>
      </c>
      <c r="P949" s="2" t="str">
        <f>"2170529703                    "</f>
        <v xml:space="preserve">2170529703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3.32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1</v>
      </c>
      <c r="BJ949" s="2">
        <v>0.2</v>
      </c>
      <c r="BK949" s="2">
        <v>1</v>
      </c>
      <c r="BL949" s="2">
        <v>40.76</v>
      </c>
      <c r="BM949" s="2">
        <v>5.71</v>
      </c>
      <c r="BN949" s="2">
        <v>46.47</v>
      </c>
      <c r="BO949" s="2">
        <v>46.47</v>
      </c>
      <c r="BP949" s="2"/>
      <c r="BQ949" s="2" t="s">
        <v>1366</v>
      </c>
      <c r="BR949" s="2" t="s">
        <v>83</v>
      </c>
      <c r="BS949" s="3">
        <v>42656</v>
      </c>
      <c r="BT949" s="4">
        <v>0.47083333333333338</v>
      </c>
      <c r="BU949" s="2" t="s">
        <v>1367</v>
      </c>
      <c r="BV949" s="2" t="s">
        <v>88</v>
      </c>
      <c r="BW949" s="2"/>
      <c r="BX949" s="2"/>
      <c r="BY949" s="2">
        <v>1200</v>
      </c>
      <c r="BZ949" s="2" t="s">
        <v>27</v>
      </c>
      <c r="CA949" s="2"/>
      <c r="CB949" s="2"/>
      <c r="CC949" s="2" t="s">
        <v>149</v>
      </c>
      <c r="CD949" s="2">
        <v>4094</v>
      </c>
      <c r="CE949" s="2" t="s">
        <v>108</v>
      </c>
      <c r="CF949" s="5">
        <v>42657</v>
      </c>
      <c r="CG949" s="2"/>
      <c r="CH949" s="2"/>
      <c r="CI949" s="2">
        <v>1</v>
      </c>
      <c r="CJ949" s="2">
        <v>1</v>
      </c>
      <c r="CK949" s="2">
        <v>21</v>
      </c>
      <c r="CL949" s="2" t="s">
        <v>88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"FES1162506237"</f>
        <v>FES1162506237</v>
      </c>
      <c r="F950" s="3">
        <v>42655</v>
      </c>
      <c r="G950" s="2">
        <v>201704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171</v>
      </c>
      <c r="M950" s="2" t="s">
        <v>172</v>
      </c>
      <c r="N950" s="2" t="s">
        <v>429</v>
      </c>
      <c r="O950" s="2" t="s">
        <v>96</v>
      </c>
      <c r="P950" s="2" t="str">
        <f>"2170527025                    "</f>
        <v xml:space="preserve">2170527025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9.9499999999999993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5.8</v>
      </c>
      <c r="BJ950" s="2">
        <v>5.2</v>
      </c>
      <c r="BK950" s="2">
        <v>6</v>
      </c>
      <c r="BL950" s="2">
        <v>122.27</v>
      </c>
      <c r="BM950" s="2">
        <v>17.12</v>
      </c>
      <c r="BN950" s="2">
        <v>139.38999999999999</v>
      </c>
      <c r="BO950" s="2">
        <v>139.38999999999999</v>
      </c>
      <c r="BP950" s="2"/>
      <c r="BQ950" s="2" t="s">
        <v>430</v>
      </c>
      <c r="BR950" s="2" t="s">
        <v>83</v>
      </c>
      <c r="BS950" s="3">
        <v>42656</v>
      </c>
      <c r="BT950" s="4">
        <v>0.35416666666666669</v>
      </c>
      <c r="BU950" s="2" t="s">
        <v>1224</v>
      </c>
      <c r="BV950" s="2" t="s">
        <v>85</v>
      </c>
      <c r="BW950" s="2"/>
      <c r="BX950" s="2"/>
      <c r="BY950" s="2">
        <v>26082.42</v>
      </c>
      <c r="BZ950" s="2" t="s">
        <v>27</v>
      </c>
      <c r="CA950" s="2" t="s">
        <v>129</v>
      </c>
      <c r="CB950" s="2"/>
      <c r="CC950" s="2" t="s">
        <v>172</v>
      </c>
      <c r="CD950" s="2">
        <v>6220</v>
      </c>
      <c r="CE950" s="2" t="s">
        <v>86</v>
      </c>
      <c r="CF950" s="5">
        <v>42657</v>
      </c>
      <c r="CG950" s="2"/>
      <c r="CH950" s="2"/>
      <c r="CI950" s="2">
        <v>1</v>
      </c>
      <c r="CJ950" s="2">
        <v>1</v>
      </c>
      <c r="CK950" s="2">
        <v>21</v>
      </c>
      <c r="CL950" s="2" t="s">
        <v>88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"FES1162506112"</f>
        <v>FES1162506112</v>
      </c>
      <c r="F951" s="3">
        <v>42655</v>
      </c>
      <c r="G951" s="2">
        <v>201704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156</v>
      </c>
      <c r="M951" s="2" t="s">
        <v>157</v>
      </c>
      <c r="N951" s="2" t="s">
        <v>158</v>
      </c>
      <c r="O951" s="2" t="s">
        <v>96</v>
      </c>
      <c r="P951" s="2" t="str">
        <f>"2170529624                    "</f>
        <v xml:space="preserve">2170529624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3.32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1</v>
      </c>
      <c r="BJ951" s="2">
        <v>0.2</v>
      </c>
      <c r="BK951" s="2">
        <v>1</v>
      </c>
      <c r="BL951" s="2">
        <v>40.76</v>
      </c>
      <c r="BM951" s="2">
        <v>5.71</v>
      </c>
      <c r="BN951" s="2">
        <v>46.47</v>
      </c>
      <c r="BO951" s="2">
        <v>46.47</v>
      </c>
      <c r="BP951" s="2" t="s">
        <v>1368</v>
      </c>
      <c r="BQ951" s="2" t="s">
        <v>91</v>
      </c>
      <c r="BR951" s="2" t="s">
        <v>83</v>
      </c>
      <c r="BS951" s="3">
        <v>42656</v>
      </c>
      <c r="BT951" s="4">
        <v>0.41666666666666669</v>
      </c>
      <c r="BU951" s="2" t="s">
        <v>1364</v>
      </c>
      <c r="BV951" s="2" t="s">
        <v>85</v>
      </c>
      <c r="BW951" s="2"/>
      <c r="BX951" s="2"/>
      <c r="BY951" s="2">
        <v>1200</v>
      </c>
      <c r="BZ951" s="2" t="s">
        <v>27</v>
      </c>
      <c r="CA951" s="2"/>
      <c r="CB951" s="2"/>
      <c r="CC951" s="2" t="s">
        <v>157</v>
      </c>
      <c r="CD951" s="2">
        <v>7130</v>
      </c>
      <c r="CE951" s="2" t="s">
        <v>108</v>
      </c>
      <c r="CF951" s="5">
        <v>42657</v>
      </c>
      <c r="CG951" s="2"/>
      <c r="CH951" s="2"/>
      <c r="CI951" s="2">
        <v>1</v>
      </c>
      <c r="CJ951" s="2">
        <v>1</v>
      </c>
      <c r="CK951" s="2">
        <v>21</v>
      </c>
      <c r="CL951" s="2" t="s">
        <v>88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"FES1162506002"</f>
        <v>FES1162506002</v>
      </c>
      <c r="F952" s="3">
        <v>42655</v>
      </c>
      <c r="G952" s="2">
        <v>201704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148</v>
      </c>
      <c r="M952" s="2" t="s">
        <v>149</v>
      </c>
      <c r="N952" s="2" t="s">
        <v>575</v>
      </c>
      <c r="O952" s="2" t="s">
        <v>96</v>
      </c>
      <c r="P952" s="2" t="str">
        <f>"2170525882                    "</f>
        <v xml:space="preserve">2170525882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3.32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1</v>
      </c>
      <c r="BJ952" s="2">
        <v>0.2</v>
      </c>
      <c r="BK952" s="2">
        <v>1</v>
      </c>
      <c r="BL952" s="2">
        <v>40.76</v>
      </c>
      <c r="BM952" s="2">
        <v>5.71</v>
      </c>
      <c r="BN952" s="2">
        <v>46.47</v>
      </c>
      <c r="BO952" s="2">
        <v>46.47</v>
      </c>
      <c r="BP952" s="2"/>
      <c r="BQ952" s="2" t="s">
        <v>117</v>
      </c>
      <c r="BR952" s="2" t="s">
        <v>83</v>
      </c>
      <c r="BS952" s="3">
        <v>42656</v>
      </c>
      <c r="BT952" s="4">
        <v>0.38194444444444442</v>
      </c>
      <c r="BU952" s="2" t="s">
        <v>1369</v>
      </c>
      <c r="BV952" s="2" t="s">
        <v>85</v>
      </c>
      <c r="BW952" s="2"/>
      <c r="BX952" s="2"/>
      <c r="BY952" s="2">
        <v>1200</v>
      </c>
      <c r="BZ952" s="2" t="s">
        <v>27</v>
      </c>
      <c r="CA952" s="2" t="s">
        <v>129</v>
      </c>
      <c r="CB952" s="2"/>
      <c r="CC952" s="2" t="s">
        <v>149</v>
      </c>
      <c r="CD952" s="2">
        <v>3629</v>
      </c>
      <c r="CE952" s="2" t="s">
        <v>108</v>
      </c>
      <c r="CF952" s="5">
        <v>42657</v>
      </c>
      <c r="CG952" s="2"/>
      <c r="CH952" s="2"/>
      <c r="CI952" s="2">
        <v>1</v>
      </c>
      <c r="CJ952" s="2">
        <v>1</v>
      </c>
      <c r="CK952" s="2">
        <v>21</v>
      </c>
      <c r="CL952" s="2" t="s">
        <v>88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"FES1162506138"</f>
        <v>FES1162506138</v>
      </c>
      <c r="F953" s="3">
        <v>42655</v>
      </c>
      <c r="G953" s="2">
        <v>201704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614</v>
      </c>
      <c r="M953" s="2" t="s">
        <v>615</v>
      </c>
      <c r="N953" s="2" t="s">
        <v>616</v>
      </c>
      <c r="O953" s="2" t="s">
        <v>96</v>
      </c>
      <c r="P953" s="2" t="str">
        <f>"2170529655                    "</f>
        <v xml:space="preserve">2170529655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3.32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40.76</v>
      </c>
      <c r="BM953" s="2">
        <v>5.71</v>
      </c>
      <c r="BN953" s="2">
        <v>46.47</v>
      </c>
      <c r="BO953" s="2">
        <v>46.47</v>
      </c>
      <c r="BP953" s="2"/>
      <c r="BQ953" s="2" t="s">
        <v>617</v>
      </c>
      <c r="BR953" s="2" t="s">
        <v>83</v>
      </c>
      <c r="BS953" s="3">
        <v>42656</v>
      </c>
      <c r="BT953" s="4">
        <v>0.4375</v>
      </c>
      <c r="BU953" s="2" t="s">
        <v>889</v>
      </c>
      <c r="BV953" s="2" t="s">
        <v>85</v>
      </c>
      <c r="BW953" s="2"/>
      <c r="BX953" s="2"/>
      <c r="BY953" s="2">
        <v>1200</v>
      </c>
      <c r="BZ953" s="2" t="s">
        <v>27</v>
      </c>
      <c r="CA953" s="2" t="s">
        <v>129</v>
      </c>
      <c r="CB953" s="2"/>
      <c r="CC953" s="2" t="s">
        <v>615</v>
      </c>
      <c r="CD953" s="2">
        <v>4026</v>
      </c>
      <c r="CE953" s="2" t="s">
        <v>108</v>
      </c>
      <c r="CF953" s="5">
        <v>42657</v>
      </c>
      <c r="CG953" s="2"/>
      <c r="CH953" s="2"/>
      <c r="CI953" s="2">
        <v>1</v>
      </c>
      <c r="CJ953" s="2">
        <v>1</v>
      </c>
      <c r="CK953" s="2">
        <v>21</v>
      </c>
      <c r="CL953" s="2" t="s">
        <v>88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"FES1162506176"</f>
        <v>FES1162506176</v>
      </c>
      <c r="F954" s="3">
        <v>42655</v>
      </c>
      <c r="G954" s="2">
        <v>201704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160</v>
      </c>
      <c r="M954" s="2" t="s">
        <v>161</v>
      </c>
      <c r="N954" s="2" t="s">
        <v>409</v>
      </c>
      <c r="O954" s="2" t="s">
        <v>96</v>
      </c>
      <c r="P954" s="2" t="str">
        <f>"2170529482                    "</f>
        <v xml:space="preserve">2170529482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3.32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40.76</v>
      </c>
      <c r="BM954" s="2">
        <v>5.71</v>
      </c>
      <c r="BN954" s="2">
        <v>46.47</v>
      </c>
      <c r="BO954" s="2">
        <v>46.47</v>
      </c>
      <c r="BP954" s="2"/>
      <c r="BQ954" s="2" t="s">
        <v>410</v>
      </c>
      <c r="BR954" s="2" t="s">
        <v>83</v>
      </c>
      <c r="BS954" s="3">
        <v>42656</v>
      </c>
      <c r="BT954" s="4">
        <v>0.37152777777777773</v>
      </c>
      <c r="BU954" s="2" t="s">
        <v>1370</v>
      </c>
      <c r="BV954" s="2" t="s">
        <v>85</v>
      </c>
      <c r="BW954" s="2"/>
      <c r="BX954" s="2"/>
      <c r="BY954" s="2">
        <v>1200</v>
      </c>
      <c r="BZ954" s="2" t="s">
        <v>27</v>
      </c>
      <c r="CA954" s="2" t="s">
        <v>1371</v>
      </c>
      <c r="CB954" s="2"/>
      <c r="CC954" s="2" t="s">
        <v>161</v>
      </c>
      <c r="CD954" s="2">
        <v>7975</v>
      </c>
      <c r="CE954" s="2" t="s">
        <v>108</v>
      </c>
      <c r="CF954" s="5">
        <v>42656</v>
      </c>
      <c r="CG954" s="2"/>
      <c r="CH954" s="2"/>
      <c r="CI954" s="2">
        <v>1</v>
      </c>
      <c r="CJ954" s="2">
        <v>1</v>
      </c>
      <c r="CK954" s="2">
        <v>21</v>
      </c>
      <c r="CL954" s="2" t="s">
        <v>88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"FES1162506026"</f>
        <v>FES1162506026</v>
      </c>
      <c r="F955" s="3">
        <v>42655</v>
      </c>
      <c r="G955" s="2">
        <v>201704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156</v>
      </c>
      <c r="M955" s="2" t="s">
        <v>157</v>
      </c>
      <c r="N955" s="2" t="s">
        <v>507</v>
      </c>
      <c r="O955" s="2" t="s">
        <v>96</v>
      </c>
      <c r="P955" s="2" t="str">
        <f>"2170526680                    "</f>
        <v xml:space="preserve">2170526680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3.32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</v>
      </c>
      <c r="BJ955" s="2">
        <v>0.2</v>
      </c>
      <c r="BK955" s="2">
        <v>1</v>
      </c>
      <c r="BL955" s="2">
        <v>40.76</v>
      </c>
      <c r="BM955" s="2">
        <v>5.71</v>
      </c>
      <c r="BN955" s="2">
        <v>46.47</v>
      </c>
      <c r="BO955" s="2">
        <v>46.47</v>
      </c>
      <c r="BP955" s="2"/>
      <c r="BQ955" s="2" t="s">
        <v>508</v>
      </c>
      <c r="BR955" s="2" t="s">
        <v>83</v>
      </c>
      <c r="BS955" s="3">
        <v>42656</v>
      </c>
      <c r="BT955" s="4">
        <v>0.41666666666666669</v>
      </c>
      <c r="BU955" s="2" t="s">
        <v>926</v>
      </c>
      <c r="BV955" s="2" t="s">
        <v>85</v>
      </c>
      <c r="BW955" s="2"/>
      <c r="BX955" s="2"/>
      <c r="BY955" s="2">
        <v>1200</v>
      </c>
      <c r="BZ955" s="2" t="s">
        <v>27</v>
      </c>
      <c r="CA955" s="2"/>
      <c r="CB955" s="2"/>
      <c r="CC955" s="2" t="s">
        <v>157</v>
      </c>
      <c r="CD955" s="2">
        <v>7130</v>
      </c>
      <c r="CE955" s="2" t="s">
        <v>108</v>
      </c>
      <c r="CF955" s="5">
        <v>42657</v>
      </c>
      <c r="CG955" s="2"/>
      <c r="CH955" s="2"/>
      <c r="CI955" s="2">
        <v>1</v>
      </c>
      <c r="CJ955" s="2">
        <v>1</v>
      </c>
      <c r="CK955" s="2">
        <v>21</v>
      </c>
      <c r="CL955" s="2" t="s">
        <v>88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"FES1162506039"</f>
        <v>FES1162506039</v>
      </c>
      <c r="F956" s="3">
        <v>42655</v>
      </c>
      <c r="G956" s="2">
        <v>201704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137</v>
      </c>
      <c r="M956" s="2" t="s">
        <v>138</v>
      </c>
      <c r="N956" s="2" t="s">
        <v>420</v>
      </c>
      <c r="O956" s="2" t="s">
        <v>96</v>
      </c>
      <c r="P956" s="2" t="str">
        <f>"2170527188                    "</f>
        <v xml:space="preserve">2170527188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3.32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0.7</v>
      </c>
      <c r="BJ956" s="2">
        <v>1.8</v>
      </c>
      <c r="BK956" s="2">
        <v>2</v>
      </c>
      <c r="BL956" s="2">
        <v>40.76</v>
      </c>
      <c r="BM956" s="2">
        <v>5.71</v>
      </c>
      <c r="BN956" s="2">
        <v>46.47</v>
      </c>
      <c r="BO956" s="2">
        <v>46.47</v>
      </c>
      <c r="BP956" s="2"/>
      <c r="BQ956" s="2" t="s">
        <v>117</v>
      </c>
      <c r="BR956" s="2" t="s">
        <v>83</v>
      </c>
      <c r="BS956" s="3">
        <v>42656</v>
      </c>
      <c r="BT956" s="4">
        <v>0.37916666666666665</v>
      </c>
      <c r="BU956" s="2" t="s">
        <v>469</v>
      </c>
      <c r="BV956" s="2" t="s">
        <v>85</v>
      </c>
      <c r="BW956" s="2"/>
      <c r="BX956" s="2"/>
      <c r="BY956" s="2">
        <v>9084.24</v>
      </c>
      <c r="BZ956" s="2" t="s">
        <v>27</v>
      </c>
      <c r="CA956" s="2" t="s">
        <v>205</v>
      </c>
      <c r="CB956" s="2"/>
      <c r="CC956" s="2" t="s">
        <v>138</v>
      </c>
      <c r="CD956" s="2">
        <v>3201</v>
      </c>
      <c r="CE956" s="2" t="s">
        <v>108</v>
      </c>
      <c r="CF956" s="5">
        <v>42656</v>
      </c>
      <c r="CG956" s="2"/>
      <c r="CH956" s="2"/>
      <c r="CI956" s="2">
        <v>1</v>
      </c>
      <c r="CJ956" s="2">
        <v>1</v>
      </c>
      <c r="CK956" s="2">
        <v>21</v>
      </c>
      <c r="CL956" s="2" t="s">
        <v>88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"FES1162506007"</f>
        <v>FES1162506007</v>
      </c>
      <c r="F957" s="3">
        <v>42655</v>
      </c>
      <c r="G957" s="2">
        <v>201704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160</v>
      </c>
      <c r="M957" s="2" t="s">
        <v>161</v>
      </c>
      <c r="N957" s="2" t="s">
        <v>622</v>
      </c>
      <c r="O957" s="2" t="s">
        <v>96</v>
      </c>
      <c r="P957" s="2" t="str">
        <f>"2170526054                    "</f>
        <v xml:space="preserve">2170526054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18.239999999999998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11</v>
      </c>
      <c r="BJ957" s="2">
        <v>3.9</v>
      </c>
      <c r="BK957" s="2">
        <v>11</v>
      </c>
      <c r="BL957" s="2">
        <v>224.16</v>
      </c>
      <c r="BM957" s="2">
        <v>31.38</v>
      </c>
      <c r="BN957" s="2">
        <v>255.54</v>
      </c>
      <c r="BO957" s="2">
        <v>255.54</v>
      </c>
      <c r="BP957" s="2"/>
      <c r="BQ957" s="2" t="s">
        <v>623</v>
      </c>
      <c r="BR957" s="2" t="s">
        <v>83</v>
      </c>
      <c r="BS957" s="3">
        <v>42656</v>
      </c>
      <c r="BT957" s="4">
        <v>0.43333333333333335</v>
      </c>
      <c r="BU957" s="2" t="s">
        <v>624</v>
      </c>
      <c r="BV957" s="2" t="s">
        <v>85</v>
      </c>
      <c r="BW957" s="2"/>
      <c r="BX957" s="2"/>
      <c r="BY957" s="2">
        <v>19504.28</v>
      </c>
      <c r="BZ957" s="2" t="s">
        <v>27</v>
      </c>
      <c r="CA957" s="2"/>
      <c r="CB957" s="2"/>
      <c r="CC957" s="2" t="s">
        <v>161</v>
      </c>
      <c r="CD957" s="2">
        <v>7490</v>
      </c>
      <c r="CE957" s="2" t="s">
        <v>86</v>
      </c>
      <c r="CF957" s="5">
        <v>42657</v>
      </c>
      <c r="CG957" s="2"/>
      <c r="CH957" s="2"/>
      <c r="CI957" s="2">
        <v>1</v>
      </c>
      <c r="CJ957" s="2">
        <v>1</v>
      </c>
      <c r="CK957" s="2">
        <v>21</v>
      </c>
      <c r="CL957" s="2" t="s">
        <v>88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"FES1162506029"</f>
        <v>FES1162506029</v>
      </c>
      <c r="F958" s="3">
        <v>42655</v>
      </c>
      <c r="G958" s="2">
        <v>201704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160</v>
      </c>
      <c r="M958" s="2" t="s">
        <v>161</v>
      </c>
      <c r="N958" s="2" t="s">
        <v>227</v>
      </c>
      <c r="O958" s="2" t="s">
        <v>96</v>
      </c>
      <c r="P958" s="2" t="str">
        <f>"2170526725                    "</f>
        <v xml:space="preserve">2170526725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6.63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3.5</v>
      </c>
      <c r="BJ958" s="2">
        <v>3.6</v>
      </c>
      <c r="BK958" s="2">
        <v>4</v>
      </c>
      <c r="BL958" s="2">
        <v>81.510000000000005</v>
      </c>
      <c r="BM958" s="2">
        <v>11.41</v>
      </c>
      <c r="BN958" s="2">
        <v>92.92</v>
      </c>
      <c r="BO958" s="2">
        <v>92.92</v>
      </c>
      <c r="BP958" s="2"/>
      <c r="BQ958" s="2" t="s">
        <v>91</v>
      </c>
      <c r="BR958" s="2" t="s">
        <v>83</v>
      </c>
      <c r="BS958" s="3">
        <v>42656</v>
      </c>
      <c r="BT958" s="4">
        <v>0.41666666666666669</v>
      </c>
      <c r="BU958" s="2" t="s">
        <v>228</v>
      </c>
      <c r="BV958" s="2" t="s">
        <v>85</v>
      </c>
      <c r="BW958" s="2"/>
      <c r="BX958" s="2"/>
      <c r="BY958" s="2">
        <v>18136.2</v>
      </c>
      <c r="BZ958" s="2" t="s">
        <v>27</v>
      </c>
      <c r="CA958" s="2"/>
      <c r="CB958" s="2"/>
      <c r="CC958" s="2" t="s">
        <v>161</v>
      </c>
      <c r="CD958" s="2">
        <v>7460</v>
      </c>
      <c r="CE958" s="2" t="s">
        <v>86</v>
      </c>
      <c r="CF958" s="5">
        <v>42657</v>
      </c>
      <c r="CG958" s="2"/>
      <c r="CH958" s="2"/>
      <c r="CI958" s="2">
        <v>1</v>
      </c>
      <c r="CJ958" s="2">
        <v>1</v>
      </c>
      <c r="CK958" s="2">
        <v>21</v>
      </c>
      <c r="CL958" s="2" t="s">
        <v>88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"FES1162506019"</f>
        <v>FES1162506019</v>
      </c>
      <c r="F959" s="3">
        <v>42655</v>
      </c>
      <c r="G959" s="2">
        <v>201704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98</v>
      </c>
      <c r="M959" s="2" t="s">
        <v>99</v>
      </c>
      <c r="N959" s="2" t="s">
        <v>832</v>
      </c>
      <c r="O959" s="2" t="s">
        <v>96</v>
      </c>
      <c r="P959" s="2" t="str">
        <f>"2170526469                    "</f>
        <v xml:space="preserve">2170526469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49.76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2</v>
      </c>
      <c r="BI959" s="2">
        <v>29.9</v>
      </c>
      <c r="BJ959" s="2">
        <v>18.3</v>
      </c>
      <c r="BK959" s="2">
        <v>30</v>
      </c>
      <c r="BL959" s="2">
        <v>611.36</v>
      </c>
      <c r="BM959" s="2">
        <v>85.59</v>
      </c>
      <c r="BN959" s="2">
        <v>696.95</v>
      </c>
      <c r="BO959" s="2">
        <v>696.95</v>
      </c>
      <c r="BP959" s="2"/>
      <c r="BQ959" s="2" t="s">
        <v>833</v>
      </c>
      <c r="BR959" s="2" t="s">
        <v>83</v>
      </c>
      <c r="BS959" s="3">
        <v>42656</v>
      </c>
      <c r="BT959" s="4">
        <v>0.33333333333333331</v>
      </c>
      <c r="BU959" s="2" t="s">
        <v>1024</v>
      </c>
      <c r="BV959" s="2" t="s">
        <v>85</v>
      </c>
      <c r="BW959" s="2"/>
      <c r="BX959" s="2"/>
      <c r="BY959" s="2">
        <v>91254.77</v>
      </c>
      <c r="BZ959" s="2" t="s">
        <v>27</v>
      </c>
      <c r="CA959" s="2" t="s">
        <v>437</v>
      </c>
      <c r="CB959" s="2"/>
      <c r="CC959" s="2" t="s">
        <v>99</v>
      </c>
      <c r="CD959" s="2">
        <v>6001</v>
      </c>
      <c r="CE959" s="2" t="s">
        <v>86</v>
      </c>
      <c r="CF959" s="5">
        <v>42656</v>
      </c>
      <c r="CG959" s="2"/>
      <c r="CH959" s="2"/>
      <c r="CI959" s="2">
        <v>1</v>
      </c>
      <c r="CJ959" s="2">
        <v>1</v>
      </c>
      <c r="CK959" s="2">
        <v>21</v>
      </c>
      <c r="CL959" s="2" t="s">
        <v>88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"FES1162506006"</f>
        <v>FES1162506006</v>
      </c>
      <c r="F960" s="3">
        <v>42655</v>
      </c>
      <c r="G960" s="2">
        <v>201704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98</v>
      </c>
      <c r="M960" s="2" t="s">
        <v>99</v>
      </c>
      <c r="N960" s="2" t="s">
        <v>190</v>
      </c>
      <c r="O960" s="2" t="s">
        <v>96</v>
      </c>
      <c r="P960" s="2" t="str">
        <f>"2170526038                    "</f>
        <v xml:space="preserve">2170526038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9.9499999999999993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5.9</v>
      </c>
      <c r="BJ960" s="2">
        <v>3.6</v>
      </c>
      <c r="BK960" s="2">
        <v>6</v>
      </c>
      <c r="BL960" s="2">
        <v>122.27</v>
      </c>
      <c r="BM960" s="2">
        <v>17.12</v>
      </c>
      <c r="BN960" s="2">
        <v>139.38999999999999</v>
      </c>
      <c r="BO960" s="2">
        <v>139.38999999999999</v>
      </c>
      <c r="BP960" s="2"/>
      <c r="BQ960" s="2" t="s">
        <v>1034</v>
      </c>
      <c r="BR960" s="2" t="s">
        <v>83</v>
      </c>
      <c r="BS960" s="3">
        <v>42656</v>
      </c>
      <c r="BT960" s="4">
        <v>0.375</v>
      </c>
      <c r="BU960" s="2" t="s">
        <v>835</v>
      </c>
      <c r="BV960" s="2" t="s">
        <v>85</v>
      </c>
      <c r="BW960" s="2"/>
      <c r="BX960" s="2"/>
      <c r="BY960" s="2">
        <v>18071.75</v>
      </c>
      <c r="BZ960" s="2" t="s">
        <v>27</v>
      </c>
      <c r="CA960" s="2" t="s">
        <v>1287</v>
      </c>
      <c r="CB960" s="2"/>
      <c r="CC960" s="2" t="s">
        <v>99</v>
      </c>
      <c r="CD960" s="2">
        <v>6001</v>
      </c>
      <c r="CE960" s="2" t="s">
        <v>86</v>
      </c>
      <c r="CF960" s="5">
        <v>42656</v>
      </c>
      <c r="CG960" s="2"/>
      <c r="CH960" s="2"/>
      <c r="CI960" s="2">
        <v>1</v>
      </c>
      <c r="CJ960" s="2">
        <v>1</v>
      </c>
      <c r="CK960" s="2">
        <v>21</v>
      </c>
      <c r="CL960" s="2" t="s">
        <v>88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"FES1162506014"</f>
        <v>FES1162506014</v>
      </c>
      <c r="F961" s="3">
        <v>42655</v>
      </c>
      <c r="G961" s="2">
        <v>201704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137</v>
      </c>
      <c r="M961" s="2" t="s">
        <v>138</v>
      </c>
      <c r="N961" s="2" t="s">
        <v>526</v>
      </c>
      <c r="O961" s="2" t="s">
        <v>96</v>
      </c>
      <c r="P961" s="2" t="str">
        <f>"2170526269                    "</f>
        <v xml:space="preserve">2170526269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3.32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1</v>
      </c>
      <c r="BJ961" s="2">
        <v>1.7</v>
      </c>
      <c r="BK961" s="2">
        <v>2</v>
      </c>
      <c r="BL961" s="2">
        <v>40.76</v>
      </c>
      <c r="BM961" s="2">
        <v>5.71</v>
      </c>
      <c r="BN961" s="2">
        <v>46.47</v>
      </c>
      <c r="BO961" s="2">
        <v>46.47</v>
      </c>
      <c r="BP961" s="2"/>
      <c r="BQ961" s="2" t="s">
        <v>117</v>
      </c>
      <c r="BR961" s="2" t="s">
        <v>83</v>
      </c>
      <c r="BS961" s="3">
        <v>42656</v>
      </c>
      <c r="BT961" s="4">
        <v>0.40972222222222227</v>
      </c>
      <c r="BU961" s="2" t="s">
        <v>1372</v>
      </c>
      <c r="BV961" s="2"/>
      <c r="BW961" s="2"/>
      <c r="BX961" s="2"/>
      <c r="BY961" s="2">
        <v>8595.6</v>
      </c>
      <c r="BZ961" s="2" t="s">
        <v>27</v>
      </c>
      <c r="CA961" s="2" t="s">
        <v>1091</v>
      </c>
      <c r="CB961" s="2"/>
      <c r="CC961" s="2" t="s">
        <v>138</v>
      </c>
      <c r="CD961" s="2">
        <v>3201</v>
      </c>
      <c r="CE961" s="2" t="s">
        <v>86</v>
      </c>
      <c r="CF961" s="5">
        <v>42656</v>
      </c>
      <c r="CG961" s="2"/>
      <c r="CH961" s="2"/>
      <c r="CI961" s="2">
        <v>0</v>
      </c>
      <c r="CJ961" s="2">
        <v>0</v>
      </c>
      <c r="CK961" s="2">
        <v>21</v>
      </c>
      <c r="CL961" s="2" t="s">
        <v>88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"FES1162506022"</f>
        <v>FES1162506022</v>
      </c>
      <c r="F962" s="3">
        <v>42655</v>
      </c>
      <c r="G962" s="2">
        <v>201704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137</v>
      </c>
      <c r="M962" s="2" t="s">
        <v>138</v>
      </c>
      <c r="N962" s="2" t="s">
        <v>1255</v>
      </c>
      <c r="O962" s="2" t="s">
        <v>96</v>
      </c>
      <c r="P962" s="2" t="str">
        <f>"2170526562                    "</f>
        <v xml:space="preserve">2170526562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3.32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1.8</v>
      </c>
      <c r="BJ962" s="2">
        <v>1.6</v>
      </c>
      <c r="BK962" s="2">
        <v>2</v>
      </c>
      <c r="BL962" s="2">
        <v>40.76</v>
      </c>
      <c r="BM962" s="2">
        <v>5.71</v>
      </c>
      <c r="BN962" s="2">
        <v>46.47</v>
      </c>
      <c r="BO962" s="2">
        <v>46.47</v>
      </c>
      <c r="BP962" s="2"/>
      <c r="BQ962" s="2" t="s">
        <v>117</v>
      </c>
      <c r="BR962" s="2" t="s">
        <v>83</v>
      </c>
      <c r="BS962" s="3">
        <v>42656</v>
      </c>
      <c r="BT962" s="4">
        <v>0.41666666666666669</v>
      </c>
      <c r="BU962" s="2" t="s">
        <v>1373</v>
      </c>
      <c r="BV962" s="2" t="s">
        <v>85</v>
      </c>
      <c r="BW962" s="2"/>
      <c r="BX962" s="2"/>
      <c r="BY962" s="2">
        <v>8193.9</v>
      </c>
      <c r="BZ962" s="2" t="s">
        <v>27</v>
      </c>
      <c r="CA962" s="2"/>
      <c r="CB962" s="2"/>
      <c r="CC962" s="2" t="s">
        <v>138</v>
      </c>
      <c r="CD962" s="2">
        <v>3680</v>
      </c>
      <c r="CE962" s="2" t="s">
        <v>86</v>
      </c>
      <c r="CF962" s="5">
        <v>42657</v>
      </c>
      <c r="CG962" s="2"/>
      <c r="CH962" s="2"/>
      <c r="CI962" s="2">
        <v>1</v>
      </c>
      <c r="CJ962" s="2">
        <v>1</v>
      </c>
      <c r="CK962" s="2">
        <v>21</v>
      </c>
      <c r="CL962" s="2" t="s">
        <v>88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"FES1162506203"</f>
        <v>FES1162506203</v>
      </c>
      <c r="F963" s="3">
        <v>42655</v>
      </c>
      <c r="G963" s="2">
        <v>201704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160</v>
      </c>
      <c r="M963" s="2" t="s">
        <v>161</v>
      </c>
      <c r="N963" s="2" t="s">
        <v>179</v>
      </c>
      <c r="O963" s="2" t="s">
        <v>96</v>
      </c>
      <c r="P963" s="2" t="str">
        <f>"2170529734                    "</f>
        <v xml:space="preserve">2170529734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3.32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</v>
      </c>
      <c r="BJ963" s="2">
        <v>0.2</v>
      </c>
      <c r="BK963" s="2">
        <v>1</v>
      </c>
      <c r="BL963" s="2">
        <v>40.76</v>
      </c>
      <c r="BM963" s="2">
        <v>5.71</v>
      </c>
      <c r="BN963" s="2">
        <v>46.47</v>
      </c>
      <c r="BO963" s="2">
        <v>46.47</v>
      </c>
      <c r="BP963" s="2"/>
      <c r="BQ963" s="2" t="s">
        <v>180</v>
      </c>
      <c r="BR963" s="2" t="s">
        <v>83</v>
      </c>
      <c r="BS963" s="3">
        <v>42656</v>
      </c>
      <c r="BT963" s="4">
        <v>0.41666666666666669</v>
      </c>
      <c r="BU963" s="2" t="s">
        <v>1374</v>
      </c>
      <c r="BV963" s="2" t="s">
        <v>85</v>
      </c>
      <c r="BW963" s="2"/>
      <c r="BX963" s="2"/>
      <c r="BY963" s="2">
        <v>1200</v>
      </c>
      <c r="BZ963" s="2" t="s">
        <v>27</v>
      </c>
      <c r="CA963" s="2"/>
      <c r="CB963" s="2"/>
      <c r="CC963" s="2" t="s">
        <v>161</v>
      </c>
      <c r="CD963" s="2">
        <v>7405</v>
      </c>
      <c r="CE963" s="2" t="s">
        <v>108</v>
      </c>
      <c r="CF963" s="5">
        <v>42657</v>
      </c>
      <c r="CG963" s="2"/>
      <c r="CH963" s="2"/>
      <c r="CI963" s="2">
        <v>1</v>
      </c>
      <c r="CJ963" s="2">
        <v>1</v>
      </c>
      <c r="CK963" s="2">
        <v>21</v>
      </c>
      <c r="CL963" s="2" t="s">
        <v>88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"FES1162506189"</f>
        <v>FES1162506189</v>
      </c>
      <c r="F964" s="3">
        <v>42655</v>
      </c>
      <c r="G964" s="2">
        <v>201704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160</v>
      </c>
      <c r="M964" s="2" t="s">
        <v>161</v>
      </c>
      <c r="N964" s="2" t="s">
        <v>251</v>
      </c>
      <c r="O964" s="2" t="s">
        <v>96</v>
      </c>
      <c r="P964" s="2" t="str">
        <f>"2170529715                    "</f>
        <v xml:space="preserve">2170529715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5.81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2.4</v>
      </c>
      <c r="BJ964" s="2">
        <v>3.4</v>
      </c>
      <c r="BK964" s="2">
        <v>3.5</v>
      </c>
      <c r="BL964" s="2">
        <v>71.33</v>
      </c>
      <c r="BM964" s="2">
        <v>9.99</v>
      </c>
      <c r="BN964" s="2">
        <v>81.319999999999993</v>
      </c>
      <c r="BO964" s="2">
        <v>81.319999999999993</v>
      </c>
      <c r="BP964" s="2"/>
      <c r="BQ964" s="2" t="s">
        <v>91</v>
      </c>
      <c r="BR964" s="2" t="s">
        <v>83</v>
      </c>
      <c r="BS964" s="3">
        <v>42660</v>
      </c>
      <c r="BT964" s="2" t="s">
        <v>1375</v>
      </c>
      <c r="BU964" s="2" t="s">
        <v>1376</v>
      </c>
      <c r="BV964" s="2" t="s">
        <v>88</v>
      </c>
      <c r="BW964" s="2"/>
      <c r="BX964" s="2"/>
      <c r="BY964" s="2">
        <v>16770.04</v>
      </c>
      <c r="BZ964" s="2" t="s">
        <v>27</v>
      </c>
      <c r="CA964" s="2" t="s">
        <v>329</v>
      </c>
      <c r="CB964" s="2"/>
      <c r="CC964" s="2" t="s">
        <v>161</v>
      </c>
      <c r="CD964" s="2">
        <v>7500</v>
      </c>
      <c r="CE964" s="2" t="s">
        <v>86</v>
      </c>
      <c r="CF964" s="2"/>
      <c r="CG964" s="2"/>
      <c r="CH964" s="2"/>
      <c r="CI964" s="2">
        <v>1</v>
      </c>
      <c r="CJ964" s="2">
        <v>3</v>
      </c>
      <c r="CK964" s="2">
        <v>21</v>
      </c>
      <c r="CL964" s="2" t="s">
        <v>88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"FES1162506051"</f>
        <v>FES1162506051</v>
      </c>
      <c r="F965" s="3">
        <v>42655</v>
      </c>
      <c r="G965" s="2">
        <v>201704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160</v>
      </c>
      <c r="M965" s="2" t="s">
        <v>161</v>
      </c>
      <c r="N965" s="2" t="s">
        <v>1377</v>
      </c>
      <c r="O965" s="2" t="s">
        <v>96</v>
      </c>
      <c r="P965" s="2" t="str">
        <f>"2170527502                    "</f>
        <v xml:space="preserve">2170527502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5.81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3.1</v>
      </c>
      <c r="BJ965" s="2">
        <v>1.7</v>
      </c>
      <c r="BK965" s="2">
        <v>3.5</v>
      </c>
      <c r="BL965" s="2">
        <v>71.33</v>
      </c>
      <c r="BM965" s="2">
        <v>9.99</v>
      </c>
      <c r="BN965" s="2">
        <v>81.319999999999993</v>
      </c>
      <c r="BO965" s="2">
        <v>81.319999999999993</v>
      </c>
      <c r="BP965" s="2"/>
      <c r="BQ965" s="2" t="s">
        <v>1378</v>
      </c>
      <c r="BR965" s="2" t="s">
        <v>83</v>
      </c>
      <c r="BS965" s="3">
        <v>42657</v>
      </c>
      <c r="BT965" s="4">
        <v>0.36319444444444443</v>
      </c>
      <c r="BU965" s="2" t="s">
        <v>1379</v>
      </c>
      <c r="BV965" s="2" t="s">
        <v>88</v>
      </c>
      <c r="BW965" s="2" t="s">
        <v>222</v>
      </c>
      <c r="BX965" s="2" t="s">
        <v>356</v>
      </c>
      <c r="BY965" s="2">
        <v>8576.57</v>
      </c>
      <c r="BZ965" s="2" t="s">
        <v>27</v>
      </c>
      <c r="CA965" s="2"/>
      <c r="CB965" s="2"/>
      <c r="CC965" s="2" t="s">
        <v>161</v>
      </c>
      <c r="CD965" s="2">
        <v>7945</v>
      </c>
      <c r="CE965" s="2" t="s">
        <v>86</v>
      </c>
      <c r="CF965" s="5">
        <v>42660</v>
      </c>
      <c r="CG965" s="2"/>
      <c r="CH965" s="2"/>
      <c r="CI965" s="2">
        <v>1</v>
      </c>
      <c r="CJ965" s="2">
        <v>2</v>
      </c>
      <c r="CK965" s="2">
        <v>21</v>
      </c>
      <c r="CL965" s="2" t="s">
        <v>88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"FES1162506149"</f>
        <v>FES1162506149</v>
      </c>
      <c r="F966" s="3">
        <v>42655</v>
      </c>
      <c r="G966" s="2">
        <v>201704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269</v>
      </c>
      <c r="M966" s="2" t="s">
        <v>270</v>
      </c>
      <c r="N966" s="2" t="s">
        <v>1104</v>
      </c>
      <c r="O966" s="2" t="s">
        <v>96</v>
      </c>
      <c r="P966" s="2" t="str">
        <f>"2170529667                    "</f>
        <v xml:space="preserve">2170529667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3.32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0.2</v>
      </c>
      <c r="BK966" s="2">
        <v>1</v>
      </c>
      <c r="BL966" s="2">
        <v>40.76</v>
      </c>
      <c r="BM966" s="2">
        <v>5.71</v>
      </c>
      <c r="BN966" s="2">
        <v>46.47</v>
      </c>
      <c r="BO966" s="2">
        <v>46.47</v>
      </c>
      <c r="BP966" s="2"/>
      <c r="BQ966" s="2" t="s">
        <v>82</v>
      </c>
      <c r="BR966" s="2" t="s">
        <v>83</v>
      </c>
      <c r="BS966" s="3">
        <v>42656</v>
      </c>
      <c r="BT966" s="4">
        <v>0.37847222222222227</v>
      </c>
      <c r="BU966" s="2" t="s">
        <v>724</v>
      </c>
      <c r="BV966" s="2" t="s">
        <v>85</v>
      </c>
      <c r="BW966" s="2"/>
      <c r="BX966" s="2"/>
      <c r="BY966" s="2">
        <v>1200</v>
      </c>
      <c r="BZ966" s="2" t="s">
        <v>27</v>
      </c>
      <c r="CA966" s="2" t="s">
        <v>129</v>
      </c>
      <c r="CB966" s="2"/>
      <c r="CC966" s="2" t="s">
        <v>270</v>
      </c>
      <c r="CD966" s="2">
        <v>3610</v>
      </c>
      <c r="CE966" s="2" t="s">
        <v>108</v>
      </c>
      <c r="CF966" s="5">
        <v>42657</v>
      </c>
      <c r="CG966" s="2"/>
      <c r="CH966" s="2"/>
      <c r="CI966" s="2">
        <v>1</v>
      </c>
      <c r="CJ966" s="2">
        <v>1</v>
      </c>
      <c r="CK966" s="2">
        <v>21</v>
      </c>
      <c r="CL966" s="2" t="s">
        <v>88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"FES1162506142"</f>
        <v>FES1162506142</v>
      </c>
      <c r="F967" s="3">
        <v>42655</v>
      </c>
      <c r="G967" s="2">
        <v>201704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1380</v>
      </c>
      <c r="M967" s="2" t="s">
        <v>1381</v>
      </c>
      <c r="N967" s="2" t="s">
        <v>1382</v>
      </c>
      <c r="O967" s="2" t="s">
        <v>96</v>
      </c>
      <c r="P967" s="2" t="str">
        <f>"2170528690                    "</f>
        <v xml:space="preserve">2170528690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6.43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1.2</v>
      </c>
      <c r="BJ967" s="2">
        <v>0.2</v>
      </c>
      <c r="BK967" s="2">
        <v>1.5</v>
      </c>
      <c r="BL967" s="2">
        <v>78.97</v>
      </c>
      <c r="BM967" s="2">
        <v>11.06</v>
      </c>
      <c r="BN967" s="2">
        <v>90.03</v>
      </c>
      <c r="BO967" s="2">
        <v>90.03</v>
      </c>
      <c r="BP967" s="2"/>
      <c r="BQ967" s="2" t="s">
        <v>1383</v>
      </c>
      <c r="BR967" s="2" t="s">
        <v>83</v>
      </c>
      <c r="BS967" s="3">
        <v>42656</v>
      </c>
      <c r="BT967" s="4">
        <v>0.54166666666666663</v>
      </c>
      <c r="BU967" s="2" t="s">
        <v>1384</v>
      </c>
      <c r="BV967" s="2" t="s">
        <v>85</v>
      </c>
      <c r="BW967" s="2"/>
      <c r="BX967" s="2"/>
      <c r="BY967" s="2">
        <v>1200</v>
      </c>
      <c r="BZ967" s="2" t="s">
        <v>27</v>
      </c>
      <c r="CA967" s="2"/>
      <c r="CB967" s="2"/>
      <c r="CC967" s="2" t="s">
        <v>1381</v>
      </c>
      <c r="CD967" s="2">
        <v>4340</v>
      </c>
      <c r="CE967" s="2" t="s">
        <v>108</v>
      </c>
      <c r="CF967" s="5">
        <v>42657</v>
      </c>
      <c r="CG967" s="2"/>
      <c r="CH967" s="2"/>
      <c r="CI967" s="2">
        <v>1</v>
      </c>
      <c r="CJ967" s="2">
        <v>1</v>
      </c>
      <c r="CK967" s="2">
        <v>23</v>
      </c>
      <c r="CL967" s="2" t="s">
        <v>88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"FES1162506200"</f>
        <v>FES1162506200</v>
      </c>
      <c r="F968" s="3">
        <v>42655</v>
      </c>
      <c r="G968" s="2">
        <v>201704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323</v>
      </c>
      <c r="M968" s="2" t="s">
        <v>324</v>
      </c>
      <c r="N968" s="2" t="s">
        <v>325</v>
      </c>
      <c r="O968" s="2" t="s">
        <v>96</v>
      </c>
      <c r="P968" s="2" t="str">
        <f>"2170529729                    "</f>
        <v xml:space="preserve">2170529729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3.32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1</v>
      </c>
      <c r="BJ968" s="2">
        <v>0.2</v>
      </c>
      <c r="BK968" s="2">
        <v>1</v>
      </c>
      <c r="BL968" s="2">
        <v>40.76</v>
      </c>
      <c r="BM968" s="2">
        <v>5.71</v>
      </c>
      <c r="BN968" s="2">
        <v>46.47</v>
      </c>
      <c r="BO968" s="2">
        <v>46.47</v>
      </c>
      <c r="BP968" s="2"/>
      <c r="BQ968" s="2" t="s">
        <v>117</v>
      </c>
      <c r="BR968" s="2" t="s">
        <v>83</v>
      </c>
      <c r="BS968" s="3">
        <v>42656</v>
      </c>
      <c r="BT968" s="4">
        <v>0.375</v>
      </c>
      <c r="BU968" s="2" t="s">
        <v>1385</v>
      </c>
      <c r="BV968" s="2"/>
      <c r="BW968" s="2"/>
      <c r="BX968" s="2"/>
      <c r="BY968" s="2">
        <v>1200</v>
      </c>
      <c r="BZ968" s="2" t="s">
        <v>27</v>
      </c>
      <c r="CA968" s="2" t="s">
        <v>1215</v>
      </c>
      <c r="CB968" s="2"/>
      <c r="CC968" s="2" t="s">
        <v>324</v>
      </c>
      <c r="CD968" s="2">
        <v>9301</v>
      </c>
      <c r="CE968" s="2" t="s">
        <v>108</v>
      </c>
      <c r="CF968" s="5">
        <v>42656</v>
      </c>
      <c r="CG968" s="2"/>
      <c r="CH968" s="2"/>
      <c r="CI968" s="2">
        <v>0</v>
      </c>
      <c r="CJ968" s="2">
        <v>0</v>
      </c>
      <c r="CK968" s="2">
        <v>21</v>
      </c>
      <c r="CL968" s="2" t="s">
        <v>88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"FES1162506201"</f>
        <v>FES1162506201</v>
      </c>
      <c r="F969" s="3">
        <v>42655</v>
      </c>
      <c r="G969" s="2">
        <v>201704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98</v>
      </c>
      <c r="M969" s="2" t="s">
        <v>99</v>
      </c>
      <c r="N969" s="2" t="s">
        <v>104</v>
      </c>
      <c r="O969" s="2" t="s">
        <v>96</v>
      </c>
      <c r="P969" s="2" t="str">
        <f>"2170529732                    "</f>
        <v xml:space="preserve">2170529732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3.32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40.76</v>
      </c>
      <c r="BM969" s="2">
        <v>5.71</v>
      </c>
      <c r="BN969" s="2">
        <v>46.47</v>
      </c>
      <c r="BO969" s="2">
        <v>46.47</v>
      </c>
      <c r="BP969" s="2"/>
      <c r="BQ969" s="2" t="s">
        <v>105</v>
      </c>
      <c r="BR969" s="2" t="s">
        <v>83</v>
      </c>
      <c r="BS969" s="3">
        <v>42656</v>
      </c>
      <c r="BT969" s="4">
        <v>0.41597222222222219</v>
      </c>
      <c r="BU969" s="2" t="s">
        <v>1386</v>
      </c>
      <c r="BV969" s="2" t="s">
        <v>85</v>
      </c>
      <c r="BW969" s="2"/>
      <c r="BX969" s="2"/>
      <c r="BY969" s="2">
        <v>1200</v>
      </c>
      <c r="BZ969" s="2" t="s">
        <v>27</v>
      </c>
      <c r="CA969" s="2" t="s">
        <v>1349</v>
      </c>
      <c r="CB969" s="2"/>
      <c r="CC969" s="2" t="s">
        <v>99</v>
      </c>
      <c r="CD969" s="2">
        <v>6001</v>
      </c>
      <c r="CE969" s="2" t="s">
        <v>108</v>
      </c>
      <c r="CF969" s="5">
        <v>42656</v>
      </c>
      <c r="CG969" s="2"/>
      <c r="CH969" s="2"/>
      <c r="CI969" s="2">
        <v>1</v>
      </c>
      <c r="CJ969" s="2">
        <v>1</v>
      </c>
      <c r="CK969" s="2">
        <v>21</v>
      </c>
      <c r="CL969" s="2" t="s">
        <v>88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"FES1162506057"</f>
        <v>FES1162506057</v>
      </c>
      <c r="F970" s="3">
        <v>42655</v>
      </c>
      <c r="G970" s="2">
        <v>201704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148</v>
      </c>
      <c r="M970" s="2" t="s">
        <v>149</v>
      </c>
      <c r="N970" s="2" t="s">
        <v>726</v>
      </c>
      <c r="O970" s="2" t="s">
        <v>96</v>
      </c>
      <c r="P970" s="2" t="str">
        <f>"2170527592                    "</f>
        <v xml:space="preserve">2170527592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3.32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</v>
      </c>
      <c r="BJ970" s="2">
        <v>0.2</v>
      </c>
      <c r="BK970" s="2">
        <v>1</v>
      </c>
      <c r="BL970" s="2">
        <v>40.76</v>
      </c>
      <c r="BM970" s="2">
        <v>5.71</v>
      </c>
      <c r="BN970" s="2">
        <v>46.47</v>
      </c>
      <c r="BO970" s="2">
        <v>46.47</v>
      </c>
      <c r="BP970" s="2"/>
      <c r="BQ970" s="2" t="s">
        <v>117</v>
      </c>
      <c r="BR970" s="2" t="s">
        <v>83</v>
      </c>
      <c r="BS970" s="3">
        <v>42656</v>
      </c>
      <c r="BT970" s="4">
        <v>0.4375</v>
      </c>
      <c r="BU970" s="2" t="s">
        <v>1387</v>
      </c>
      <c r="BV970" s="2" t="s">
        <v>85</v>
      </c>
      <c r="BW970" s="2"/>
      <c r="BX970" s="2"/>
      <c r="BY970" s="2">
        <v>1200</v>
      </c>
      <c r="BZ970" s="2" t="s">
        <v>27</v>
      </c>
      <c r="CA970" s="2"/>
      <c r="CB970" s="2"/>
      <c r="CC970" s="2" t="s">
        <v>149</v>
      </c>
      <c r="CD970" s="2">
        <v>4070</v>
      </c>
      <c r="CE970" s="2" t="s">
        <v>108</v>
      </c>
      <c r="CF970" s="5">
        <v>42657</v>
      </c>
      <c r="CG970" s="2"/>
      <c r="CH970" s="2"/>
      <c r="CI970" s="2">
        <v>1</v>
      </c>
      <c r="CJ970" s="2">
        <v>1</v>
      </c>
      <c r="CK970" s="2">
        <v>21</v>
      </c>
      <c r="CL970" s="2" t="s">
        <v>88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"FES1162506196"</f>
        <v>FES1162506196</v>
      </c>
      <c r="F971" s="3">
        <v>42655</v>
      </c>
      <c r="G971" s="2">
        <v>201704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148</v>
      </c>
      <c r="M971" s="2" t="s">
        <v>149</v>
      </c>
      <c r="N971" s="2" t="s">
        <v>432</v>
      </c>
      <c r="O971" s="2" t="s">
        <v>96</v>
      </c>
      <c r="P971" s="2" t="str">
        <f>"2170528695                    "</f>
        <v xml:space="preserve">2170528695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3.32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0.5</v>
      </c>
      <c r="BJ971" s="2">
        <v>1.5</v>
      </c>
      <c r="BK971" s="2">
        <v>1.5</v>
      </c>
      <c r="BL971" s="2">
        <v>40.76</v>
      </c>
      <c r="BM971" s="2">
        <v>5.71</v>
      </c>
      <c r="BN971" s="2">
        <v>46.47</v>
      </c>
      <c r="BO971" s="2">
        <v>46.47</v>
      </c>
      <c r="BP971" s="2"/>
      <c r="BQ971" s="2" t="s">
        <v>91</v>
      </c>
      <c r="BR971" s="2" t="s">
        <v>83</v>
      </c>
      <c r="BS971" s="3">
        <v>42656</v>
      </c>
      <c r="BT971" s="4">
        <v>0.4375</v>
      </c>
      <c r="BU971" s="2" t="s">
        <v>1388</v>
      </c>
      <c r="BV971" s="2" t="s">
        <v>85</v>
      </c>
      <c r="BW971" s="2"/>
      <c r="BX971" s="2"/>
      <c r="BY971" s="2">
        <v>7349.24</v>
      </c>
      <c r="BZ971" s="2" t="s">
        <v>27</v>
      </c>
      <c r="CA971" s="2" t="s">
        <v>129</v>
      </c>
      <c r="CB971" s="2"/>
      <c r="CC971" s="2" t="s">
        <v>149</v>
      </c>
      <c r="CD971" s="2">
        <v>4052</v>
      </c>
      <c r="CE971" s="2" t="s">
        <v>108</v>
      </c>
      <c r="CF971" s="5">
        <v>42657</v>
      </c>
      <c r="CG971" s="2"/>
      <c r="CH971" s="2"/>
      <c r="CI971" s="2">
        <v>1</v>
      </c>
      <c r="CJ971" s="2">
        <v>1</v>
      </c>
      <c r="CK971" s="2">
        <v>21</v>
      </c>
      <c r="CL971" s="2" t="s">
        <v>88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"FES1162506023"</f>
        <v>FES1162506023</v>
      </c>
      <c r="F972" s="3">
        <v>42655</v>
      </c>
      <c r="G972" s="2">
        <v>201704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160</v>
      </c>
      <c r="M972" s="2" t="s">
        <v>161</v>
      </c>
      <c r="N972" s="2" t="s">
        <v>452</v>
      </c>
      <c r="O972" s="2" t="s">
        <v>96</v>
      </c>
      <c r="P972" s="2" t="str">
        <f>"2170526580                    "</f>
        <v xml:space="preserve">2170526580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3.32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40.76</v>
      </c>
      <c r="BM972" s="2">
        <v>5.71</v>
      </c>
      <c r="BN972" s="2">
        <v>46.47</v>
      </c>
      <c r="BO972" s="2">
        <v>46.47</v>
      </c>
      <c r="BP972" s="2"/>
      <c r="BQ972" s="2" t="s">
        <v>453</v>
      </c>
      <c r="BR972" s="2" t="s">
        <v>83</v>
      </c>
      <c r="BS972" s="3">
        <v>42656</v>
      </c>
      <c r="BT972" s="4">
        <v>0.41319444444444442</v>
      </c>
      <c r="BU972" s="2" t="s">
        <v>1389</v>
      </c>
      <c r="BV972" s="2" t="s">
        <v>85</v>
      </c>
      <c r="BW972" s="2"/>
      <c r="BX972" s="2"/>
      <c r="BY972" s="2">
        <v>1200</v>
      </c>
      <c r="BZ972" s="2" t="s">
        <v>27</v>
      </c>
      <c r="CA972" s="2"/>
      <c r="CB972" s="2"/>
      <c r="CC972" s="2" t="s">
        <v>161</v>
      </c>
      <c r="CD972" s="2">
        <v>7530</v>
      </c>
      <c r="CE972" s="2" t="s">
        <v>108</v>
      </c>
      <c r="CF972" s="5">
        <v>42656</v>
      </c>
      <c r="CG972" s="2"/>
      <c r="CH972" s="2"/>
      <c r="CI972" s="2">
        <v>1</v>
      </c>
      <c r="CJ972" s="2">
        <v>1</v>
      </c>
      <c r="CK972" s="2">
        <v>21</v>
      </c>
      <c r="CL972" s="2" t="s">
        <v>88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"FES1162506163"</f>
        <v>FES1162506163</v>
      </c>
      <c r="F973" s="3">
        <v>42655</v>
      </c>
      <c r="G973" s="2">
        <v>201704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160</v>
      </c>
      <c r="M973" s="2" t="s">
        <v>161</v>
      </c>
      <c r="N973" s="2" t="s">
        <v>227</v>
      </c>
      <c r="O973" s="2" t="s">
        <v>96</v>
      </c>
      <c r="P973" s="2" t="str">
        <f>"2170529684                    "</f>
        <v xml:space="preserve">2170529684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3.32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</v>
      </c>
      <c r="BJ973" s="2">
        <v>0.2</v>
      </c>
      <c r="BK973" s="2">
        <v>1</v>
      </c>
      <c r="BL973" s="2">
        <v>40.76</v>
      </c>
      <c r="BM973" s="2">
        <v>5.71</v>
      </c>
      <c r="BN973" s="2">
        <v>46.47</v>
      </c>
      <c r="BO973" s="2">
        <v>46.47</v>
      </c>
      <c r="BP973" s="2"/>
      <c r="BQ973" s="2" t="s">
        <v>91</v>
      </c>
      <c r="BR973" s="2" t="s">
        <v>83</v>
      </c>
      <c r="BS973" s="3">
        <v>42656</v>
      </c>
      <c r="BT973" s="4">
        <v>0.41666666666666669</v>
      </c>
      <c r="BU973" s="2" t="s">
        <v>228</v>
      </c>
      <c r="BV973" s="2" t="s">
        <v>85</v>
      </c>
      <c r="BW973" s="2"/>
      <c r="BX973" s="2"/>
      <c r="BY973" s="2">
        <v>1200</v>
      </c>
      <c r="BZ973" s="2" t="s">
        <v>27</v>
      </c>
      <c r="CA973" s="2"/>
      <c r="CB973" s="2"/>
      <c r="CC973" s="2" t="s">
        <v>161</v>
      </c>
      <c r="CD973" s="2">
        <v>7460</v>
      </c>
      <c r="CE973" s="2" t="s">
        <v>108</v>
      </c>
      <c r="CF973" s="5">
        <v>42657</v>
      </c>
      <c r="CG973" s="2"/>
      <c r="CH973" s="2"/>
      <c r="CI973" s="2">
        <v>1</v>
      </c>
      <c r="CJ973" s="2">
        <v>1</v>
      </c>
      <c r="CK973" s="2">
        <v>21</v>
      </c>
      <c r="CL973" s="2" t="s">
        <v>88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"FES1162506111"</f>
        <v>FES1162506111</v>
      </c>
      <c r="F974" s="3">
        <v>42655</v>
      </c>
      <c r="G974" s="2">
        <v>201704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207</v>
      </c>
      <c r="M974" s="2" t="s">
        <v>208</v>
      </c>
      <c r="N974" s="2" t="s">
        <v>209</v>
      </c>
      <c r="O974" s="2" t="s">
        <v>96</v>
      </c>
      <c r="P974" s="2" t="str">
        <f>"2170529623                    "</f>
        <v xml:space="preserve">2170529623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3.32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40.76</v>
      </c>
      <c r="BM974" s="2">
        <v>5.71</v>
      </c>
      <c r="BN974" s="2">
        <v>46.47</v>
      </c>
      <c r="BO974" s="2">
        <v>46.47</v>
      </c>
      <c r="BP974" s="2"/>
      <c r="BQ974" s="2" t="s">
        <v>82</v>
      </c>
      <c r="BR974" s="2" t="s">
        <v>83</v>
      </c>
      <c r="BS974" s="3">
        <v>42656</v>
      </c>
      <c r="BT974" s="4">
        <v>0.4375</v>
      </c>
      <c r="BU974" s="2" t="s">
        <v>1390</v>
      </c>
      <c r="BV974" s="2" t="s">
        <v>85</v>
      </c>
      <c r="BW974" s="2"/>
      <c r="BX974" s="2"/>
      <c r="BY974" s="2">
        <v>1200</v>
      </c>
      <c r="BZ974" s="2" t="s">
        <v>27</v>
      </c>
      <c r="CA974" s="2" t="s">
        <v>129</v>
      </c>
      <c r="CB974" s="2"/>
      <c r="CC974" s="2" t="s">
        <v>208</v>
      </c>
      <c r="CD974" s="2">
        <v>4133</v>
      </c>
      <c r="CE974" s="2" t="s">
        <v>108</v>
      </c>
      <c r="CF974" s="5">
        <v>42657</v>
      </c>
      <c r="CG974" s="2"/>
      <c r="CH974" s="2"/>
      <c r="CI974" s="2">
        <v>1</v>
      </c>
      <c r="CJ974" s="2">
        <v>1</v>
      </c>
      <c r="CK974" s="2">
        <v>21</v>
      </c>
      <c r="CL974" s="2" t="s">
        <v>88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"FES1162506067"</f>
        <v>FES1162506067</v>
      </c>
      <c r="F975" s="3">
        <v>42655</v>
      </c>
      <c r="G975" s="2">
        <v>201704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137</v>
      </c>
      <c r="M975" s="2" t="s">
        <v>138</v>
      </c>
      <c r="N975" s="2" t="s">
        <v>203</v>
      </c>
      <c r="O975" s="2" t="s">
        <v>96</v>
      </c>
      <c r="P975" s="2" t="str">
        <f>"2170528271                    "</f>
        <v xml:space="preserve">2170528271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3.32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40.76</v>
      </c>
      <c r="BM975" s="2">
        <v>5.71</v>
      </c>
      <c r="BN975" s="2">
        <v>46.47</v>
      </c>
      <c r="BO975" s="2">
        <v>46.47</v>
      </c>
      <c r="BP975" s="2"/>
      <c r="BQ975" s="2" t="s">
        <v>168</v>
      </c>
      <c r="BR975" s="2" t="s">
        <v>83</v>
      </c>
      <c r="BS975" s="3">
        <v>42656</v>
      </c>
      <c r="BT975" s="4">
        <v>0.40138888888888885</v>
      </c>
      <c r="BU975" s="2" t="s">
        <v>204</v>
      </c>
      <c r="BV975" s="2"/>
      <c r="BW975" s="2"/>
      <c r="BX975" s="2"/>
      <c r="BY975" s="2">
        <v>1200</v>
      </c>
      <c r="BZ975" s="2" t="s">
        <v>27</v>
      </c>
      <c r="CA975" s="2" t="s">
        <v>205</v>
      </c>
      <c r="CB975" s="2"/>
      <c r="CC975" s="2" t="s">
        <v>138</v>
      </c>
      <c r="CD975" s="2">
        <v>3201</v>
      </c>
      <c r="CE975" s="2" t="s">
        <v>108</v>
      </c>
      <c r="CF975" s="5">
        <v>42656</v>
      </c>
      <c r="CG975" s="2"/>
      <c r="CH975" s="2"/>
      <c r="CI975" s="2">
        <v>0</v>
      </c>
      <c r="CJ975" s="2">
        <v>0</v>
      </c>
      <c r="CK975" s="2">
        <v>21</v>
      </c>
      <c r="CL975" s="2" t="s">
        <v>88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"FES1162506143"</f>
        <v>FES1162506143</v>
      </c>
      <c r="F976" s="3">
        <v>42655</v>
      </c>
      <c r="G976" s="2">
        <v>201704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269</v>
      </c>
      <c r="M976" s="2" t="s">
        <v>270</v>
      </c>
      <c r="N976" s="2" t="s">
        <v>1245</v>
      </c>
      <c r="O976" s="2" t="s">
        <v>96</v>
      </c>
      <c r="P976" s="2" t="str">
        <f>"2170529661                    "</f>
        <v xml:space="preserve">2170529661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19.899999999999999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2</v>
      </c>
      <c r="BI976" s="2">
        <v>11.8</v>
      </c>
      <c r="BJ976" s="2">
        <v>7.4</v>
      </c>
      <c r="BK976" s="2">
        <v>12</v>
      </c>
      <c r="BL976" s="2">
        <v>244.54</v>
      </c>
      <c r="BM976" s="2">
        <v>34.24</v>
      </c>
      <c r="BN976" s="2">
        <v>278.77999999999997</v>
      </c>
      <c r="BO976" s="2">
        <v>278.77999999999997</v>
      </c>
      <c r="BP976" s="2"/>
      <c r="BQ976" s="2"/>
      <c r="BR976" s="2" t="s">
        <v>83</v>
      </c>
      <c r="BS976" s="3">
        <v>42656</v>
      </c>
      <c r="BT976" s="4">
        <v>0.54166666666666663</v>
      </c>
      <c r="BU976" s="2" t="s">
        <v>1391</v>
      </c>
      <c r="BV976" s="2" t="s">
        <v>85</v>
      </c>
      <c r="BW976" s="2"/>
      <c r="BX976" s="2"/>
      <c r="BY976" s="2">
        <v>36982.25</v>
      </c>
      <c r="BZ976" s="2" t="s">
        <v>27</v>
      </c>
      <c r="CA976" s="2"/>
      <c r="CB976" s="2"/>
      <c r="CC976" s="2" t="s">
        <v>270</v>
      </c>
      <c r="CD976" s="2">
        <v>4037</v>
      </c>
      <c r="CE976" s="2" t="s">
        <v>86</v>
      </c>
      <c r="CF976" s="5">
        <v>42657</v>
      </c>
      <c r="CG976" s="2"/>
      <c r="CH976" s="2"/>
      <c r="CI976" s="2">
        <v>1</v>
      </c>
      <c r="CJ976" s="2">
        <v>1</v>
      </c>
      <c r="CK976" s="2">
        <v>21</v>
      </c>
      <c r="CL976" s="2" t="s">
        <v>88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"FES1162506107"</f>
        <v>FES1162506107</v>
      </c>
      <c r="F977" s="3">
        <v>42655</v>
      </c>
      <c r="G977" s="2">
        <v>201704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143</v>
      </c>
      <c r="M977" s="2" t="s">
        <v>144</v>
      </c>
      <c r="N977" s="2" t="s">
        <v>216</v>
      </c>
      <c r="O977" s="2" t="s">
        <v>96</v>
      </c>
      <c r="P977" s="2" t="str">
        <f>"2170529618                    "</f>
        <v xml:space="preserve">2170529618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3.32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1</v>
      </c>
      <c r="BJ977" s="2">
        <v>0.2</v>
      </c>
      <c r="BK977" s="2">
        <v>1</v>
      </c>
      <c r="BL977" s="2">
        <v>40.76</v>
      </c>
      <c r="BM977" s="2">
        <v>5.71</v>
      </c>
      <c r="BN977" s="2">
        <v>46.47</v>
      </c>
      <c r="BO977" s="2">
        <v>46.47</v>
      </c>
      <c r="BP977" s="2"/>
      <c r="BQ977" s="2" t="s">
        <v>91</v>
      </c>
      <c r="BR977" s="2" t="s">
        <v>83</v>
      </c>
      <c r="BS977" s="3">
        <v>42656</v>
      </c>
      <c r="BT977" s="4">
        <v>0.41666666666666669</v>
      </c>
      <c r="BU977" s="2" t="s">
        <v>1392</v>
      </c>
      <c r="BV977" s="2" t="s">
        <v>85</v>
      </c>
      <c r="BW977" s="2"/>
      <c r="BX977" s="2"/>
      <c r="BY977" s="2">
        <v>1200</v>
      </c>
      <c r="BZ977" s="2" t="s">
        <v>27</v>
      </c>
      <c r="CA977" s="2"/>
      <c r="CB977" s="2"/>
      <c r="CC977" s="2" t="s">
        <v>144</v>
      </c>
      <c r="CD977" s="2">
        <v>5201</v>
      </c>
      <c r="CE977" s="2" t="s">
        <v>108</v>
      </c>
      <c r="CF977" s="5">
        <v>42660</v>
      </c>
      <c r="CG977" s="2"/>
      <c r="CH977" s="2"/>
      <c r="CI977" s="2">
        <v>1</v>
      </c>
      <c r="CJ977" s="2">
        <v>1</v>
      </c>
      <c r="CK977" s="2">
        <v>21</v>
      </c>
      <c r="CL977" s="2" t="s">
        <v>88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"FES1162506012"</f>
        <v>FES1162506012</v>
      </c>
      <c r="F978" s="3">
        <v>42655</v>
      </c>
      <c r="G978" s="2">
        <v>201704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137</v>
      </c>
      <c r="M978" s="2" t="s">
        <v>138</v>
      </c>
      <c r="N978" s="2" t="s">
        <v>420</v>
      </c>
      <c r="O978" s="2" t="s">
        <v>96</v>
      </c>
      <c r="P978" s="2" t="str">
        <f>"2170526211                    "</f>
        <v xml:space="preserve">2170526211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3.32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1</v>
      </c>
      <c r="BJ978" s="2">
        <v>0.2</v>
      </c>
      <c r="BK978" s="2">
        <v>1</v>
      </c>
      <c r="BL978" s="2">
        <v>40.76</v>
      </c>
      <c r="BM978" s="2">
        <v>5.71</v>
      </c>
      <c r="BN978" s="2">
        <v>46.47</v>
      </c>
      <c r="BO978" s="2">
        <v>46.47</v>
      </c>
      <c r="BP978" s="2"/>
      <c r="BQ978" s="2" t="s">
        <v>117</v>
      </c>
      <c r="BR978" s="2" t="s">
        <v>83</v>
      </c>
      <c r="BS978" s="3">
        <v>42656</v>
      </c>
      <c r="BT978" s="4">
        <v>0.37916666666666665</v>
      </c>
      <c r="BU978" s="2" t="s">
        <v>1393</v>
      </c>
      <c r="BV978" s="2" t="s">
        <v>85</v>
      </c>
      <c r="BW978" s="2"/>
      <c r="BX978" s="2"/>
      <c r="BY978" s="2">
        <v>1200</v>
      </c>
      <c r="BZ978" s="2" t="s">
        <v>27</v>
      </c>
      <c r="CA978" s="2" t="s">
        <v>205</v>
      </c>
      <c r="CB978" s="2"/>
      <c r="CC978" s="2" t="s">
        <v>138</v>
      </c>
      <c r="CD978" s="2">
        <v>3201</v>
      </c>
      <c r="CE978" s="2" t="s">
        <v>108</v>
      </c>
      <c r="CF978" s="5">
        <v>42656</v>
      </c>
      <c r="CG978" s="2"/>
      <c r="CH978" s="2"/>
      <c r="CI978" s="2">
        <v>1</v>
      </c>
      <c r="CJ978" s="2">
        <v>1</v>
      </c>
      <c r="CK978" s="2">
        <v>21</v>
      </c>
      <c r="CL978" s="2" t="s">
        <v>88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"FES1162506202"</f>
        <v>FES1162506202</v>
      </c>
      <c r="F979" s="3">
        <v>42655</v>
      </c>
      <c r="G979" s="2">
        <v>201704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323</v>
      </c>
      <c r="M979" s="2" t="s">
        <v>324</v>
      </c>
      <c r="N979" s="2" t="s">
        <v>325</v>
      </c>
      <c r="O979" s="2" t="s">
        <v>96</v>
      </c>
      <c r="P979" s="2" t="str">
        <f>"2170529733                    "</f>
        <v xml:space="preserve">2170529733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3.32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1.4</v>
      </c>
      <c r="BJ979" s="2">
        <v>0.2</v>
      </c>
      <c r="BK979" s="2">
        <v>1.5</v>
      </c>
      <c r="BL979" s="2">
        <v>40.76</v>
      </c>
      <c r="BM979" s="2">
        <v>5.71</v>
      </c>
      <c r="BN979" s="2">
        <v>46.47</v>
      </c>
      <c r="BO979" s="2">
        <v>46.47</v>
      </c>
      <c r="BP979" s="2"/>
      <c r="BQ979" s="2" t="s">
        <v>117</v>
      </c>
      <c r="BR979" s="2" t="s">
        <v>83</v>
      </c>
      <c r="BS979" s="3">
        <v>42656</v>
      </c>
      <c r="BT979" s="4">
        <v>0.375</v>
      </c>
      <c r="BU979" s="2" t="s">
        <v>1385</v>
      </c>
      <c r="BV979" s="2"/>
      <c r="BW979" s="2"/>
      <c r="BX979" s="2"/>
      <c r="BY979" s="2">
        <v>1200</v>
      </c>
      <c r="BZ979" s="2" t="s">
        <v>27</v>
      </c>
      <c r="CA979" s="2" t="s">
        <v>1215</v>
      </c>
      <c r="CB979" s="2"/>
      <c r="CC979" s="2" t="s">
        <v>324</v>
      </c>
      <c r="CD979" s="2">
        <v>9301</v>
      </c>
      <c r="CE979" s="2" t="s">
        <v>108</v>
      </c>
      <c r="CF979" s="5">
        <v>42656</v>
      </c>
      <c r="CG979" s="2"/>
      <c r="CH979" s="2"/>
      <c r="CI979" s="2">
        <v>0</v>
      </c>
      <c r="CJ979" s="2">
        <v>0</v>
      </c>
      <c r="CK979" s="2">
        <v>21</v>
      </c>
      <c r="CL979" s="2" t="s">
        <v>88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"FES1162505493"</f>
        <v>FES1162505493</v>
      </c>
      <c r="F980" s="3">
        <v>42655</v>
      </c>
      <c r="G980" s="2">
        <v>201704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698</v>
      </c>
      <c r="M980" s="2" t="s">
        <v>699</v>
      </c>
      <c r="N980" s="2" t="s">
        <v>1290</v>
      </c>
      <c r="O980" s="2" t="s">
        <v>96</v>
      </c>
      <c r="P980" s="2" t="str">
        <f>"2170529144                    "</f>
        <v xml:space="preserve">2170529144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4.66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1.1000000000000001</v>
      </c>
      <c r="BJ980" s="2">
        <v>1.9</v>
      </c>
      <c r="BK980" s="2">
        <v>2</v>
      </c>
      <c r="BL980" s="2">
        <v>57.31</v>
      </c>
      <c r="BM980" s="2">
        <v>8.02</v>
      </c>
      <c r="BN980" s="2">
        <v>65.33</v>
      </c>
      <c r="BO980" s="2">
        <v>65.33</v>
      </c>
      <c r="BP980" s="2"/>
      <c r="BQ980" s="2" t="s">
        <v>91</v>
      </c>
      <c r="BR980" s="2" t="s">
        <v>83</v>
      </c>
      <c r="BS980" s="3">
        <v>42656</v>
      </c>
      <c r="BT980" s="4">
        <v>0.65694444444444444</v>
      </c>
      <c r="BU980" s="2" t="s">
        <v>1394</v>
      </c>
      <c r="BV980" s="2" t="s">
        <v>85</v>
      </c>
      <c r="BW980" s="2"/>
      <c r="BX980" s="2"/>
      <c r="BY980" s="2">
        <v>9394.74</v>
      </c>
      <c r="BZ980" s="2" t="s">
        <v>27</v>
      </c>
      <c r="CA980" s="2"/>
      <c r="CB980" s="2"/>
      <c r="CC980" s="2" t="s">
        <v>699</v>
      </c>
      <c r="CD980" s="2">
        <v>1759</v>
      </c>
      <c r="CE980" s="2" t="s">
        <v>108</v>
      </c>
      <c r="CF980" s="5">
        <v>42657</v>
      </c>
      <c r="CG980" s="2"/>
      <c r="CH980" s="2"/>
      <c r="CI980" s="2">
        <v>1</v>
      </c>
      <c r="CJ980" s="2">
        <v>1</v>
      </c>
      <c r="CK980" s="2">
        <v>24</v>
      </c>
      <c r="CL980" s="2" t="s">
        <v>88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"FES1162506151"</f>
        <v>FES1162506151</v>
      </c>
      <c r="F981" s="3">
        <v>42655</v>
      </c>
      <c r="G981" s="2">
        <v>201704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269</v>
      </c>
      <c r="M981" s="2" t="s">
        <v>270</v>
      </c>
      <c r="N981" s="2" t="s">
        <v>778</v>
      </c>
      <c r="O981" s="2" t="s">
        <v>96</v>
      </c>
      <c r="P981" s="2" t="str">
        <f>"2170529671                    "</f>
        <v xml:space="preserve">2170529671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3.32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40.76</v>
      </c>
      <c r="BM981" s="2">
        <v>5.71</v>
      </c>
      <c r="BN981" s="2">
        <v>46.47</v>
      </c>
      <c r="BO981" s="2">
        <v>46.47</v>
      </c>
      <c r="BP981" s="2"/>
      <c r="BQ981" s="2" t="s">
        <v>117</v>
      </c>
      <c r="BR981" s="2" t="s">
        <v>83</v>
      </c>
      <c r="BS981" s="3">
        <v>42656</v>
      </c>
      <c r="BT981" s="4">
        <v>0.4375</v>
      </c>
      <c r="BU981" s="2" t="s">
        <v>1248</v>
      </c>
      <c r="BV981" s="2" t="s">
        <v>85</v>
      </c>
      <c r="BW981" s="2"/>
      <c r="BX981" s="2"/>
      <c r="BY981" s="2">
        <v>1200</v>
      </c>
      <c r="BZ981" s="2" t="s">
        <v>27</v>
      </c>
      <c r="CA981" s="2" t="s">
        <v>129</v>
      </c>
      <c r="CB981" s="2"/>
      <c r="CC981" s="2" t="s">
        <v>270</v>
      </c>
      <c r="CD981" s="2">
        <v>3600</v>
      </c>
      <c r="CE981" s="2" t="s">
        <v>108</v>
      </c>
      <c r="CF981" s="5">
        <v>42657</v>
      </c>
      <c r="CG981" s="2"/>
      <c r="CH981" s="2"/>
      <c r="CI981" s="2">
        <v>1</v>
      </c>
      <c r="CJ981" s="2">
        <v>1</v>
      </c>
      <c r="CK981" s="2">
        <v>21</v>
      </c>
      <c r="CL981" s="2" t="s">
        <v>88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"FES1162506165"</f>
        <v>FES1162506165</v>
      </c>
      <c r="F982" s="3">
        <v>42655</v>
      </c>
      <c r="G982" s="2">
        <v>201704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148</v>
      </c>
      <c r="M982" s="2" t="s">
        <v>149</v>
      </c>
      <c r="N982" s="2" t="s">
        <v>265</v>
      </c>
      <c r="O982" s="2" t="s">
        <v>96</v>
      </c>
      <c r="P982" s="2" t="str">
        <f>"2170529688                    "</f>
        <v xml:space="preserve">2170529688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3.32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40.76</v>
      </c>
      <c r="BM982" s="2">
        <v>5.71</v>
      </c>
      <c r="BN982" s="2">
        <v>46.47</v>
      </c>
      <c r="BO982" s="2">
        <v>46.47</v>
      </c>
      <c r="BP982" s="2"/>
      <c r="BQ982" s="2" t="s">
        <v>91</v>
      </c>
      <c r="BR982" s="2" t="s">
        <v>83</v>
      </c>
      <c r="BS982" s="3">
        <v>42656</v>
      </c>
      <c r="BT982" s="4">
        <v>0.4375</v>
      </c>
      <c r="BU982" s="2" t="s">
        <v>1395</v>
      </c>
      <c r="BV982" s="2" t="s">
        <v>85</v>
      </c>
      <c r="BW982" s="2"/>
      <c r="BX982" s="2"/>
      <c r="BY982" s="2">
        <v>1200</v>
      </c>
      <c r="BZ982" s="2" t="s">
        <v>27</v>
      </c>
      <c r="CA982" s="2"/>
      <c r="CB982" s="2"/>
      <c r="CC982" s="2" t="s">
        <v>149</v>
      </c>
      <c r="CD982" s="2">
        <v>4052</v>
      </c>
      <c r="CE982" s="2" t="s">
        <v>108</v>
      </c>
      <c r="CF982" s="5">
        <v>42657</v>
      </c>
      <c r="CG982" s="2"/>
      <c r="CH982" s="2"/>
      <c r="CI982" s="2">
        <v>1</v>
      </c>
      <c r="CJ982" s="2">
        <v>1</v>
      </c>
      <c r="CK982" s="2">
        <v>21</v>
      </c>
      <c r="CL982" s="2" t="s">
        <v>88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"FES1162506205"</f>
        <v>FES1162506205</v>
      </c>
      <c r="F983" s="3">
        <v>42655</v>
      </c>
      <c r="G983" s="2">
        <v>201704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119</v>
      </c>
      <c r="M983" s="2" t="s">
        <v>120</v>
      </c>
      <c r="N983" s="2" t="s">
        <v>186</v>
      </c>
      <c r="O983" s="2" t="s">
        <v>96</v>
      </c>
      <c r="P983" s="2" t="str">
        <f>"2170529736                    "</f>
        <v xml:space="preserve">2170529736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3.32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1</v>
      </c>
      <c r="BJ983" s="2">
        <v>0.2</v>
      </c>
      <c r="BK983" s="2">
        <v>1</v>
      </c>
      <c r="BL983" s="2">
        <v>40.76</v>
      </c>
      <c r="BM983" s="2">
        <v>5.71</v>
      </c>
      <c r="BN983" s="2">
        <v>46.47</v>
      </c>
      <c r="BO983" s="2">
        <v>46.47</v>
      </c>
      <c r="BP983" s="2"/>
      <c r="BQ983" s="2" t="s">
        <v>187</v>
      </c>
      <c r="BR983" s="2" t="s">
        <v>83</v>
      </c>
      <c r="BS983" s="3">
        <v>42656</v>
      </c>
      <c r="BT983" s="4">
        <v>0.31944444444444448</v>
      </c>
      <c r="BU983" s="2" t="s">
        <v>1396</v>
      </c>
      <c r="BV983" s="2" t="s">
        <v>85</v>
      </c>
      <c r="BW983" s="2"/>
      <c r="BX983" s="2"/>
      <c r="BY983" s="2">
        <v>1200</v>
      </c>
      <c r="BZ983" s="2" t="s">
        <v>27</v>
      </c>
      <c r="CA983" s="2"/>
      <c r="CB983" s="2"/>
      <c r="CC983" s="2" t="s">
        <v>120</v>
      </c>
      <c r="CD983" s="2">
        <v>6229</v>
      </c>
      <c r="CE983" s="2" t="s">
        <v>108</v>
      </c>
      <c r="CF983" s="5">
        <v>42657</v>
      </c>
      <c r="CG983" s="2"/>
      <c r="CH983" s="2"/>
      <c r="CI983" s="2">
        <v>1</v>
      </c>
      <c r="CJ983" s="2">
        <v>1</v>
      </c>
      <c r="CK983" s="2">
        <v>21</v>
      </c>
      <c r="CL983" s="2" t="s">
        <v>88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"FES1162506101"</f>
        <v>FES1162506101</v>
      </c>
      <c r="F984" s="3">
        <v>42655</v>
      </c>
      <c r="G984" s="2">
        <v>201704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78</v>
      </c>
      <c r="M984" s="2" t="s">
        <v>79</v>
      </c>
      <c r="N984" s="2" t="s">
        <v>1397</v>
      </c>
      <c r="O984" s="2" t="s">
        <v>96</v>
      </c>
      <c r="P984" s="2" t="str">
        <f>"2170529239                    "</f>
        <v xml:space="preserve">2170529239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3.32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1</v>
      </c>
      <c r="BJ984" s="2">
        <v>0.2</v>
      </c>
      <c r="BK984" s="2">
        <v>1</v>
      </c>
      <c r="BL984" s="2">
        <v>40.76</v>
      </c>
      <c r="BM984" s="2">
        <v>5.71</v>
      </c>
      <c r="BN984" s="2">
        <v>46.47</v>
      </c>
      <c r="BO984" s="2">
        <v>46.47</v>
      </c>
      <c r="BP984" s="2"/>
      <c r="BQ984" s="2" t="s">
        <v>1398</v>
      </c>
      <c r="BR984" s="2" t="s">
        <v>83</v>
      </c>
      <c r="BS984" s="3">
        <v>42656</v>
      </c>
      <c r="BT984" s="4">
        <v>0.41666666666666669</v>
      </c>
      <c r="BU984" s="2" t="s">
        <v>1399</v>
      </c>
      <c r="BV984" s="2" t="s">
        <v>85</v>
      </c>
      <c r="BW984" s="2"/>
      <c r="BX984" s="2"/>
      <c r="BY984" s="2">
        <v>1200</v>
      </c>
      <c r="BZ984" s="2" t="s">
        <v>27</v>
      </c>
      <c r="CA984" s="2"/>
      <c r="CB984" s="2"/>
      <c r="CC984" s="2" t="s">
        <v>79</v>
      </c>
      <c r="CD984" s="2">
        <v>1939</v>
      </c>
      <c r="CE984" s="2" t="s">
        <v>108</v>
      </c>
      <c r="CF984" s="5">
        <v>42660</v>
      </c>
      <c r="CG984" s="2"/>
      <c r="CH984" s="2"/>
      <c r="CI984" s="2">
        <v>1</v>
      </c>
      <c r="CJ984" s="2">
        <v>1</v>
      </c>
      <c r="CK984" s="2">
        <v>21</v>
      </c>
      <c r="CL984" s="2" t="s">
        <v>88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"FES1162506047"</f>
        <v>FES1162506047</v>
      </c>
      <c r="F985" s="3">
        <v>42655</v>
      </c>
      <c r="G985" s="2">
        <v>201704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160</v>
      </c>
      <c r="M985" s="2" t="s">
        <v>161</v>
      </c>
      <c r="N985" s="2" t="s">
        <v>622</v>
      </c>
      <c r="O985" s="2" t="s">
        <v>96</v>
      </c>
      <c r="P985" s="2" t="str">
        <f>"2170527427                    "</f>
        <v xml:space="preserve">2170527427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3.32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1</v>
      </c>
      <c r="BJ985" s="2">
        <v>0.2</v>
      </c>
      <c r="BK985" s="2">
        <v>1</v>
      </c>
      <c r="BL985" s="2">
        <v>40.76</v>
      </c>
      <c r="BM985" s="2">
        <v>5.71</v>
      </c>
      <c r="BN985" s="2">
        <v>46.47</v>
      </c>
      <c r="BO985" s="2">
        <v>46.47</v>
      </c>
      <c r="BP985" s="2"/>
      <c r="BQ985" s="2" t="s">
        <v>623</v>
      </c>
      <c r="BR985" s="2" t="s">
        <v>83</v>
      </c>
      <c r="BS985" s="3">
        <v>42656</v>
      </c>
      <c r="BT985" s="4">
        <v>0.43333333333333335</v>
      </c>
      <c r="BU985" s="2" t="s">
        <v>624</v>
      </c>
      <c r="BV985" s="2" t="s">
        <v>85</v>
      </c>
      <c r="BW985" s="2"/>
      <c r="BX985" s="2"/>
      <c r="BY985" s="2">
        <v>1200</v>
      </c>
      <c r="BZ985" s="2" t="s">
        <v>27</v>
      </c>
      <c r="CA985" s="2"/>
      <c r="CB985" s="2"/>
      <c r="CC985" s="2" t="s">
        <v>161</v>
      </c>
      <c r="CD985" s="2">
        <v>7490</v>
      </c>
      <c r="CE985" s="2" t="s">
        <v>108</v>
      </c>
      <c r="CF985" s="5">
        <v>42657</v>
      </c>
      <c r="CG985" s="2"/>
      <c r="CH985" s="2"/>
      <c r="CI985" s="2">
        <v>1</v>
      </c>
      <c r="CJ985" s="2">
        <v>1</v>
      </c>
      <c r="CK985" s="2">
        <v>21</v>
      </c>
      <c r="CL985" s="2" t="s">
        <v>88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"FES1162506056"</f>
        <v>FES1162506056</v>
      </c>
      <c r="F986" s="3">
        <v>42655</v>
      </c>
      <c r="G986" s="2">
        <v>201704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148</v>
      </c>
      <c r="M986" s="2" t="s">
        <v>149</v>
      </c>
      <c r="N986" s="2" t="s">
        <v>726</v>
      </c>
      <c r="O986" s="2" t="s">
        <v>96</v>
      </c>
      <c r="P986" s="2" t="str">
        <f>"2170527591                    "</f>
        <v xml:space="preserve">2170527591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3.32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1</v>
      </c>
      <c r="BJ986" s="2">
        <v>0.2</v>
      </c>
      <c r="BK986" s="2">
        <v>1</v>
      </c>
      <c r="BL986" s="2">
        <v>40.76</v>
      </c>
      <c r="BM986" s="2">
        <v>5.71</v>
      </c>
      <c r="BN986" s="2">
        <v>46.47</v>
      </c>
      <c r="BO986" s="2">
        <v>46.47</v>
      </c>
      <c r="BP986" s="2"/>
      <c r="BQ986" s="2" t="s">
        <v>117</v>
      </c>
      <c r="BR986" s="2" t="s">
        <v>83</v>
      </c>
      <c r="BS986" s="3">
        <v>42656</v>
      </c>
      <c r="BT986" s="4">
        <v>0.4375</v>
      </c>
      <c r="BU986" s="2" t="s">
        <v>1387</v>
      </c>
      <c r="BV986" s="2" t="s">
        <v>85</v>
      </c>
      <c r="BW986" s="2"/>
      <c r="BX986" s="2"/>
      <c r="BY986" s="2">
        <v>1200</v>
      </c>
      <c r="BZ986" s="2" t="s">
        <v>27</v>
      </c>
      <c r="CA986" s="2"/>
      <c r="CB986" s="2"/>
      <c r="CC986" s="2" t="s">
        <v>149</v>
      </c>
      <c r="CD986" s="2">
        <v>4070</v>
      </c>
      <c r="CE986" s="2" t="s">
        <v>108</v>
      </c>
      <c r="CF986" s="5">
        <v>42657</v>
      </c>
      <c r="CG986" s="2"/>
      <c r="CH986" s="2"/>
      <c r="CI986" s="2">
        <v>1</v>
      </c>
      <c r="CJ986" s="2">
        <v>1</v>
      </c>
      <c r="CK986" s="2">
        <v>21</v>
      </c>
      <c r="CL986" s="2" t="s">
        <v>88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"FES1162506171"</f>
        <v>FES1162506171</v>
      </c>
      <c r="F987" s="3">
        <v>42655</v>
      </c>
      <c r="G987" s="2">
        <v>201704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98</v>
      </c>
      <c r="M987" s="2" t="s">
        <v>99</v>
      </c>
      <c r="N987" s="2" t="s">
        <v>133</v>
      </c>
      <c r="O987" s="2" t="s">
        <v>96</v>
      </c>
      <c r="P987" s="2" t="str">
        <f>"2170529695                    "</f>
        <v xml:space="preserve">2170529695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12.44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7.3</v>
      </c>
      <c r="BJ987" s="2">
        <v>3.3</v>
      </c>
      <c r="BK987" s="2">
        <v>7.5</v>
      </c>
      <c r="BL987" s="2">
        <v>152.84</v>
      </c>
      <c r="BM987" s="2">
        <v>21.4</v>
      </c>
      <c r="BN987" s="2">
        <v>174.24</v>
      </c>
      <c r="BO987" s="2">
        <v>174.24</v>
      </c>
      <c r="BP987" s="2"/>
      <c r="BQ987" s="2" t="s">
        <v>134</v>
      </c>
      <c r="BR987" s="2" t="s">
        <v>83</v>
      </c>
      <c r="BS987" s="3">
        <v>42656</v>
      </c>
      <c r="BT987" s="4">
        <v>0.32291666666666669</v>
      </c>
      <c r="BU987" s="2" t="s">
        <v>562</v>
      </c>
      <c r="BV987" s="2" t="s">
        <v>85</v>
      </c>
      <c r="BW987" s="2"/>
      <c r="BX987" s="2"/>
      <c r="BY987" s="2">
        <v>16576.849999999999</v>
      </c>
      <c r="BZ987" s="2" t="s">
        <v>27</v>
      </c>
      <c r="CA987" s="2" t="s">
        <v>437</v>
      </c>
      <c r="CB987" s="2"/>
      <c r="CC987" s="2" t="s">
        <v>99</v>
      </c>
      <c r="CD987" s="2">
        <v>6001</v>
      </c>
      <c r="CE987" s="2" t="s">
        <v>86</v>
      </c>
      <c r="CF987" s="5">
        <v>42656</v>
      </c>
      <c r="CG987" s="2"/>
      <c r="CH987" s="2"/>
      <c r="CI987" s="2">
        <v>1</v>
      </c>
      <c r="CJ987" s="2">
        <v>1</v>
      </c>
      <c r="CK987" s="2">
        <v>21</v>
      </c>
      <c r="CL987" s="2" t="s">
        <v>88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"FES1162506060"</f>
        <v>FES1162506060</v>
      </c>
      <c r="F988" s="3">
        <v>42655</v>
      </c>
      <c r="G988" s="2">
        <v>201704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156</v>
      </c>
      <c r="M988" s="2" t="s">
        <v>157</v>
      </c>
      <c r="N988" s="2" t="s">
        <v>507</v>
      </c>
      <c r="O988" s="2" t="s">
        <v>96</v>
      </c>
      <c r="P988" s="2" t="str">
        <f>"2170527646                    "</f>
        <v xml:space="preserve">2170527646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3.32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2</v>
      </c>
      <c r="BJ988" s="2">
        <v>0.8</v>
      </c>
      <c r="BK988" s="2">
        <v>2</v>
      </c>
      <c r="BL988" s="2">
        <v>40.76</v>
      </c>
      <c r="BM988" s="2">
        <v>5.71</v>
      </c>
      <c r="BN988" s="2">
        <v>46.47</v>
      </c>
      <c r="BO988" s="2">
        <v>46.47</v>
      </c>
      <c r="BP988" s="2"/>
      <c r="BQ988" s="2" t="s">
        <v>508</v>
      </c>
      <c r="BR988" s="2" t="s">
        <v>83</v>
      </c>
      <c r="BS988" s="3">
        <v>42656</v>
      </c>
      <c r="BT988" s="4">
        <v>0.41666666666666669</v>
      </c>
      <c r="BU988" s="2" t="s">
        <v>926</v>
      </c>
      <c r="BV988" s="2" t="s">
        <v>85</v>
      </c>
      <c r="BW988" s="2"/>
      <c r="BX988" s="2"/>
      <c r="BY988" s="2">
        <v>4200</v>
      </c>
      <c r="BZ988" s="2" t="s">
        <v>27</v>
      </c>
      <c r="CA988" s="2"/>
      <c r="CB988" s="2"/>
      <c r="CC988" s="2" t="s">
        <v>157</v>
      </c>
      <c r="CD988" s="2">
        <v>7130</v>
      </c>
      <c r="CE988" s="2" t="s">
        <v>86</v>
      </c>
      <c r="CF988" s="5">
        <v>42657</v>
      </c>
      <c r="CG988" s="2"/>
      <c r="CH988" s="2"/>
      <c r="CI988" s="2">
        <v>1</v>
      </c>
      <c r="CJ988" s="2">
        <v>1</v>
      </c>
      <c r="CK988" s="2">
        <v>21</v>
      </c>
      <c r="CL988" s="2" t="s">
        <v>88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"FES1162506178"</f>
        <v>FES1162506178</v>
      </c>
      <c r="F989" s="3">
        <v>42655</v>
      </c>
      <c r="G989" s="2">
        <v>201704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143</v>
      </c>
      <c r="M989" s="2" t="s">
        <v>144</v>
      </c>
      <c r="N989" s="2" t="s">
        <v>216</v>
      </c>
      <c r="O989" s="2" t="s">
        <v>96</v>
      </c>
      <c r="P989" s="2" t="str">
        <f>"2170529668                    "</f>
        <v xml:space="preserve">2170529668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51.42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18</v>
      </c>
      <c r="BJ989" s="2">
        <v>30.7</v>
      </c>
      <c r="BK989" s="2">
        <v>31</v>
      </c>
      <c r="BL989" s="2">
        <v>631.74</v>
      </c>
      <c r="BM989" s="2">
        <v>88.44</v>
      </c>
      <c r="BN989" s="2">
        <v>720.18</v>
      </c>
      <c r="BO989" s="2">
        <v>720.18</v>
      </c>
      <c r="BP989" s="2"/>
      <c r="BQ989" s="2" t="s">
        <v>91</v>
      </c>
      <c r="BR989" s="2" t="s">
        <v>83</v>
      </c>
      <c r="BS989" s="3">
        <v>42656</v>
      </c>
      <c r="BT989" s="4">
        <v>0.41666666666666669</v>
      </c>
      <c r="BU989" s="2" t="s">
        <v>1392</v>
      </c>
      <c r="BV989" s="2" t="s">
        <v>85</v>
      </c>
      <c r="BW989" s="2"/>
      <c r="BX989" s="2"/>
      <c r="BY989" s="2">
        <v>153720</v>
      </c>
      <c r="BZ989" s="2" t="s">
        <v>27</v>
      </c>
      <c r="CA989" s="2"/>
      <c r="CB989" s="2"/>
      <c r="CC989" s="2" t="s">
        <v>144</v>
      </c>
      <c r="CD989" s="2">
        <v>5201</v>
      </c>
      <c r="CE989" s="2" t="s">
        <v>86</v>
      </c>
      <c r="CF989" s="5">
        <v>42660</v>
      </c>
      <c r="CG989" s="2"/>
      <c r="CH989" s="2"/>
      <c r="CI989" s="2">
        <v>1</v>
      </c>
      <c r="CJ989" s="2">
        <v>1</v>
      </c>
      <c r="CK989" s="2">
        <v>21</v>
      </c>
      <c r="CL989" s="2" t="s">
        <v>88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"FES1162506155"</f>
        <v>FES1162506155</v>
      </c>
      <c r="F990" s="3">
        <v>42655</v>
      </c>
      <c r="G990" s="2">
        <v>201704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93</v>
      </c>
      <c r="M990" s="2" t="s">
        <v>94</v>
      </c>
      <c r="N990" s="2" t="s">
        <v>130</v>
      </c>
      <c r="O990" s="2" t="s">
        <v>96</v>
      </c>
      <c r="P990" s="2" t="str">
        <f>"2170529675                    "</f>
        <v xml:space="preserve">2170529675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3.32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1.8</v>
      </c>
      <c r="BJ990" s="2">
        <v>1.6</v>
      </c>
      <c r="BK990" s="2">
        <v>2</v>
      </c>
      <c r="BL990" s="2">
        <v>40.76</v>
      </c>
      <c r="BM990" s="2">
        <v>5.71</v>
      </c>
      <c r="BN990" s="2">
        <v>46.47</v>
      </c>
      <c r="BO990" s="2">
        <v>46.47</v>
      </c>
      <c r="BP990" s="2"/>
      <c r="BQ990" s="2" t="s">
        <v>131</v>
      </c>
      <c r="BR990" s="2" t="s">
        <v>83</v>
      </c>
      <c r="BS990" s="3">
        <v>42656</v>
      </c>
      <c r="BT990" s="4">
        <v>0.4375</v>
      </c>
      <c r="BU990" s="2" t="s">
        <v>132</v>
      </c>
      <c r="BV990" s="2" t="s">
        <v>85</v>
      </c>
      <c r="BW990" s="2"/>
      <c r="BX990" s="2"/>
      <c r="BY990" s="2">
        <v>8158.84</v>
      </c>
      <c r="BZ990" s="2" t="s">
        <v>27</v>
      </c>
      <c r="CA990" s="2"/>
      <c r="CB990" s="2"/>
      <c r="CC990" s="2" t="s">
        <v>94</v>
      </c>
      <c r="CD990" s="2">
        <v>4302</v>
      </c>
      <c r="CE990" s="2" t="s">
        <v>86</v>
      </c>
      <c r="CF990" s="5">
        <v>42657</v>
      </c>
      <c r="CG990" s="2"/>
      <c r="CH990" s="2"/>
      <c r="CI990" s="2">
        <v>1</v>
      </c>
      <c r="CJ990" s="2">
        <v>1</v>
      </c>
      <c r="CK990" s="2">
        <v>21</v>
      </c>
      <c r="CL990" s="2" t="s">
        <v>88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"FES1162506082"</f>
        <v>FES1162506082</v>
      </c>
      <c r="F991" s="3">
        <v>42655</v>
      </c>
      <c r="G991" s="2">
        <v>201704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148</v>
      </c>
      <c r="M991" s="2" t="s">
        <v>149</v>
      </c>
      <c r="N991" s="2" t="s">
        <v>293</v>
      </c>
      <c r="O991" s="2" t="s">
        <v>96</v>
      </c>
      <c r="P991" s="2" t="str">
        <f>"2170527419                    "</f>
        <v xml:space="preserve">2170527419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3.32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0.6</v>
      </c>
      <c r="BJ991" s="2">
        <v>1.1000000000000001</v>
      </c>
      <c r="BK991" s="2">
        <v>1.5</v>
      </c>
      <c r="BL991" s="2">
        <v>40.76</v>
      </c>
      <c r="BM991" s="2">
        <v>5.71</v>
      </c>
      <c r="BN991" s="2">
        <v>46.47</v>
      </c>
      <c r="BO991" s="2">
        <v>46.47</v>
      </c>
      <c r="BP991" s="2"/>
      <c r="BQ991" s="2" t="s">
        <v>1352</v>
      </c>
      <c r="BR991" s="2" t="s">
        <v>83</v>
      </c>
      <c r="BS991" s="3">
        <v>42656</v>
      </c>
      <c r="BT991" s="4">
        <v>0.54166666666666663</v>
      </c>
      <c r="BU991" s="2" t="s">
        <v>431</v>
      </c>
      <c r="BV991" s="2" t="s">
        <v>88</v>
      </c>
      <c r="BW991" s="2" t="s">
        <v>277</v>
      </c>
      <c r="BX991" s="2" t="s">
        <v>1400</v>
      </c>
      <c r="BY991" s="2">
        <v>5459.95</v>
      </c>
      <c r="BZ991" s="2" t="s">
        <v>27</v>
      </c>
      <c r="CA991" s="2"/>
      <c r="CB991" s="2"/>
      <c r="CC991" s="2" t="s">
        <v>149</v>
      </c>
      <c r="CD991" s="2">
        <v>4051</v>
      </c>
      <c r="CE991" s="2" t="s">
        <v>108</v>
      </c>
      <c r="CF991" s="5">
        <v>42657</v>
      </c>
      <c r="CG991" s="2"/>
      <c r="CH991" s="2"/>
      <c r="CI991" s="2">
        <v>1</v>
      </c>
      <c r="CJ991" s="2">
        <v>1</v>
      </c>
      <c r="CK991" s="2">
        <v>21</v>
      </c>
      <c r="CL991" s="2" t="s">
        <v>88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"FES1162506089"</f>
        <v>FES1162506089</v>
      </c>
      <c r="F992" s="3">
        <v>42655</v>
      </c>
      <c r="G992" s="2">
        <v>201704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148</v>
      </c>
      <c r="M992" s="2" t="s">
        <v>149</v>
      </c>
      <c r="N992" s="2" t="s">
        <v>726</v>
      </c>
      <c r="O992" s="2" t="s">
        <v>96</v>
      </c>
      <c r="P992" s="2" t="str">
        <f>"2170527591                    "</f>
        <v xml:space="preserve">2170527591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3.32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1</v>
      </c>
      <c r="BJ992" s="2">
        <v>0.2</v>
      </c>
      <c r="BK992" s="2">
        <v>1</v>
      </c>
      <c r="BL992" s="2">
        <v>40.76</v>
      </c>
      <c r="BM992" s="2">
        <v>5.71</v>
      </c>
      <c r="BN992" s="2">
        <v>46.47</v>
      </c>
      <c r="BO992" s="2">
        <v>46.47</v>
      </c>
      <c r="BP992" s="2"/>
      <c r="BQ992" s="2" t="s">
        <v>117</v>
      </c>
      <c r="BR992" s="2" t="s">
        <v>83</v>
      </c>
      <c r="BS992" s="3">
        <v>42656</v>
      </c>
      <c r="BT992" s="4">
        <v>0.4375</v>
      </c>
      <c r="BU992" s="2" t="s">
        <v>1387</v>
      </c>
      <c r="BV992" s="2" t="s">
        <v>85</v>
      </c>
      <c r="BW992" s="2"/>
      <c r="BX992" s="2"/>
      <c r="BY992" s="2">
        <v>1200</v>
      </c>
      <c r="BZ992" s="2" t="s">
        <v>27</v>
      </c>
      <c r="CA992" s="2"/>
      <c r="CB992" s="2"/>
      <c r="CC992" s="2" t="s">
        <v>149</v>
      </c>
      <c r="CD992" s="2">
        <v>4070</v>
      </c>
      <c r="CE992" s="2" t="s">
        <v>108</v>
      </c>
      <c r="CF992" s="5">
        <v>42657</v>
      </c>
      <c r="CG992" s="2"/>
      <c r="CH992" s="2"/>
      <c r="CI992" s="2">
        <v>1</v>
      </c>
      <c r="CJ992" s="2">
        <v>1</v>
      </c>
      <c r="CK992" s="2">
        <v>21</v>
      </c>
      <c r="CL992" s="2" t="s">
        <v>88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"FES1162506027"</f>
        <v>FES1162506027</v>
      </c>
      <c r="F993" s="3">
        <v>42655</v>
      </c>
      <c r="G993" s="2">
        <v>201704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98</v>
      </c>
      <c r="M993" s="2" t="s">
        <v>99</v>
      </c>
      <c r="N993" s="2" t="s">
        <v>1318</v>
      </c>
      <c r="O993" s="2" t="s">
        <v>96</v>
      </c>
      <c r="P993" s="2" t="str">
        <f>"2170526704                    "</f>
        <v xml:space="preserve">2170526704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3.32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1</v>
      </c>
      <c r="BJ993" s="2">
        <v>0.2</v>
      </c>
      <c r="BK993" s="2">
        <v>1</v>
      </c>
      <c r="BL993" s="2">
        <v>40.76</v>
      </c>
      <c r="BM993" s="2">
        <v>5.71</v>
      </c>
      <c r="BN993" s="2">
        <v>46.47</v>
      </c>
      <c r="BO993" s="2">
        <v>46.47</v>
      </c>
      <c r="BP993" s="2"/>
      <c r="BQ993" s="2" t="s">
        <v>723</v>
      </c>
      <c r="BR993" s="2" t="s">
        <v>83</v>
      </c>
      <c r="BS993" s="3">
        <v>42656</v>
      </c>
      <c r="BT993" s="4">
        <v>0.2986111111111111</v>
      </c>
      <c r="BU993" s="2" t="s">
        <v>1358</v>
      </c>
      <c r="BV993" s="2" t="s">
        <v>85</v>
      </c>
      <c r="BW993" s="2"/>
      <c r="BX993" s="2"/>
      <c r="BY993" s="2">
        <v>1200</v>
      </c>
      <c r="BZ993" s="2" t="s">
        <v>27</v>
      </c>
      <c r="CA993" s="2" t="s">
        <v>1349</v>
      </c>
      <c r="CB993" s="2"/>
      <c r="CC993" s="2" t="s">
        <v>99</v>
      </c>
      <c r="CD993" s="2">
        <v>6012</v>
      </c>
      <c r="CE993" s="2" t="s">
        <v>108</v>
      </c>
      <c r="CF993" s="5">
        <v>42656</v>
      </c>
      <c r="CG993" s="2"/>
      <c r="CH993" s="2"/>
      <c r="CI993" s="2">
        <v>1</v>
      </c>
      <c r="CJ993" s="2">
        <v>1</v>
      </c>
      <c r="CK993" s="2">
        <v>21</v>
      </c>
      <c r="CL993" s="2" t="s">
        <v>88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"FES1162506108"</f>
        <v>FES1162506108</v>
      </c>
      <c r="F994" s="3">
        <v>42655</v>
      </c>
      <c r="G994" s="2">
        <v>201704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143</v>
      </c>
      <c r="M994" s="2" t="s">
        <v>144</v>
      </c>
      <c r="N994" s="2" t="s">
        <v>1401</v>
      </c>
      <c r="O994" s="2" t="s">
        <v>96</v>
      </c>
      <c r="P994" s="2" t="str">
        <f>"2170529619                    "</f>
        <v xml:space="preserve">2170529619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3.32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1</v>
      </c>
      <c r="BJ994" s="2">
        <v>0.2</v>
      </c>
      <c r="BK994" s="2">
        <v>1</v>
      </c>
      <c r="BL994" s="2">
        <v>40.76</v>
      </c>
      <c r="BM994" s="2">
        <v>5.71</v>
      </c>
      <c r="BN994" s="2">
        <v>46.47</v>
      </c>
      <c r="BO994" s="2">
        <v>46.47</v>
      </c>
      <c r="BP994" s="2"/>
      <c r="BQ994" s="2" t="s">
        <v>91</v>
      </c>
      <c r="BR994" s="2" t="s">
        <v>83</v>
      </c>
      <c r="BS994" s="3">
        <v>42656</v>
      </c>
      <c r="BT994" s="4">
        <v>0.4375</v>
      </c>
      <c r="BU994" s="2" t="s">
        <v>1402</v>
      </c>
      <c r="BV994" s="2" t="s">
        <v>85</v>
      </c>
      <c r="BW994" s="2"/>
      <c r="BX994" s="2"/>
      <c r="BY994" s="2">
        <v>1200</v>
      </c>
      <c r="BZ994" s="2" t="s">
        <v>27</v>
      </c>
      <c r="CA994" s="2"/>
      <c r="CB994" s="2"/>
      <c r="CC994" s="2" t="s">
        <v>144</v>
      </c>
      <c r="CD994" s="2">
        <v>5201</v>
      </c>
      <c r="CE994" s="2" t="s">
        <v>108</v>
      </c>
      <c r="CF994" s="5">
        <v>42660</v>
      </c>
      <c r="CG994" s="2"/>
      <c r="CH994" s="2"/>
      <c r="CI994" s="2">
        <v>1</v>
      </c>
      <c r="CJ994" s="2">
        <v>1</v>
      </c>
      <c r="CK994" s="2">
        <v>21</v>
      </c>
      <c r="CL994" s="2" t="s">
        <v>88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"FES1162506188"</f>
        <v>FES1162506188</v>
      </c>
      <c r="F995" s="3">
        <v>42655</v>
      </c>
      <c r="G995" s="2">
        <v>201704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98</v>
      </c>
      <c r="M995" s="2" t="s">
        <v>99</v>
      </c>
      <c r="N995" s="2" t="s">
        <v>224</v>
      </c>
      <c r="O995" s="2" t="s">
        <v>96</v>
      </c>
      <c r="P995" s="2" t="str">
        <f>"2170529714                    "</f>
        <v xml:space="preserve">2170529714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3.32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1</v>
      </c>
      <c r="BJ995" s="2">
        <v>0.2</v>
      </c>
      <c r="BK995" s="2">
        <v>1</v>
      </c>
      <c r="BL995" s="2">
        <v>40.76</v>
      </c>
      <c r="BM995" s="2">
        <v>5.71</v>
      </c>
      <c r="BN995" s="2">
        <v>46.47</v>
      </c>
      <c r="BO995" s="2">
        <v>46.47</v>
      </c>
      <c r="BP995" s="2"/>
      <c r="BQ995" s="2" t="s">
        <v>1403</v>
      </c>
      <c r="BR995" s="2" t="s">
        <v>83</v>
      </c>
      <c r="BS995" s="3">
        <v>42656</v>
      </c>
      <c r="BT995" s="4">
        <v>0.34027777777777773</v>
      </c>
      <c r="BU995" s="2" t="s">
        <v>1347</v>
      </c>
      <c r="BV995" s="2" t="s">
        <v>85</v>
      </c>
      <c r="BW995" s="2"/>
      <c r="BX995" s="2"/>
      <c r="BY995" s="2">
        <v>1200</v>
      </c>
      <c r="BZ995" s="2" t="s">
        <v>27</v>
      </c>
      <c r="CA995" s="2" t="s">
        <v>437</v>
      </c>
      <c r="CB995" s="2"/>
      <c r="CC995" s="2" t="s">
        <v>99</v>
      </c>
      <c r="CD995" s="2">
        <v>6001</v>
      </c>
      <c r="CE995" s="2" t="s">
        <v>108</v>
      </c>
      <c r="CF995" s="5">
        <v>42656</v>
      </c>
      <c r="CG995" s="2"/>
      <c r="CH995" s="2"/>
      <c r="CI995" s="2">
        <v>1</v>
      </c>
      <c r="CJ995" s="2">
        <v>1</v>
      </c>
      <c r="CK995" s="2">
        <v>21</v>
      </c>
      <c r="CL995" s="2" t="s">
        <v>88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"FES1162506104"</f>
        <v>FES1162506104</v>
      </c>
      <c r="F996" s="3">
        <v>42655</v>
      </c>
      <c r="G996" s="2">
        <v>201704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137</v>
      </c>
      <c r="M996" s="2" t="s">
        <v>138</v>
      </c>
      <c r="N996" s="2" t="s">
        <v>291</v>
      </c>
      <c r="O996" s="2" t="s">
        <v>96</v>
      </c>
      <c r="P996" s="2" t="str">
        <f>"2170526672                    "</f>
        <v xml:space="preserve">2170526672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3.32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1</v>
      </c>
      <c r="BJ996" s="2">
        <v>0.2</v>
      </c>
      <c r="BK996" s="2">
        <v>1</v>
      </c>
      <c r="BL996" s="2">
        <v>40.76</v>
      </c>
      <c r="BM996" s="2">
        <v>5.71</v>
      </c>
      <c r="BN996" s="2">
        <v>46.47</v>
      </c>
      <c r="BO996" s="2">
        <v>46.47</v>
      </c>
      <c r="BP996" s="2"/>
      <c r="BQ996" s="2" t="s">
        <v>117</v>
      </c>
      <c r="BR996" s="2" t="s">
        <v>83</v>
      </c>
      <c r="BS996" s="3">
        <v>42656</v>
      </c>
      <c r="BT996" s="4">
        <v>0.39999999999999997</v>
      </c>
      <c r="BU996" s="2" t="s">
        <v>292</v>
      </c>
      <c r="BV996" s="2"/>
      <c r="BW996" s="2"/>
      <c r="BX996" s="2"/>
      <c r="BY996" s="2">
        <v>1200</v>
      </c>
      <c r="BZ996" s="2" t="s">
        <v>27</v>
      </c>
      <c r="CA996" s="2" t="s">
        <v>205</v>
      </c>
      <c r="CB996" s="2"/>
      <c r="CC996" s="2" t="s">
        <v>138</v>
      </c>
      <c r="CD996" s="2">
        <v>3201</v>
      </c>
      <c r="CE996" s="2" t="s">
        <v>108</v>
      </c>
      <c r="CF996" s="5">
        <v>42656</v>
      </c>
      <c r="CG996" s="2"/>
      <c r="CH996" s="2"/>
      <c r="CI996" s="2">
        <v>0</v>
      </c>
      <c r="CJ996" s="2">
        <v>0</v>
      </c>
      <c r="CK996" s="2">
        <v>21</v>
      </c>
      <c r="CL996" s="2" t="s">
        <v>88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"FES1162506004"</f>
        <v>FES1162506004</v>
      </c>
      <c r="F997" s="3">
        <v>42655</v>
      </c>
      <c r="G997" s="2">
        <v>201704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143</v>
      </c>
      <c r="M997" s="2" t="s">
        <v>144</v>
      </c>
      <c r="N997" s="2" t="s">
        <v>1404</v>
      </c>
      <c r="O997" s="2" t="s">
        <v>96</v>
      </c>
      <c r="P997" s="2" t="str">
        <f>"2170525997                    "</f>
        <v xml:space="preserve">2170525997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21.56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3</v>
      </c>
      <c r="BJ997" s="2">
        <v>13</v>
      </c>
      <c r="BK997" s="2">
        <v>13</v>
      </c>
      <c r="BL997" s="2">
        <v>264.92</v>
      </c>
      <c r="BM997" s="2">
        <v>37.090000000000003</v>
      </c>
      <c r="BN997" s="2">
        <v>302.01</v>
      </c>
      <c r="BO997" s="2">
        <v>302.01</v>
      </c>
      <c r="BP997" s="2"/>
      <c r="BQ997" s="2" t="s">
        <v>91</v>
      </c>
      <c r="BR997" s="2" t="s">
        <v>83</v>
      </c>
      <c r="BS997" s="3">
        <v>42656</v>
      </c>
      <c r="BT997" s="4">
        <v>0.41666666666666669</v>
      </c>
      <c r="BU997" s="2" t="s">
        <v>1405</v>
      </c>
      <c r="BV997" s="2" t="s">
        <v>85</v>
      </c>
      <c r="BW997" s="2"/>
      <c r="BX997" s="2"/>
      <c r="BY997" s="2">
        <v>65050.75</v>
      </c>
      <c r="BZ997" s="2" t="s">
        <v>27</v>
      </c>
      <c r="CA997" s="2" t="s">
        <v>129</v>
      </c>
      <c r="CB997" s="2"/>
      <c r="CC997" s="2" t="s">
        <v>144</v>
      </c>
      <c r="CD997" s="2">
        <v>5201</v>
      </c>
      <c r="CE997" s="2" t="s">
        <v>86</v>
      </c>
      <c r="CF997" s="5">
        <v>42660</v>
      </c>
      <c r="CG997" s="2"/>
      <c r="CH997" s="2"/>
      <c r="CI997" s="2">
        <v>1</v>
      </c>
      <c r="CJ997" s="2">
        <v>1</v>
      </c>
      <c r="CK997" s="2">
        <v>21</v>
      </c>
      <c r="CL997" s="2" t="s">
        <v>88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"FES1162506074"</f>
        <v>FES1162506074</v>
      </c>
      <c r="F998" s="3">
        <v>42655</v>
      </c>
      <c r="G998" s="2">
        <v>201704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98</v>
      </c>
      <c r="M998" s="2" t="s">
        <v>99</v>
      </c>
      <c r="N998" s="2" t="s">
        <v>1304</v>
      </c>
      <c r="O998" s="2" t="s">
        <v>96</v>
      </c>
      <c r="P998" s="2" t="str">
        <f>"2170529483                    "</f>
        <v xml:space="preserve">2170529483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4.1500000000000004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2.2000000000000002</v>
      </c>
      <c r="BJ998" s="2">
        <v>1.8</v>
      </c>
      <c r="BK998" s="2">
        <v>2.5</v>
      </c>
      <c r="BL998" s="2">
        <v>50.95</v>
      </c>
      <c r="BM998" s="2">
        <v>7.13</v>
      </c>
      <c r="BN998" s="2">
        <v>58.08</v>
      </c>
      <c r="BO998" s="2">
        <v>58.08</v>
      </c>
      <c r="BP998" s="2"/>
      <c r="BQ998" s="2" t="s">
        <v>1305</v>
      </c>
      <c r="BR998" s="2" t="s">
        <v>83</v>
      </c>
      <c r="BS998" s="3">
        <v>42656</v>
      </c>
      <c r="BT998" s="4">
        <v>0.33194444444444443</v>
      </c>
      <c r="BU998" s="2" t="s">
        <v>1406</v>
      </c>
      <c r="BV998" s="2" t="s">
        <v>85</v>
      </c>
      <c r="BW998" s="2"/>
      <c r="BX998" s="2"/>
      <c r="BY998" s="2">
        <v>8871.5499999999993</v>
      </c>
      <c r="BZ998" s="2" t="s">
        <v>27</v>
      </c>
      <c r="CA998" s="2" t="s">
        <v>437</v>
      </c>
      <c r="CB998" s="2"/>
      <c r="CC998" s="2" t="s">
        <v>99</v>
      </c>
      <c r="CD998" s="2">
        <v>6001</v>
      </c>
      <c r="CE998" s="2" t="s">
        <v>86</v>
      </c>
      <c r="CF998" s="5">
        <v>42656</v>
      </c>
      <c r="CG998" s="2"/>
      <c r="CH998" s="2"/>
      <c r="CI998" s="2">
        <v>1</v>
      </c>
      <c r="CJ998" s="2">
        <v>1</v>
      </c>
      <c r="CK998" s="2">
        <v>21</v>
      </c>
      <c r="CL998" s="2" t="s">
        <v>88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"FES1162506013"</f>
        <v>FES1162506013</v>
      </c>
      <c r="F999" s="3">
        <v>42655</v>
      </c>
      <c r="G999" s="2">
        <v>201704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98</v>
      </c>
      <c r="M999" s="2" t="s">
        <v>99</v>
      </c>
      <c r="N999" s="2" t="s">
        <v>109</v>
      </c>
      <c r="O999" s="2" t="s">
        <v>96</v>
      </c>
      <c r="P999" s="2" t="str">
        <f>"2170526247                    "</f>
        <v xml:space="preserve">2170526247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3.32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1.6</v>
      </c>
      <c r="BJ999" s="2">
        <v>0.2</v>
      </c>
      <c r="BK999" s="2">
        <v>2</v>
      </c>
      <c r="BL999" s="2">
        <v>40.76</v>
      </c>
      <c r="BM999" s="2">
        <v>5.71</v>
      </c>
      <c r="BN999" s="2">
        <v>46.47</v>
      </c>
      <c r="BO999" s="2">
        <v>46.47</v>
      </c>
      <c r="BP999" s="2"/>
      <c r="BQ999" s="2" t="s">
        <v>110</v>
      </c>
      <c r="BR999" s="2" t="s">
        <v>83</v>
      </c>
      <c r="BS999" s="3">
        <v>42656</v>
      </c>
      <c r="BT999" s="4">
        <v>0.37847222222222227</v>
      </c>
      <c r="BU999" s="2" t="s">
        <v>1407</v>
      </c>
      <c r="BV999" s="2" t="s">
        <v>85</v>
      </c>
      <c r="BW999" s="2"/>
      <c r="BX999" s="2"/>
      <c r="BY999" s="2">
        <v>1200</v>
      </c>
      <c r="BZ999" s="2" t="s">
        <v>27</v>
      </c>
      <c r="CA999" s="2" t="s">
        <v>1349</v>
      </c>
      <c r="CB999" s="2"/>
      <c r="CC999" s="2" t="s">
        <v>99</v>
      </c>
      <c r="CD999" s="2">
        <v>6001</v>
      </c>
      <c r="CE999" s="2" t="s">
        <v>108</v>
      </c>
      <c r="CF999" s="5">
        <v>42656</v>
      </c>
      <c r="CG999" s="2"/>
      <c r="CH999" s="2"/>
      <c r="CI999" s="2">
        <v>1</v>
      </c>
      <c r="CJ999" s="2">
        <v>1</v>
      </c>
      <c r="CK999" s="2">
        <v>21</v>
      </c>
      <c r="CL999" s="2" t="s">
        <v>88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"FES1162506081"</f>
        <v>FES1162506081</v>
      </c>
      <c r="F1000" s="3">
        <v>42655</v>
      </c>
      <c r="G1000" s="2">
        <v>201704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98</v>
      </c>
      <c r="M1000" s="2" t="s">
        <v>99</v>
      </c>
      <c r="N1000" s="2" t="s">
        <v>369</v>
      </c>
      <c r="O1000" s="2" t="s">
        <v>96</v>
      </c>
      <c r="P1000" s="2" t="str">
        <f>"2170527195                    "</f>
        <v xml:space="preserve">2170527195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3.32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40.76</v>
      </c>
      <c r="BM1000" s="2">
        <v>5.71</v>
      </c>
      <c r="BN1000" s="2">
        <v>46.47</v>
      </c>
      <c r="BO1000" s="2">
        <v>46.47</v>
      </c>
      <c r="BP1000" s="2"/>
      <c r="BQ1000" s="2" t="s">
        <v>370</v>
      </c>
      <c r="BR1000" s="2" t="s">
        <v>83</v>
      </c>
      <c r="BS1000" s="3">
        <v>42656</v>
      </c>
      <c r="BT1000" s="4">
        <v>0.40277777777777773</v>
      </c>
      <c r="BU1000" s="2" t="s">
        <v>1348</v>
      </c>
      <c r="BV1000" s="2" t="s">
        <v>85</v>
      </c>
      <c r="BW1000" s="2"/>
      <c r="BX1000" s="2"/>
      <c r="BY1000" s="2">
        <v>1200</v>
      </c>
      <c r="BZ1000" s="2" t="s">
        <v>27</v>
      </c>
      <c r="CA1000" s="2" t="s">
        <v>1349</v>
      </c>
      <c r="CB1000" s="2"/>
      <c r="CC1000" s="2" t="s">
        <v>99</v>
      </c>
      <c r="CD1000" s="2">
        <v>6001</v>
      </c>
      <c r="CE1000" s="2" t="s">
        <v>108</v>
      </c>
      <c r="CF1000" s="5">
        <v>42656</v>
      </c>
      <c r="CG1000" s="2"/>
      <c r="CH1000" s="2"/>
      <c r="CI1000" s="2">
        <v>1</v>
      </c>
      <c r="CJ1000" s="2">
        <v>1</v>
      </c>
      <c r="CK1000" s="2">
        <v>21</v>
      </c>
      <c r="CL1000" s="2" t="s">
        <v>88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"FES1162506063"</f>
        <v>FES1162506063</v>
      </c>
      <c r="F1001" s="3">
        <v>42655</v>
      </c>
      <c r="G1001" s="2">
        <v>201704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98</v>
      </c>
      <c r="M1001" s="2" t="s">
        <v>99</v>
      </c>
      <c r="N1001" s="2" t="s">
        <v>1200</v>
      </c>
      <c r="O1001" s="2" t="s">
        <v>96</v>
      </c>
      <c r="P1001" s="2" t="str">
        <f>"2170527943                    "</f>
        <v xml:space="preserve">2170527943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3.32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40.76</v>
      </c>
      <c r="BM1001" s="2">
        <v>5.71</v>
      </c>
      <c r="BN1001" s="2">
        <v>46.47</v>
      </c>
      <c r="BO1001" s="2">
        <v>46.47</v>
      </c>
      <c r="BP1001" s="2"/>
      <c r="BQ1001" s="2" t="s">
        <v>1201</v>
      </c>
      <c r="BR1001" s="2" t="s">
        <v>83</v>
      </c>
      <c r="BS1001" s="3">
        <v>42656</v>
      </c>
      <c r="BT1001" s="4">
        <v>0.38194444444444442</v>
      </c>
      <c r="BU1001" s="2" t="s">
        <v>1408</v>
      </c>
      <c r="BV1001" s="2" t="s">
        <v>85</v>
      </c>
      <c r="BW1001" s="2"/>
      <c r="BX1001" s="2"/>
      <c r="BY1001" s="2">
        <v>1200</v>
      </c>
      <c r="BZ1001" s="2" t="s">
        <v>27</v>
      </c>
      <c r="CA1001" s="2"/>
      <c r="CB1001" s="2"/>
      <c r="CC1001" s="2" t="s">
        <v>99</v>
      </c>
      <c r="CD1001" s="2">
        <v>6001</v>
      </c>
      <c r="CE1001" s="2" t="s">
        <v>108</v>
      </c>
      <c r="CF1001" s="5">
        <v>42657</v>
      </c>
      <c r="CG1001" s="2"/>
      <c r="CH1001" s="2"/>
      <c r="CI1001" s="2">
        <v>1</v>
      </c>
      <c r="CJ1001" s="2">
        <v>1</v>
      </c>
      <c r="CK1001" s="2">
        <v>21</v>
      </c>
      <c r="CL1001" s="2" t="s">
        <v>88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"FES1162506130"</f>
        <v>FES1162506130</v>
      </c>
      <c r="F1002" s="3">
        <v>42655</v>
      </c>
      <c r="G1002" s="2">
        <v>201704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143</v>
      </c>
      <c r="M1002" s="2" t="s">
        <v>144</v>
      </c>
      <c r="N1002" s="2" t="s">
        <v>273</v>
      </c>
      <c r="O1002" s="2" t="s">
        <v>96</v>
      </c>
      <c r="P1002" s="2" t="str">
        <f>"2170529647                    "</f>
        <v xml:space="preserve">2170529647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3.32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40.76</v>
      </c>
      <c r="BM1002" s="2">
        <v>5.71</v>
      </c>
      <c r="BN1002" s="2">
        <v>46.47</v>
      </c>
      <c r="BO1002" s="2">
        <v>46.47</v>
      </c>
      <c r="BP1002" s="2"/>
      <c r="BQ1002" s="2" t="s">
        <v>274</v>
      </c>
      <c r="BR1002" s="2" t="s">
        <v>83</v>
      </c>
      <c r="BS1002" s="3">
        <v>42656</v>
      </c>
      <c r="BT1002" s="4">
        <v>0.44444444444444442</v>
      </c>
      <c r="BU1002" s="2" t="s">
        <v>1409</v>
      </c>
      <c r="BV1002" s="2" t="s">
        <v>85</v>
      </c>
      <c r="BW1002" s="2"/>
      <c r="BX1002" s="2"/>
      <c r="BY1002" s="2">
        <v>1200</v>
      </c>
      <c r="BZ1002" s="2" t="s">
        <v>27</v>
      </c>
      <c r="CA1002" s="2" t="s">
        <v>129</v>
      </c>
      <c r="CB1002" s="2"/>
      <c r="CC1002" s="2" t="s">
        <v>144</v>
      </c>
      <c r="CD1002" s="2">
        <v>5201</v>
      </c>
      <c r="CE1002" s="2" t="s">
        <v>108</v>
      </c>
      <c r="CF1002" s="5">
        <v>42660</v>
      </c>
      <c r="CG1002" s="2"/>
      <c r="CH1002" s="2"/>
      <c r="CI1002" s="2">
        <v>1</v>
      </c>
      <c r="CJ1002" s="2">
        <v>1</v>
      </c>
      <c r="CK1002" s="2">
        <v>21</v>
      </c>
      <c r="CL1002" s="2" t="s">
        <v>88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"FES1162506009"</f>
        <v>FES1162506009</v>
      </c>
      <c r="F1003" s="3">
        <v>42655</v>
      </c>
      <c r="G1003" s="2">
        <v>201704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98</v>
      </c>
      <c r="M1003" s="2" t="s">
        <v>99</v>
      </c>
      <c r="N1003" s="2" t="s">
        <v>109</v>
      </c>
      <c r="O1003" s="2" t="s">
        <v>96</v>
      </c>
      <c r="P1003" s="2" t="str">
        <f>"2170526076                    "</f>
        <v xml:space="preserve">2170526076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3.32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1</v>
      </c>
      <c r="BJ1003" s="2">
        <v>0.2</v>
      </c>
      <c r="BK1003" s="2">
        <v>1</v>
      </c>
      <c r="BL1003" s="2">
        <v>40.76</v>
      </c>
      <c r="BM1003" s="2">
        <v>5.71</v>
      </c>
      <c r="BN1003" s="2">
        <v>46.47</v>
      </c>
      <c r="BO1003" s="2">
        <v>46.47</v>
      </c>
      <c r="BP1003" s="2"/>
      <c r="BQ1003" s="2" t="s">
        <v>110</v>
      </c>
      <c r="BR1003" s="2" t="s">
        <v>83</v>
      </c>
      <c r="BS1003" s="3">
        <v>42656</v>
      </c>
      <c r="BT1003" s="4">
        <v>0.37847222222222227</v>
      </c>
      <c r="BU1003" s="2" t="s">
        <v>1407</v>
      </c>
      <c r="BV1003" s="2" t="s">
        <v>85</v>
      </c>
      <c r="BW1003" s="2"/>
      <c r="BX1003" s="2"/>
      <c r="BY1003" s="2">
        <v>1200</v>
      </c>
      <c r="BZ1003" s="2" t="s">
        <v>27</v>
      </c>
      <c r="CA1003" s="2" t="s">
        <v>1349</v>
      </c>
      <c r="CB1003" s="2"/>
      <c r="CC1003" s="2" t="s">
        <v>99</v>
      </c>
      <c r="CD1003" s="2">
        <v>6001</v>
      </c>
      <c r="CE1003" s="2" t="s">
        <v>108</v>
      </c>
      <c r="CF1003" s="5">
        <v>42656</v>
      </c>
      <c r="CG1003" s="2"/>
      <c r="CH1003" s="2"/>
      <c r="CI1003" s="2">
        <v>1</v>
      </c>
      <c r="CJ1003" s="2">
        <v>1</v>
      </c>
      <c r="CK1003" s="2">
        <v>21</v>
      </c>
      <c r="CL1003" s="2" t="s">
        <v>88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"FES1162506008"</f>
        <v>FES1162506008</v>
      </c>
      <c r="F1004" s="3">
        <v>42655</v>
      </c>
      <c r="G1004" s="2">
        <v>201704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98</v>
      </c>
      <c r="M1004" s="2" t="s">
        <v>99</v>
      </c>
      <c r="N1004" s="2" t="s">
        <v>109</v>
      </c>
      <c r="O1004" s="2" t="s">
        <v>96</v>
      </c>
      <c r="P1004" s="2" t="str">
        <f>"2170526074                    "</f>
        <v xml:space="preserve">2170526074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3.32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40.76</v>
      </c>
      <c r="BM1004" s="2">
        <v>5.71</v>
      </c>
      <c r="BN1004" s="2">
        <v>46.47</v>
      </c>
      <c r="BO1004" s="2">
        <v>46.47</v>
      </c>
      <c r="BP1004" s="2"/>
      <c r="BQ1004" s="2" t="s">
        <v>110</v>
      </c>
      <c r="BR1004" s="2" t="s">
        <v>83</v>
      </c>
      <c r="BS1004" s="3">
        <v>42656</v>
      </c>
      <c r="BT1004" s="4">
        <v>0.37847222222222227</v>
      </c>
      <c r="BU1004" s="2" t="s">
        <v>1407</v>
      </c>
      <c r="BV1004" s="2" t="s">
        <v>85</v>
      </c>
      <c r="BW1004" s="2"/>
      <c r="BX1004" s="2"/>
      <c r="BY1004" s="2">
        <v>1200</v>
      </c>
      <c r="BZ1004" s="2" t="s">
        <v>27</v>
      </c>
      <c r="CA1004" s="2" t="s">
        <v>1349</v>
      </c>
      <c r="CB1004" s="2"/>
      <c r="CC1004" s="2" t="s">
        <v>99</v>
      </c>
      <c r="CD1004" s="2">
        <v>6001</v>
      </c>
      <c r="CE1004" s="2" t="s">
        <v>108</v>
      </c>
      <c r="CF1004" s="5">
        <v>42656</v>
      </c>
      <c r="CG1004" s="2"/>
      <c r="CH1004" s="2"/>
      <c r="CI1004" s="2">
        <v>1</v>
      </c>
      <c r="CJ1004" s="2">
        <v>1</v>
      </c>
      <c r="CK1004" s="2">
        <v>21</v>
      </c>
      <c r="CL1004" s="2" t="s">
        <v>88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"FES1162506109"</f>
        <v>FES1162506109</v>
      </c>
      <c r="F1005" s="3">
        <v>42655</v>
      </c>
      <c r="G1005" s="2">
        <v>201704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98</v>
      </c>
      <c r="M1005" s="2" t="s">
        <v>99</v>
      </c>
      <c r="N1005" s="2" t="s">
        <v>1410</v>
      </c>
      <c r="O1005" s="2" t="s">
        <v>96</v>
      </c>
      <c r="P1005" s="2" t="str">
        <f>"2170529621                    "</f>
        <v xml:space="preserve">2170529621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3.32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1</v>
      </c>
      <c r="BJ1005" s="2">
        <v>0.2</v>
      </c>
      <c r="BK1005" s="2">
        <v>1</v>
      </c>
      <c r="BL1005" s="2">
        <v>40.76</v>
      </c>
      <c r="BM1005" s="2">
        <v>5.71</v>
      </c>
      <c r="BN1005" s="2">
        <v>46.47</v>
      </c>
      <c r="BO1005" s="2">
        <v>46.47</v>
      </c>
      <c r="BP1005" s="2"/>
      <c r="BQ1005" s="2" t="s">
        <v>1411</v>
      </c>
      <c r="BR1005" s="2" t="s">
        <v>83</v>
      </c>
      <c r="BS1005" s="3">
        <v>42656</v>
      </c>
      <c r="BT1005" s="4">
        <v>0.38541666666666669</v>
      </c>
      <c r="BU1005" s="2" t="s">
        <v>1412</v>
      </c>
      <c r="BV1005" s="2" t="s">
        <v>85</v>
      </c>
      <c r="BW1005" s="2"/>
      <c r="BX1005" s="2"/>
      <c r="BY1005" s="2">
        <v>1200</v>
      </c>
      <c r="BZ1005" s="2" t="s">
        <v>27</v>
      </c>
      <c r="CA1005" s="2" t="s">
        <v>1349</v>
      </c>
      <c r="CB1005" s="2"/>
      <c r="CC1005" s="2" t="s">
        <v>99</v>
      </c>
      <c r="CD1005" s="2">
        <v>6001</v>
      </c>
      <c r="CE1005" s="2" t="s">
        <v>108</v>
      </c>
      <c r="CF1005" s="5">
        <v>42656</v>
      </c>
      <c r="CG1005" s="2"/>
      <c r="CH1005" s="2"/>
      <c r="CI1005" s="2">
        <v>1</v>
      </c>
      <c r="CJ1005" s="2">
        <v>1</v>
      </c>
      <c r="CK1005" s="2">
        <v>21</v>
      </c>
      <c r="CL1005" s="2" t="s">
        <v>88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"FES1162506133"</f>
        <v>FES1162506133</v>
      </c>
      <c r="F1006" s="3">
        <v>42655</v>
      </c>
      <c r="G1006" s="2">
        <v>201704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143</v>
      </c>
      <c r="M1006" s="2" t="s">
        <v>144</v>
      </c>
      <c r="N1006" s="2" t="s">
        <v>273</v>
      </c>
      <c r="O1006" s="2" t="s">
        <v>96</v>
      </c>
      <c r="P1006" s="2" t="str">
        <f>"2170529650                    "</f>
        <v xml:space="preserve">2170529650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3.32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</v>
      </c>
      <c r="BJ1006" s="2">
        <v>0.2</v>
      </c>
      <c r="BK1006" s="2">
        <v>1</v>
      </c>
      <c r="BL1006" s="2">
        <v>40.76</v>
      </c>
      <c r="BM1006" s="2">
        <v>5.71</v>
      </c>
      <c r="BN1006" s="2">
        <v>46.47</v>
      </c>
      <c r="BO1006" s="2">
        <v>46.47</v>
      </c>
      <c r="BP1006" s="2"/>
      <c r="BQ1006" s="2" t="s">
        <v>274</v>
      </c>
      <c r="BR1006" s="2" t="s">
        <v>83</v>
      </c>
      <c r="BS1006" s="3">
        <v>42656</v>
      </c>
      <c r="BT1006" s="4">
        <v>0.44444444444444442</v>
      </c>
      <c r="BU1006" s="2" t="s">
        <v>1409</v>
      </c>
      <c r="BV1006" s="2" t="s">
        <v>85</v>
      </c>
      <c r="BW1006" s="2"/>
      <c r="BX1006" s="2"/>
      <c r="BY1006" s="2">
        <v>1200</v>
      </c>
      <c r="BZ1006" s="2" t="s">
        <v>27</v>
      </c>
      <c r="CA1006" s="2" t="s">
        <v>129</v>
      </c>
      <c r="CB1006" s="2"/>
      <c r="CC1006" s="2" t="s">
        <v>144</v>
      </c>
      <c r="CD1006" s="2">
        <v>5201</v>
      </c>
      <c r="CE1006" s="2" t="s">
        <v>108</v>
      </c>
      <c r="CF1006" s="5">
        <v>42660</v>
      </c>
      <c r="CG1006" s="2"/>
      <c r="CH1006" s="2"/>
      <c r="CI1006" s="2">
        <v>1</v>
      </c>
      <c r="CJ1006" s="2">
        <v>1</v>
      </c>
      <c r="CK1006" s="2">
        <v>21</v>
      </c>
      <c r="CL1006" s="2" t="s">
        <v>88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"FES1162506131"</f>
        <v>FES1162506131</v>
      </c>
      <c r="F1007" s="3">
        <v>42655</v>
      </c>
      <c r="G1007" s="2">
        <v>201704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98</v>
      </c>
      <c r="M1007" s="2" t="s">
        <v>99</v>
      </c>
      <c r="N1007" s="2" t="s">
        <v>224</v>
      </c>
      <c r="O1007" s="2" t="s">
        <v>96</v>
      </c>
      <c r="P1007" s="2" t="str">
        <f>"2170529648                    "</f>
        <v xml:space="preserve">2170529648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3.32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1</v>
      </c>
      <c r="BJ1007" s="2">
        <v>0.2</v>
      </c>
      <c r="BK1007" s="2">
        <v>1</v>
      </c>
      <c r="BL1007" s="2">
        <v>40.76</v>
      </c>
      <c r="BM1007" s="2">
        <v>5.71</v>
      </c>
      <c r="BN1007" s="2">
        <v>46.47</v>
      </c>
      <c r="BO1007" s="2">
        <v>46.47</v>
      </c>
      <c r="BP1007" s="2"/>
      <c r="BQ1007" s="2" t="s">
        <v>225</v>
      </c>
      <c r="BR1007" s="2" t="s">
        <v>83</v>
      </c>
      <c r="BS1007" s="3">
        <v>42656</v>
      </c>
      <c r="BT1007" s="4">
        <v>0.34027777777777773</v>
      </c>
      <c r="BU1007" s="2" t="s">
        <v>1347</v>
      </c>
      <c r="BV1007" s="2" t="s">
        <v>85</v>
      </c>
      <c r="BW1007" s="2"/>
      <c r="BX1007" s="2"/>
      <c r="BY1007" s="2">
        <v>1200</v>
      </c>
      <c r="BZ1007" s="2" t="s">
        <v>27</v>
      </c>
      <c r="CA1007" s="2" t="s">
        <v>437</v>
      </c>
      <c r="CB1007" s="2"/>
      <c r="CC1007" s="2" t="s">
        <v>99</v>
      </c>
      <c r="CD1007" s="2">
        <v>6001</v>
      </c>
      <c r="CE1007" s="2" t="s">
        <v>108</v>
      </c>
      <c r="CF1007" s="5">
        <v>42656</v>
      </c>
      <c r="CG1007" s="2"/>
      <c r="CH1007" s="2"/>
      <c r="CI1007" s="2">
        <v>1</v>
      </c>
      <c r="CJ1007" s="2">
        <v>1</v>
      </c>
      <c r="CK1007" s="2">
        <v>21</v>
      </c>
      <c r="CL1007" s="2" t="s">
        <v>88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"FES1162506114"</f>
        <v>FES1162506114</v>
      </c>
      <c r="F1008" s="3">
        <v>42655</v>
      </c>
      <c r="G1008" s="2">
        <v>201704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98</v>
      </c>
      <c r="M1008" s="2" t="s">
        <v>99</v>
      </c>
      <c r="N1008" s="2" t="s">
        <v>551</v>
      </c>
      <c r="O1008" s="2" t="s">
        <v>96</v>
      </c>
      <c r="P1008" s="2" t="str">
        <f>"2170529629                    "</f>
        <v xml:space="preserve">2170529629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3.32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1</v>
      </c>
      <c r="BJ1008" s="2">
        <v>0.2</v>
      </c>
      <c r="BK1008" s="2">
        <v>1</v>
      </c>
      <c r="BL1008" s="2">
        <v>40.76</v>
      </c>
      <c r="BM1008" s="2">
        <v>5.71</v>
      </c>
      <c r="BN1008" s="2">
        <v>46.47</v>
      </c>
      <c r="BO1008" s="2">
        <v>46.47</v>
      </c>
      <c r="BP1008" s="2"/>
      <c r="BQ1008" s="2" t="s">
        <v>552</v>
      </c>
      <c r="BR1008" s="2" t="s">
        <v>83</v>
      </c>
      <c r="BS1008" s="3">
        <v>42656</v>
      </c>
      <c r="BT1008" s="4">
        <v>0.34027777777777773</v>
      </c>
      <c r="BU1008" s="2" t="s">
        <v>1413</v>
      </c>
      <c r="BV1008" s="2" t="s">
        <v>85</v>
      </c>
      <c r="BW1008" s="2"/>
      <c r="BX1008" s="2"/>
      <c r="BY1008" s="2">
        <v>1200</v>
      </c>
      <c r="BZ1008" s="2" t="s">
        <v>27</v>
      </c>
      <c r="CA1008" s="2" t="s">
        <v>129</v>
      </c>
      <c r="CB1008" s="2"/>
      <c r="CC1008" s="2" t="s">
        <v>99</v>
      </c>
      <c r="CD1008" s="2">
        <v>6001</v>
      </c>
      <c r="CE1008" s="2" t="s">
        <v>108</v>
      </c>
      <c r="CF1008" s="5">
        <v>42657</v>
      </c>
      <c r="CG1008" s="2"/>
      <c r="CH1008" s="2"/>
      <c r="CI1008" s="2">
        <v>1</v>
      </c>
      <c r="CJ1008" s="2">
        <v>1</v>
      </c>
      <c r="CK1008" s="2">
        <v>21</v>
      </c>
      <c r="CL1008" s="2" t="s">
        <v>88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"FES1162506105"</f>
        <v>FES1162506105</v>
      </c>
      <c r="F1009" s="3">
        <v>42655</v>
      </c>
      <c r="G1009" s="2">
        <v>201704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98</v>
      </c>
      <c r="M1009" s="2" t="s">
        <v>99</v>
      </c>
      <c r="N1009" s="2" t="s">
        <v>894</v>
      </c>
      <c r="O1009" s="2" t="s">
        <v>96</v>
      </c>
      <c r="P1009" s="2" t="str">
        <f>"2170529615                    "</f>
        <v xml:space="preserve">2170529615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3.32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</v>
      </c>
      <c r="BJ1009" s="2">
        <v>0.2</v>
      </c>
      <c r="BK1009" s="2">
        <v>1</v>
      </c>
      <c r="BL1009" s="2">
        <v>40.76</v>
      </c>
      <c r="BM1009" s="2">
        <v>5.71</v>
      </c>
      <c r="BN1009" s="2">
        <v>46.47</v>
      </c>
      <c r="BO1009" s="2">
        <v>46.47</v>
      </c>
      <c r="BP1009" s="2"/>
      <c r="BQ1009" s="2" t="s">
        <v>895</v>
      </c>
      <c r="BR1009" s="2" t="s">
        <v>83</v>
      </c>
      <c r="BS1009" s="3">
        <v>42656</v>
      </c>
      <c r="BT1009" s="4">
        <v>0.29722222222222222</v>
      </c>
      <c r="BU1009" s="2" t="s">
        <v>1414</v>
      </c>
      <c r="BV1009" s="2" t="s">
        <v>85</v>
      </c>
      <c r="BW1009" s="2"/>
      <c r="BX1009" s="2"/>
      <c r="BY1009" s="2">
        <v>1200</v>
      </c>
      <c r="BZ1009" s="2" t="s">
        <v>27</v>
      </c>
      <c r="CA1009" s="2" t="s">
        <v>1349</v>
      </c>
      <c r="CB1009" s="2"/>
      <c r="CC1009" s="2" t="s">
        <v>99</v>
      </c>
      <c r="CD1009" s="2">
        <v>6012</v>
      </c>
      <c r="CE1009" s="2" t="s">
        <v>108</v>
      </c>
      <c r="CF1009" s="5">
        <v>42656</v>
      </c>
      <c r="CG1009" s="2"/>
      <c r="CH1009" s="2"/>
      <c r="CI1009" s="2">
        <v>1</v>
      </c>
      <c r="CJ1009" s="2">
        <v>1</v>
      </c>
      <c r="CK1009" s="2">
        <v>21</v>
      </c>
      <c r="CL1009" s="2" t="s">
        <v>88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"FES1162506098"</f>
        <v>FES1162506098</v>
      </c>
      <c r="F1010" s="3">
        <v>42655</v>
      </c>
      <c r="G1010" s="2">
        <v>201704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98</v>
      </c>
      <c r="M1010" s="2" t="s">
        <v>99</v>
      </c>
      <c r="N1010" s="2" t="s">
        <v>330</v>
      </c>
      <c r="O1010" s="2" t="s">
        <v>96</v>
      </c>
      <c r="P1010" s="2" t="str">
        <f>"2170528423                    "</f>
        <v xml:space="preserve">2170528423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3.32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1</v>
      </c>
      <c r="BJ1010" s="2">
        <v>0.2</v>
      </c>
      <c r="BK1010" s="2">
        <v>1</v>
      </c>
      <c r="BL1010" s="2">
        <v>40.76</v>
      </c>
      <c r="BM1010" s="2">
        <v>5.71</v>
      </c>
      <c r="BN1010" s="2">
        <v>46.47</v>
      </c>
      <c r="BO1010" s="2">
        <v>46.47</v>
      </c>
      <c r="BP1010" s="2"/>
      <c r="BQ1010" s="2" t="s">
        <v>331</v>
      </c>
      <c r="BR1010" s="2" t="s">
        <v>83</v>
      </c>
      <c r="BS1010" s="3">
        <v>42656</v>
      </c>
      <c r="BT1010" s="4">
        <v>0.4236111111111111</v>
      </c>
      <c r="BU1010" s="2" t="s">
        <v>390</v>
      </c>
      <c r="BV1010" s="2" t="s">
        <v>85</v>
      </c>
      <c r="BW1010" s="2"/>
      <c r="BX1010" s="2"/>
      <c r="BY1010" s="2">
        <v>1200</v>
      </c>
      <c r="BZ1010" s="2" t="s">
        <v>27</v>
      </c>
      <c r="CA1010" s="2" t="s">
        <v>468</v>
      </c>
      <c r="CB1010" s="2"/>
      <c r="CC1010" s="2" t="s">
        <v>99</v>
      </c>
      <c r="CD1010" s="2">
        <v>6070</v>
      </c>
      <c r="CE1010" s="2" t="s">
        <v>108</v>
      </c>
      <c r="CF1010" s="5">
        <v>42657</v>
      </c>
      <c r="CG1010" s="2"/>
      <c r="CH1010" s="2"/>
      <c r="CI1010" s="2">
        <v>1</v>
      </c>
      <c r="CJ1010" s="2">
        <v>1</v>
      </c>
      <c r="CK1010" s="2">
        <v>21</v>
      </c>
      <c r="CL1010" s="2" t="s">
        <v>88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"FES1162506102"</f>
        <v>FES1162506102</v>
      </c>
      <c r="F1011" s="3">
        <v>42655</v>
      </c>
      <c r="G1011" s="2">
        <v>201704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143</v>
      </c>
      <c r="M1011" s="2" t="s">
        <v>144</v>
      </c>
      <c r="N1011" s="2" t="s">
        <v>1081</v>
      </c>
      <c r="O1011" s="2" t="s">
        <v>96</v>
      </c>
      <c r="P1011" s="2" t="str">
        <f>"2170529271                    "</f>
        <v xml:space="preserve">2170529271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3.32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1</v>
      </c>
      <c r="BJ1011" s="2">
        <v>0.2</v>
      </c>
      <c r="BK1011" s="2">
        <v>1</v>
      </c>
      <c r="BL1011" s="2">
        <v>40.76</v>
      </c>
      <c r="BM1011" s="2">
        <v>5.71</v>
      </c>
      <c r="BN1011" s="2">
        <v>46.47</v>
      </c>
      <c r="BO1011" s="2">
        <v>46.47</v>
      </c>
      <c r="BP1011" s="2"/>
      <c r="BQ1011" s="2" t="s">
        <v>168</v>
      </c>
      <c r="BR1011" s="2" t="s">
        <v>83</v>
      </c>
      <c r="BS1011" s="3">
        <v>42656</v>
      </c>
      <c r="BT1011" s="4">
        <v>0.41666666666666669</v>
      </c>
      <c r="BU1011" s="2" t="s">
        <v>1288</v>
      </c>
      <c r="BV1011" s="2"/>
      <c r="BW1011" s="2"/>
      <c r="BX1011" s="2"/>
      <c r="BY1011" s="2">
        <v>1200</v>
      </c>
      <c r="BZ1011" s="2" t="s">
        <v>27</v>
      </c>
      <c r="CA1011" s="2" t="s">
        <v>129</v>
      </c>
      <c r="CB1011" s="2"/>
      <c r="CC1011" s="2" t="s">
        <v>144</v>
      </c>
      <c r="CD1011" s="2">
        <v>5201</v>
      </c>
      <c r="CE1011" s="2" t="s">
        <v>108</v>
      </c>
      <c r="CF1011" s="5">
        <v>42660</v>
      </c>
      <c r="CG1011" s="2"/>
      <c r="CH1011" s="2"/>
      <c r="CI1011" s="2">
        <v>0</v>
      </c>
      <c r="CJ1011" s="2">
        <v>0</v>
      </c>
      <c r="CK1011" s="2">
        <v>21</v>
      </c>
      <c r="CL1011" s="2" t="s">
        <v>88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"FES1162505994"</f>
        <v>FES1162505994</v>
      </c>
      <c r="F1012" s="3">
        <v>42655</v>
      </c>
      <c r="G1012" s="2">
        <v>201704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114</v>
      </c>
      <c r="M1012" s="2" t="s">
        <v>115</v>
      </c>
      <c r="N1012" s="2" t="s">
        <v>116</v>
      </c>
      <c r="O1012" s="2" t="s">
        <v>96</v>
      </c>
      <c r="P1012" s="2" t="str">
        <f>"2170529610                    "</f>
        <v xml:space="preserve">2170529610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6.43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1.2</v>
      </c>
      <c r="BJ1012" s="2">
        <v>0.2</v>
      </c>
      <c r="BK1012" s="2">
        <v>1.5</v>
      </c>
      <c r="BL1012" s="2">
        <v>78.97</v>
      </c>
      <c r="BM1012" s="2">
        <v>11.06</v>
      </c>
      <c r="BN1012" s="2">
        <v>90.03</v>
      </c>
      <c r="BO1012" s="2">
        <v>90.03</v>
      </c>
      <c r="BP1012" s="2"/>
      <c r="BQ1012" s="2" t="s">
        <v>117</v>
      </c>
      <c r="BR1012" s="2" t="s">
        <v>83</v>
      </c>
      <c r="BS1012" s="3">
        <v>42656</v>
      </c>
      <c r="BT1012" s="4">
        <v>0.59722222222222221</v>
      </c>
      <c r="BU1012" s="2" t="s">
        <v>1415</v>
      </c>
      <c r="BV1012" s="2" t="s">
        <v>85</v>
      </c>
      <c r="BW1012" s="2"/>
      <c r="BX1012" s="2"/>
      <c r="BY1012" s="2">
        <v>1200</v>
      </c>
      <c r="BZ1012" s="2" t="s">
        <v>27</v>
      </c>
      <c r="CA1012" s="2"/>
      <c r="CB1012" s="2"/>
      <c r="CC1012" s="2" t="s">
        <v>115</v>
      </c>
      <c r="CD1012" s="2">
        <v>5850</v>
      </c>
      <c r="CE1012" s="2" t="s">
        <v>108</v>
      </c>
      <c r="CF1012" s="5">
        <v>42660</v>
      </c>
      <c r="CG1012" s="2"/>
      <c r="CH1012" s="2"/>
      <c r="CI1012" s="2">
        <v>3</v>
      </c>
      <c r="CJ1012" s="2">
        <v>1</v>
      </c>
      <c r="CK1012" s="2">
        <v>23</v>
      </c>
      <c r="CL1012" s="2" t="s">
        <v>88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"FES1162506103"</f>
        <v>FES1162506103</v>
      </c>
      <c r="F1013" s="3">
        <v>42655</v>
      </c>
      <c r="G1013" s="2">
        <v>201704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143</v>
      </c>
      <c r="M1013" s="2" t="s">
        <v>144</v>
      </c>
      <c r="N1013" s="2" t="s">
        <v>1271</v>
      </c>
      <c r="O1013" s="2" t="s">
        <v>96</v>
      </c>
      <c r="P1013" s="2" t="str">
        <f>"2170529601                    "</f>
        <v xml:space="preserve">2170529601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3.32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1</v>
      </c>
      <c r="BJ1013" s="2">
        <v>0.2</v>
      </c>
      <c r="BK1013" s="2">
        <v>1</v>
      </c>
      <c r="BL1013" s="2">
        <v>40.76</v>
      </c>
      <c r="BM1013" s="2">
        <v>5.71</v>
      </c>
      <c r="BN1013" s="2">
        <v>46.47</v>
      </c>
      <c r="BO1013" s="2">
        <v>46.47</v>
      </c>
      <c r="BP1013" s="2"/>
      <c r="BQ1013" s="2" t="s">
        <v>168</v>
      </c>
      <c r="BR1013" s="2" t="s">
        <v>83</v>
      </c>
      <c r="BS1013" s="3">
        <v>42656</v>
      </c>
      <c r="BT1013" s="4">
        <v>0.41666666666666669</v>
      </c>
      <c r="BU1013" s="2" t="s">
        <v>1416</v>
      </c>
      <c r="BV1013" s="2" t="s">
        <v>85</v>
      </c>
      <c r="BW1013" s="2"/>
      <c r="BX1013" s="2"/>
      <c r="BY1013" s="2">
        <v>1200</v>
      </c>
      <c r="BZ1013" s="2" t="s">
        <v>27</v>
      </c>
      <c r="CA1013" s="2"/>
      <c r="CB1013" s="2"/>
      <c r="CC1013" s="2" t="s">
        <v>144</v>
      </c>
      <c r="CD1013" s="2">
        <v>5201</v>
      </c>
      <c r="CE1013" s="2" t="s">
        <v>108</v>
      </c>
      <c r="CF1013" s="5">
        <v>42660</v>
      </c>
      <c r="CG1013" s="2"/>
      <c r="CH1013" s="2"/>
      <c r="CI1013" s="2">
        <v>1</v>
      </c>
      <c r="CJ1013" s="2">
        <v>1</v>
      </c>
      <c r="CK1013" s="2">
        <v>21</v>
      </c>
      <c r="CL1013" s="2" t="s">
        <v>88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"FES1162506061"</f>
        <v>FES1162506061</v>
      </c>
      <c r="F1014" s="3">
        <v>42655</v>
      </c>
      <c r="G1014" s="2">
        <v>201704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98</v>
      </c>
      <c r="M1014" s="2" t="s">
        <v>99</v>
      </c>
      <c r="N1014" s="2" t="s">
        <v>133</v>
      </c>
      <c r="O1014" s="2" t="s">
        <v>96</v>
      </c>
      <c r="P1014" s="2" t="str">
        <f>"2170527650                    "</f>
        <v xml:space="preserve">2170527650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3.32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1</v>
      </c>
      <c r="BJ1014" s="2">
        <v>0.2</v>
      </c>
      <c r="BK1014" s="2">
        <v>1</v>
      </c>
      <c r="BL1014" s="2">
        <v>40.76</v>
      </c>
      <c r="BM1014" s="2">
        <v>5.71</v>
      </c>
      <c r="BN1014" s="2">
        <v>46.47</v>
      </c>
      <c r="BO1014" s="2">
        <v>46.47</v>
      </c>
      <c r="BP1014" s="2"/>
      <c r="BQ1014" s="2" t="s">
        <v>134</v>
      </c>
      <c r="BR1014" s="2" t="s">
        <v>83</v>
      </c>
      <c r="BS1014" s="3">
        <v>42656</v>
      </c>
      <c r="BT1014" s="4">
        <v>0.32291666666666669</v>
      </c>
      <c r="BU1014" s="2" t="s">
        <v>562</v>
      </c>
      <c r="BV1014" s="2" t="s">
        <v>85</v>
      </c>
      <c r="BW1014" s="2"/>
      <c r="BX1014" s="2"/>
      <c r="BY1014" s="2">
        <v>1200</v>
      </c>
      <c r="BZ1014" s="2" t="s">
        <v>27</v>
      </c>
      <c r="CA1014" s="2" t="s">
        <v>437</v>
      </c>
      <c r="CB1014" s="2"/>
      <c r="CC1014" s="2" t="s">
        <v>99</v>
      </c>
      <c r="CD1014" s="2">
        <v>6001</v>
      </c>
      <c r="CE1014" s="2" t="s">
        <v>108</v>
      </c>
      <c r="CF1014" s="5">
        <v>42656</v>
      </c>
      <c r="CG1014" s="2"/>
      <c r="CH1014" s="2"/>
      <c r="CI1014" s="2">
        <v>1</v>
      </c>
      <c r="CJ1014" s="2">
        <v>1</v>
      </c>
      <c r="CK1014" s="2">
        <v>21</v>
      </c>
      <c r="CL1014" s="2" t="s">
        <v>88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"FES1162506055"</f>
        <v>FES1162506055</v>
      </c>
      <c r="F1015" s="3">
        <v>42655</v>
      </c>
      <c r="G1015" s="2">
        <v>201704</v>
      </c>
      <c r="H1015" s="2" t="s">
        <v>74</v>
      </c>
      <c r="I1015" s="2" t="s">
        <v>75</v>
      </c>
      <c r="J1015" s="2" t="s">
        <v>76</v>
      </c>
      <c r="K1015" s="2" t="s">
        <v>77</v>
      </c>
      <c r="L1015" s="2" t="s">
        <v>98</v>
      </c>
      <c r="M1015" s="2" t="s">
        <v>99</v>
      </c>
      <c r="N1015" s="2" t="s">
        <v>350</v>
      </c>
      <c r="O1015" s="2" t="s">
        <v>96</v>
      </c>
      <c r="P1015" s="2" t="str">
        <f>"2170527550                    "</f>
        <v xml:space="preserve">2170527550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6.63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3.4</v>
      </c>
      <c r="BJ1015" s="2">
        <v>3.8</v>
      </c>
      <c r="BK1015" s="2">
        <v>4</v>
      </c>
      <c r="BL1015" s="2">
        <v>81.510000000000005</v>
      </c>
      <c r="BM1015" s="2">
        <v>11.41</v>
      </c>
      <c r="BN1015" s="2">
        <v>92.92</v>
      </c>
      <c r="BO1015" s="2">
        <v>92.92</v>
      </c>
      <c r="BP1015" s="2"/>
      <c r="BQ1015" s="2" t="s">
        <v>351</v>
      </c>
      <c r="BR1015" s="2" t="s">
        <v>83</v>
      </c>
      <c r="BS1015" s="3">
        <v>42656</v>
      </c>
      <c r="BT1015" s="4">
        <v>0.40972222222222227</v>
      </c>
      <c r="BU1015" s="2" t="s">
        <v>1417</v>
      </c>
      <c r="BV1015" s="2" t="s">
        <v>85</v>
      </c>
      <c r="BW1015" s="2"/>
      <c r="BX1015" s="2"/>
      <c r="BY1015" s="2">
        <v>18866.599999999999</v>
      </c>
      <c r="BZ1015" s="2" t="s">
        <v>27</v>
      </c>
      <c r="CA1015" s="2" t="s">
        <v>1349</v>
      </c>
      <c r="CB1015" s="2"/>
      <c r="CC1015" s="2" t="s">
        <v>99</v>
      </c>
      <c r="CD1015" s="2">
        <v>6001</v>
      </c>
      <c r="CE1015" s="2" t="s">
        <v>86</v>
      </c>
      <c r="CF1015" s="5">
        <v>42656</v>
      </c>
      <c r="CG1015" s="2"/>
      <c r="CH1015" s="2"/>
      <c r="CI1015" s="2">
        <v>1</v>
      </c>
      <c r="CJ1015" s="2">
        <v>1</v>
      </c>
      <c r="CK1015" s="2">
        <v>21</v>
      </c>
      <c r="CL1015" s="2" t="s">
        <v>88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"FES1162506015"</f>
        <v>FES1162506015</v>
      </c>
      <c r="F1016" s="3">
        <v>42655</v>
      </c>
      <c r="G1016" s="2">
        <v>201704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98</v>
      </c>
      <c r="M1016" s="2" t="s">
        <v>99</v>
      </c>
      <c r="N1016" s="2" t="s">
        <v>1304</v>
      </c>
      <c r="O1016" s="2" t="s">
        <v>96</v>
      </c>
      <c r="P1016" s="2" t="str">
        <f>"2170526271                    "</f>
        <v xml:space="preserve">2170526271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3.32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1.3</v>
      </c>
      <c r="BJ1016" s="2">
        <v>0.9</v>
      </c>
      <c r="BK1016" s="2">
        <v>1.5</v>
      </c>
      <c r="BL1016" s="2">
        <v>40.76</v>
      </c>
      <c r="BM1016" s="2">
        <v>5.71</v>
      </c>
      <c r="BN1016" s="2">
        <v>46.47</v>
      </c>
      <c r="BO1016" s="2">
        <v>46.47</v>
      </c>
      <c r="BP1016" s="2"/>
      <c r="BQ1016" s="2" t="s">
        <v>1305</v>
      </c>
      <c r="BR1016" s="2" t="s">
        <v>83</v>
      </c>
      <c r="BS1016" s="3">
        <v>42656</v>
      </c>
      <c r="BT1016" s="4">
        <v>0.3263888888888889</v>
      </c>
      <c r="BU1016" s="2" t="s">
        <v>1418</v>
      </c>
      <c r="BV1016" s="2" t="s">
        <v>85</v>
      </c>
      <c r="BW1016" s="2"/>
      <c r="BX1016" s="2"/>
      <c r="BY1016" s="2">
        <v>4665.43</v>
      </c>
      <c r="BZ1016" s="2" t="s">
        <v>27</v>
      </c>
      <c r="CA1016" s="2" t="s">
        <v>437</v>
      </c>
      <c r="CB1016" s="2"/>
      <c r="CC1016" s="2" t="s">
        <v>99</v>
      </c>
      <c r="CD1016" s="2">
        <v>6001</v>
      </c>
      <c r="CE1016" s="2" t="s">
        <v>86</v>
      </c>
      <c r="CF1016" s="5">
        <v>42656</v>
      </c>
      <c r="CG1016" s="2"/>
      <c r="CH1016" s="2"/>
      <c r="CI1016" s="2">
        <v>1</v>
      </c>
      <c r="CJ1016" s="2">
        <v>1</v>
      </c>
      <c r="CK1016" s="2">
        <v>21</v>
      </c>
      <c r="CL1016" s="2" t="s">
        <v>88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"FES1162506018"</f>
        <v>FES1162506018</v>
      </c>
      <c r="F1017" s="3">
        <v>42655</v>
      </c>
      <c r="G1017" s="2">
        <v>201704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98</v>
      </c>
      <c r="M1017" s="2" t="s">
        <v>99</v>
      </c>
      <c r="N1017" s="2" t="s">
        <v>832</v>
      </c>
      <c r="O1017" s="2" t="s">
        <v>96</v>
      </c>
      <c r="P1017" s="2" t="str">
        <f>"2170526466                    "</f>
        <v xml:space="preserve">2170526466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11.61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6.6</v>
      </c>
      <c r="BJ1017" s="2">
        <v>2.4</v>
      </c>
      <c r="BK1017" s="2">
        <v>7</v>
      </c>
      <c r="BL1017" s="2">
        <v>142.65</v>
      </c>
      <c r="BM1017" s="2">
        <v>19.97</v>
      </c>
      <c r="BN1017" s="2">
        <v>162.62</v>
      </c>
      <c r="BO1017" s="2">
        <v>162.62</v>
      </c>
      <c r="BP1017" s="2"/>
      <c r="BQ1017" s="2" t="s">
        <v>833</v>
      </c>
      <c r="BR1017" s="2" t="s">
        <v>83</v>
      </c>
      <c r="BS1017" s="3">
        <v>42656</v>
      </c>
      <c r="BT1017" s="4">
        <v>0.33333333333333331</v>
      </c>
      <c r="BU1017" s="2" t="s">
        <v>1024</v>
      </c>
      <c r="BV1017" s="2" t="s">
        <v>85</v>
      </c>
      <c r="BW1017" s="2"/>
      <c r="BX1017" s="2"/>
      <c r="BY1017" s="2">
        <v>11790.79</v>
      </c>
      <c r="BZ1017" s="2" t="s">
        <v>27</v>
      </c>
      <c r="CA1017" s="2" t="s">
        <v>437</v>
      </c>
      <c r="CB1017" s="2"/>
      <c r="CC1017" s="2" t="s">
        <v>99</v>
      </c>
      <c r="CD1017" s="2">
        <v>6001</v>
      </c>
      <c r="CE1017" s="2" t="s">
        <v>86</v>
      </c>
      <c r="CF1017" s="5">
        <v>42656</v>
      </c>
      <c r="CG1017" s="2"/>
      <c r="CH1017" s="2"/>
      <c r="CI1017" s="2">
        <v>1</v>
      </c>
      <c r="CJ1017" s="2">
        <v>1</v>
      </c>
      <c r="CK1017" s="2">
        <v>21</v>
      </c>
      <c r="CL1017" s="2" t="s">
        <v>88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"FES1162506199"</f>
        <v>FES1162506199</v>
      </c>
      <c r="F1018" s="3">
        <v>42655</v>
      </c>
      <c r="G1018" s="2">
        <v>201704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160</v>
      </c>
      <c r="M1018" s="2" t="s">
        <v>161</v>
      </c>
      <c r="N1018" s="2" t="s">
        <v>176</v>
      </c>
      <c r="O1018" s="2" t="s">
        <v>96</v>
      </c>
      <c r="P1018" s="2" t="str">
        <f>"2170529727                    "</f>
        <v xml:space="preserve">2170529727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3.32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1.7</v>
      </c>
      <c r="BJ1018" s="2">
        <v>0.2</v>
      </c>
      <c r="BK1018" s="2">
        <v>2</v>
      </c>
      <c r="BL1018" s="2">
        <v>40.76</v>
      </c>
      <c r="BM1018" s="2">
        <v>5.71</v>
      </c>
      <c r="BN1018" s="2">
        <v>46.47</v>
      </c>
      <c r="BO1018" s="2">
        <v>46.47</v>
      </c>
      <c r="BP1018" s="2"/>
      <c r="BQ1018" s="2" t="s">
        <v>177</v>
      </c>
      <c r="BR1018" s="2" t="s">
        <v>83</v>
      </c>
      <c r="BS1018" s="3">
        <v>42656</v>
      </c>
      <c r="BT1018" s="4">
        <v>0.40833333333333338</v>
      </c>
      <c r="BU1018" s="2" t="s">
        <v>178</v>
      </c>
      <c r="BV1018" s="2" t="s">
        <v>85</v>
      </c>
      <c r="BW1018" s="2"/>
      <c r="BX1018" s="2"/>
      <c r="BY1018" s="2">
        <v>1200</v>
      </c>
      <c r="BZ1018" s="2" t="s">
        <v>27</v>
      </c>
      <c r="CA1018" s="2"/>
      <c r="CB1018" s="2"/>
      <c r="CC1018" s="2" t="s">
        <v>161</v>
      </c>
      <c r="CD1018" s="2">
        <v>7530</v>
      </c>
      <c r="CE1018" s="2" t="s">
        <v>108</v>
      </c>
      <c r="CF1018" s="5">
        <v>42657</v>
      </c>
      <c r="CG1018" s="2"/>
      <c r="CH1018" s="2"/>
      <c r="CI1018" s="2">
        <v>1</v>
      </c>
      <c r="CJ1018" s="2">
        <v>1</v>
      </c>
      <c r="CK1018" s="2">
        <v>21</v>
      </c>
      <c r="CL1018" s="2" t="s">
        <v>88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"FES1162506175"</f>
        <v>FES1162506175</v>
      </c>
      <c r="F1019" s="3">
        <v>42655</v>
      </c>
      <c r="G1019" s="2">
        <v>201704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160</v>
      </c>
      <c r="M1019" s="2" t="s">
        <v>161</v>
      </c>
      <c r="N1019" s="2" t="s">
        <v>409</v>
      </c>
      <c r="O1019" s="2" t="s">
        <v>96</v>
      </c>
      <c r="P1019" s="2" t="str">
        <f>"2170529247                    "</f>
        <v xml:space="preserve">2170529247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3.32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</v>
      </c>
      <c r="BJ1019" s="2">
        <v>0.2</v>
      </c>
      <c r="BK1019" s="2">
        <v>1</v>
      </c>
      <c r="BL1019" s="2">
        <v>40.76</v>
      </c>
      <c r="BM1019" s="2">
        <v>5.71</v>
      </c>
      <c r="BN1019" s="2">
        <v>46.47</v>
      </c>
      <c r="BO1019" s="2">
        <v>46.47</v>
      </c>
      <c r="BP1019" s="2"/>
      <c r="BQ1019" s="2" t="s">
        <v>410</v>
      </c>
      <c r="BR1019" s="2" t="s">
        <v>83</v>
      </c>
      <c r="BS1019" s="3">
        <v>42656</v>
      </c>
      <c r="BT1019" s="4">
        <v>0.37152777777777773</v>
      </c>
      <c r="BU1019" s="2" t="s">
        <v>410</v>
      </c>
      <c r="BV1019" s="2" t="s">
        <v>85</v>
      </c>
      <c r="BW1019" s="2"/>
      <c r="BX1019" s="2"/>
      <c r="BY1019" s="2">
        <v>1200</v>
      </c>
      <c r="BZ1019" s="2" t="s">
        <v>27</v>
      </c>
      <c r="CA1019" s="2"/>
      <c r="CB1019" s="2"/>
      <c r="CC1019" s="2" t="s">
        <v>161</v>
      </c>
      <c r="CD1019" s="2">
        <v>7975</v>
      </c>
      <c r="CE1019" s="2" t="s">
        <v>108</v>
      </c>
      <c r="CF1019" s="5">
        <v>42657</v>
      </c>
      <c r="CG1019" s="2"/>
      <c r="CH1019" s="2"/>
      <c r="CI1019" s="2">
        <v>1</v>
      </c>
      <c r="CJ1019" s="2">
        <v>1</v>
      </c>
      <c r="CK1019" s="2">
        <v>21</v>
      </c>
      <c r="CL1019" s="2" t="s">
        <v>88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"FES1162506106"</f>
        <v>FES1162506106</v>
      </c>
      <c r="F1020" s="3">
        <v>42655</v>
      </c>
      <c r="G1020" s="2">
        <v>201704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253</v>
      </c>
      <c r="M1020" s="2" t="s">
        <v>254</v>
      </c>
      <c r="N1020" s="2" t="s">
        <v>255</v>
      </c>
      <c r="O1020" s="2" t="s">
        <v>96</v>
      </c>
      <c r="P1020" s="2" t="str">
        <f>"2170529617                    "</f>
        <v xml:space="preserve">2170529617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54.32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7.6</v>
      </c>
      <c r="BJ1020" s="2">
        <v>18.100000000000001</v>
      </c>
      <c r="BK1020" s="2">
        <v>18.5</v>
      </c>
      <c r="BL1020" s="2">
        <v>667.4</v>
      </c>
      <c r="BM1020" s="2">
        <v>93.44</v>
      </c>
      <c r="BN1020" s="2">
        <v>760.84</v>
      </c>
      <c r="BO1020" s="2">
        <v>760.84</v>
      </c>
      <c r="BP1020" s="2"/>
      <c r="BQ1020" s="2" t="s">
        <v>117</v>
      </c>
      <c r="BR1020" s="2" t="s">
        <v>83</v>
      </c>
      <c r="BS1020" s="3">
        <v>42656</v>
      </c>
      <c r="BT1020" s="4">
        <v>0.52083333333333337</v>
      </c>
      <c r="BU1020" s="2" t="s">
        <v>457</v>
      </c>
      <c r="BV1020" s="2" t="s">
        <v>85</v>
      </c>
      <c r="BW1020" s="2"/>
      <c r="BX1020" s="2"/>
      <c r="BY1020" s="2">
        <v>90409.2</v>
      </c>
      <c r="BZ1020" s="2" t="s">
        <v>27</v>
      </c>
      <c r="CA1020" s="2"/>
      <c r="CB1020" s="2"/>
      <c r="CC1020" s="2" t="s">
        <v>254</v>
      </c>
      <c r="CD1020" s="2">
        <v>3370</v>
      </c>
      <c r="CE1020" s="2" t="s">
        <v>86</v>
      </c>
      <c r="CF1020" s="5">
        <v>42660</v>
      </c>
      <c r="CG1020" s="2"/>
      <c r="CH1020" s="2"/>
      <c r="CI1020" s="2">
        <v>3</v>
      </c>
      <c r="CJ1020" s="2">
        <v>1</v>
      </c>
      <c r="CK1020" s="2">
        <v>23</v>
      </c>
      <c r="CL1020" s="2" t="s">
        <v>88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"FES1162506146"</f>
        <v>FES1162506146</v>
      </c>
      <c r="F1021" s="3">
        <v>42655</v>
      </c>
      <c r="G1021" s="2">
        <v>201704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269</v>
      </c>
      <c r="M1021" s="2" t="s">
        <v>270</v>
      </c>
      <c r="N1021" s="2" t="s">
        <v>299</v>
      </c>
      <c r="O1021" s="2" t="s">
        <v>96</v>
      </c>
      <c r="P1021" s="2" t="str">
        <f>"2170529663                    "</f>
        <v xml:space="preserve">2170529663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4.1500000000000004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2.2000000000000002</v>
      </c>
      <c r="BJ1021" s="2">
        <v>1</v>
      </c>
      <c r="BK1021" s="2">
        <v>2.5</v>
      </c>
      <c r="BL1021" s="2">
        <v>50.95</v>
      </c>
      <c r="BM1021" s="2">
        <v>7.13</v>
      </c>
      <c r="BN1021" s="2">
        <v>58.08</v>
      </c>
      <c r="BO1021" s="2">
        <v>58.08</v>
      </c>
      <c r="BP1021" s="2"/>
      <c r="BQ1021" s="2" t="s">
        <v>300</v>
      </c>
      <c r="BR1021" s="2" t="s">
        <v>83</v>
      </c>
      <c r="BS1021" s="3">
        <v>42656</v>
      </c>
      <c r="BT1021" s="4">
        <v>0.4375</v>
      </c>
      <c r="BU1021" s="2" t="s">
        <v>724</v>
      </c>
      <c r="BV1021" s="2" t="s">
        <v>85</v>
      </c>
      <c r="BW1021" s="2"/>
      <c r="BX1021" s="2"/>
      <c r="BY1021" s="2">
        <v>5129.55</v>
      </c>
      <c r="BZ1021" s="2" t="s">
        <v>27</v>
      </c>
      <c r="CA1021" s="2" t="s">
        <v>129</v>
      </c>
      <c r="CB1021" s="2"/>
      <c r="CC1021" s="2" t="s">
        <v>270</v>
      </c>
      <c r="CD1021" s="2">
        <v>3610</v>
      </c>
      <c r="CE1021" s="2" t="s">
        <v>86</v>
      </c>
      <c r="CF1021" s="5">
        <v>42657</v>
      </c>
      <c r="CG1021" s="2"/>
      <c r="CH1021" s="2"/>
      <c r="CI1021" s="2">
        <v>1</v>
      </c>
      <c r="CJ1021" s="2">
        <v>1</v>
      </c>
      <c r="CK1021" s="2">
        <v>21</v>
      </c>
      <c r="CL1021" s="2" t="s">
        <v>88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"FES1162506150"</f>
        <v>FES1162506150</v>
      </c>
      <c r="F1022" s="3">
        <v>42655</v>
      </c>
      <c r="G1022" s="2">
        <v>201704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269</v>
      </c>
      <c r="M1022" s="2" t="s">
        <v>270</v>
      </c>
      <c r="N1022" s="2" t="s">
        <v>299</v>
      </c>
      <c r="O1022" s="2" t="s">
        <v>96</v>
      </c>
      <c r="P1022" s="2" t="str">
        <f>"2170529669                    "</f>
        <v xml:space="preserve">2170529669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5.81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3.4</v>
      </c>
      <c r="BJ1022" s="2">
        <v>1.8</v>
      </c>
      <c r="BK1022" s="2">
        <v>3.5</v>
      </c>
      <c r="BL1022" s="2">
        <v>71.33</v>
      </c>
      <c r="BM1022" s="2">
        <v>9.99</v>
      </c>
      <c r="BN1022" s="2">
        <v>81.319999999999993</v>
      </c>
      <c r="BO1022" s="2">
        <v>81.319999999999993</v>
      </c>
      <c r="BP1022" s="2"/>
      <c r="BQ1022" s="2" t="s">
        <v>300</v>
      </c>
      <c r="BR1022" s="2" t="s">
        <v>83</v>
      </c>
      <c r="BS1022" s="3">
        <v>42656</v>
      </c>
      <c r="BT1022" s="4">
        <v>0.4375</v>
      </c>
      <c r="BU1022" s="2" t="s">
        <v>724</v>
      </c>
      <c r="BV1022" s="2" t="s">
        <v>85</v>
      </c>
      <c r="BW1022" s="2"/>
      <c r="BX1022" s="2"/>
      <c r="BY1022" s="2">
        <v>8834.2099999999991</v>
      </c>
      <c r="BZ1022" s="2" t="s">
        <v>27</v>
      </c>
      <c r="CA1022" s="2" t="s">
        <v>129</v>
      </c>
      <c r="CB1022" s="2"/>
      <c r="CC1022" s="2" t="s">
        <v>270</v>
      </c>
      <c r="CD1022" s="2">
        <v>3610</v>
      </c>
      <c r="CE1022" s="2" t="s">
        <v>86</v>
      </c>
      <c r="CF1022" s="5">
        <v>42657</v>
      </c>
      <c r="CG1022" s="2"/>
      <c r="CH1022" s="2"/>
      <c r="CI1022" s="2">
        <v>1</v>
      </c>
      <c r="CJ1022" s="2">
        <v>1</v>
      </c>
      <c r="CK1022" s="2">
        <v>21</v>
      </c>
      <c r="CL1022" s="2" t="s">
        <v>88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"FES1162506161"</f>
        <v>FES1162506161</v>
      </c>
      <c r="F1023" s="3">
        <v>42655</v>
      </c>
      <c r="G1023" s="2">
        <v>201704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153</v>
      </c>
      <c r="M1023" s="2" t="s">
        <v>153</v>
      </c>
      <c r="N1023" s="2" t="s">
        <v>200</v>
      </c>
      <c r="O1023" s="2" t="s">
        <v>96</v>
      </c>
      <c r="P1023" s="2" t="str">
        <f>"2170529682                    "</f>
        <v xml:space="preserve">2170529682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4.1500000000000004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2.2000000000000002</v>
      </c>
      <c r="BJ1023" s="2">
        <v>1</v>
      </c>
      <c r="BK1023" s="2">
        <v>2.5</v>
      </c>
      <c r="BL1023" s="2">
        <v>50.95</v>
      </c>
      <c r="BM1023" s="2">
        <v>7.13</v>
      </c>
      <c r="BN1023" s="2">
        <v>58.08</v>
      </c>
      <c r="BO1023" s="2">
        <v>58.08</v>
      </c>
      <c r="BP1023" s="2"/>
      <c r="BQ1023" s="2" t="s">
        <v>201</v>
      </c>
      <c r="BR1023" s="2" t="s">
        <v>83</v>
      </c>
      <c r="BS1023" s="3">
        <v>42656</v>
      </c>
      <c r="BT1023" s="4">
        <v>0.50347222222222221</v>
      </c>
      <c r="BU1023" s="2" t="s">
        <v>448</v>
      </c>
      <c r="BV1023" s="2" t="s">
        <v>85</v>
      </c>
      <c r="BW1023" s="2"/>
      <c r="BX1023" s="2"/>
      <c r="BY1023" s="2">
        <v>5128.7299999999996</v>
      </c>
      <c r="BZ1023" s="2" t="s">
        <v>27</v>
      </c>
      <c r="CA1023" s="2"/>
      <c r="CB1023" s="2"/>
      <c r="CC1023" s="2" t="s">
        <v>153</v>
      </c>
      <c r="CD1023" s="2">
        <v>7646</v>
      </c>
      <c r="CE1023" s="2" t="s">
        <v>86</v>
      </c>
      <c r="CF1023" s="2"/>
      <c r="CG1023" s="2"/>
      <c r="CH1023" s="2"/>
      <c r="CI1023" s="2">
        <v>1</v>
      </c>
      <c r="CJ1023" s="2">
        <v>1</v>
      </c>
      <c r="CK1023" s="2">
        <v>21</v>
      </c>
      <c r="CL1023" s="2" t="s">
        <v>88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"FES1162506052"</f>
        <v>FES1162506052</v>
      </c>
      <c r="F1024" s="3">
        <v>42655</v>
      </c>
      <c r="G1024" s="2">
        <v>201704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98</v>
      </c>
      <c r="M1024" s="2" t="s">
        <v>99</v>
      </c>
      <c r="N1024" s="2" t="s">
        <v>350</v>
      </c>
      <c r="O1024" s="2" t="s">
        <v>96</v>
      </c>
      <c r="P1024" s="2" t="str">
        <f>"217052527                     "</f>
        <v xml:space="preserve">217052527 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8.2899999999999991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4.5999999999999996</v>
      </c>
      <c r="BJ1024" s="2">
        <v>3.3</v>
      </c>
      <c r="BK1024" s="2">
        <v>5</v>
      </c>
      <c r="BL1024" s="2">
        <v>101.89</v>
      </c>
      <c r="BM1024" s="2">
        <v>14.26</v>
      </c>
      <c r="BN1024" s="2">
        <v>116.15</v>
      </c>
      <c r="BO1024" s="2">
        <v>116.15</v>
      </c>
      <c r="BP1024" s="2"/>
      <c r="BQ1024" s="2" t="s">
        <v>351</v>
      </c>
      <c r="BR1024" s="2" t="s">
        <v>83</v>
      </c>
      <c r="BS1024" s="3">
        <v>42656</v>
      </c>
      <c r="BT1024" s="4">
        <v>0.40972222222222227</v>
      </c>
      <c r="BU1024" s="2" t="s">
        <v>1417</v>
      </c>
      <c r="BV1024" s="2" t="s">
        <v>85</v>
      </c>
      <c r="BW1024" s="2"/>
      <c r="BX1024" s="2"/>
      <c r="BY1024" s="2">
        <v>16554.7</v>
      </c>
      <c r="BZ1024" s="2" t="s">
        <v>27</v>
      </c>
      <c r="CA1024" s="2" t="s">
        <v>1349</v>
      </c>
      <c r="CB1024" s="2"/>
      <c r="CC1024" s="2" t="s">
        <v>99</v>
      </c>
      <c r="CD1024" s="2">
        <v>6001</v>
      </c>
      <c r="CE1024" s="2" t="s">
        <v>86</v>
      </c>
      <c r="CF1024" s="5">
        <v>42656</v>
      </c>
      <c r="CG1024" s="2"/>
      <c r="CH1024" s="2"/>
      <c r="CI1024" s="2">
        <v>1</v>
      </c>
      <c r="CJ1024" s="2">
        <v>1</v>
      </c>
      <c r="CK1024" s="2">
        <v>21</v>
      </c>
      <c r="CL1024" s="2" t="s">
        <v>88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"FES1162506236"</f>
        <v>FES1162506236</v>
      </c>
      <c r="F1025" s="3">
        <v>42655</v>
      </c>
      <c r="G1025" s="2">
        <v>201704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143</v>
      </c>
      <c r="M1025" s="2" t="s">
        <v>144</v>
      </c>
      <c r="N1025" s="2" t="s">
        <v>1419</v>
      </c>
      <c r="O1025" s="2" t="s">
        <v>96</v>
      </c>
      <c r="P1025" s="2" t="str">
        <f>"2170526187                    "</f>
        <v xml:space="preserve">2170526187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19.899999999999999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3.6</v>
      </c>
      <c r="BJ1025" s="2">
        <v>11.9</v>
      </c>
      <c r="BK1025" s="2">
        <v>12</v>
      </c>
      <c r="BL1025" s="2">
        <v>244.54</v>
      </c>
      <c r="BM1025" s="2">
        <v>34.24</v>
      </c>
      <c r="BN1025" s="2">
        <v>278.77999999999997</v>
      </c>
      <c r="BO1025" s="2">
        <v>278.77999999999997</v>
      </c>
      <c r="BP1025" s="2"/>
      <c r="BQ1025" s="2" t="s">
        <v>91</v>
      </c>
      <c r="BR1025" s="2" t="s">
        <v>83</v>
      </c>
      <c r="BS1025" s="3">
        <v>42656</v>
      </c>
      <c r="BT1025" s="4">
        <v>0.41666666666666669</v>
      </c>
      <c r="BU1025" s="2" t="s">
        <v>1420</v>
      </c>
      <c r="BV1025" s="2" t="s">
        <v>85</v>
      </c>
      <c r="BW1025" s="2"/>
      <c r="BX1025" s="2"/>
      <c r="BY1025" s="2">
        <v>59425.38</v>
      </c>
      <c r="BZ1025" s="2" t="s">
        <v>27</v>
      </c>
      <c r="CA1025" s="2"/>
      <c r="CB1025" s="2"/>
      <c r="CC1025" s="2" t="s">
        <v>144</v>
      </c>
      <c r="CD1025" s="2">
        <v>5201</v>
      </c>
      <c r="CE1025" s="2" t="s">
        <v>1350</v>
      </c>
      <c r="CF1025" s="5">
        <v>42660</v>
      </c>
      <c r="CG1025" s="2"/>
      <c r="CH1025" s="2"/>
      <c r="CI1025" s="2">
        <v>1</v>
      </c>
      <c r="CJ1025" s="2">
        <v>1</v>
      </c>
      <c r="CK1025" s="2">
        <v>21</v>
      </c>
      <c r="CL1025" s="2" t="s">
        <v>88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"FES1162506241"</f>
        <v>FES1162506241</v>
      </c>
      <c r="F1026" s="3">
        <v>42655</v>
      </c>
      <c r="G1026" s="2">
        <v>201704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503</v>
      </c>
      <c r="M1026" s="2" t="s">
        <v>504</v>
      </c>
      <c r="N1026" s="2" t="s">
        <v>905</v>
      </c>
      <c r="O1026" s="2" t="s">
        <v>96</v>
      </c>
      <c r="P1026" s="2" t="str">
        <f>"2170527153                    "</f>
        <v xml:space="preserve">2170527153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26.74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4.2</v>
      </c>
      <c r="BJ1026" s="2">
        <v>8.6999999999999993</v>
      </c>
      <c r="BK1026" s="2">
        <v>9</v>
      </c>
      <c r="BL1026" s="2">
        <v>328.6</v>
      </c>
      <c r="BM1026" s="2">
        <v>46</v>
      </c>
      <c r="BN1026" s="2">
        <v>374.6</v>
      </c>
      <c r="BO1026" s="2">
        <v>374.6</v>
      </c>
      <c r="BP1026" s="2"/>
      <c r="BQ1026" s="2" t="s">
        <v>91</v>
      </c>
      <c r="BR1026" s="2" t="s">
        <v>83</v>
      </c>
      <c r="BS1026" s="3">
        <v>42656</v>
      </c>
      <c r="BT1026" s="4">
        <v>0.50694444444444442</v>
      </c>
      <c r="BU1026" s="2" t="s">
        <v>1421</v>
      </c>
      <c r="BV1026" s="2" t="s">
        <v>85</v>
      </c>
      <c r="BW1026" s="2"/>
      <c r="BX1026" s="2"/>
      <c r="BY1026" s="2">
        <v>43445.72</v>
      </c>
      <c r="BZ1026" s="2"/>
      <c r="CA1026" s="2" t="s">
        <v>1166</v>
      </c>
      <c r="CB1026" s="2"/>
      <c r="CC1026" s="2" t="s">
        <v>504</v>
      </c>
      <c r="CD1026" s="2">
        <v>7349</v>
      </c>
      <c r="CE1026" s="2" t="s">
        <v>86</v>
      </c>
      <c r="CF1026" s="5">
        <v>42656</v>
      </c>
      <c r="CG1026" s="2"/>
      <c r="CH1026" s="2"/>
      <c r="CI1026" s="2">
        <v>1</v>
      </c>
      <c r="CJ1026" s="2">
        <v>1</v>
      </c>
      <c r="CK1026" s="2">
        <v>23</v>
      </c>
      <c r="CL1026" s="2" t="s">
        <v>88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"FES1162506172"</f>
        <v>FES1162506172</v>
      </c>
      <c r="F1027" s="3">
        <v>42655</v>
      </c>
      <c r="G1027" s="2">
        <v>201704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93</v>
      </c>
      <c r="M1027" s="2" t="s">
        <v>94</v>
      </c>
      <c r="N1027" s="2" t="s">
        <v>536</v>
      </c>
      <c r="O1027" s="2" t="s">
        <v>96</v>
      </c>
      <c r="P1027" s="2" t="str">
        <f>"2170529696                    "</f>
        <v xml:space="preserve">2170529696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10.78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1</v>
      </c>
      <c r="BI1027" s="2">
        <v>4.2</v>
      </c>
      <c r="BJ1027" s="2">
        <v>6.2</v>
      </c>
      <c r="BK1027" s="2">
        <v>6.5</v>
      </c>
      <c r="BL1027" s="2">
        <v>132.46</v>
      </c>
      <c r="BM1027" s="2">
        <v>18.54</v>
      </c>
      <c r="BN1027" s="2">
        <v>151</v>
      </c>
      <c r="BO1027" s="2">
        <v>151</v>
      </c>
      <c r="BP1027" s="2"/>
      <c r="BQ1027" s="2" t="s">
        <v>537</v>
      </c>
      <c r="BR1027" s="2" t="s">
        <v>83</v>
      </c>
      <c r="BS1027" s="3">
        <v>42656</v>
      </c>
      <c r="BT1027" s="4">
        <v>0.4375</v>
      </c>
      <c r="BU1027" s="2" t="s">
        <v>852</v>
      </c>
      <c r="BV1027" s="2" t="s">
        <v>85</v>
      </c>
      <c r="BW1027" s="2"/>
      <c r="BX1027" s="2"/>
      <c r="BY1027" s="2">
        <v>30767.1</v>
      </c>
      <c r="BZ1027" s="2" t="s">
        <v>27</v>
      </c>
      <c r="CA1027" s="2"/>
      <c r="CB1027" s="2"/>
      <c r="CC1027" s="2" t="s">
        <v>94</v>
      </c>
      <c r="CD1027" s="2">
        <v>4300</v>
      </c>
      <c r="CE1027" s="2" t="s">
        <v>1350</v>
      </c>
      <c r="CF1027" s="5">
        <v>42657</v>
      </c>
      <c r="CG1027" s="2"/>
      <c r="CH1027" s="2"/>
      <c r="CI1027" s="2">
        <v>1</v>
      </c>
      <c r="CJ1027" s="2">
        <v>1</v>
      </c>
      <c r="CK1027" s="2">
        <v>21</v>
      </c>
      <c r="CL1027" s="2" t="s">
        <v>88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"FES1162506337"</f>
        <v>FES1162506337</v>
      </c>
      <c r="F1028" s="3">
        <v>42655</v>
      </c>
      <c r="G1028" s="2">
        <v>201704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160</v>
      </c>
      <c r="M1028" s="2" t="s">
        <v>161</v>
      </c>
      <c r="N1028" s="2" t="s">
        <v>671</v>
      </c>
      <c r="O1028" s="2" t="s">
        <v>96</v>
      </c>
      <c r="P1028" s="2" t="str">
        <f>"2170529874                    "</f>
        <v xml:space="preserve">2170529874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3.32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1</v>
      </c>
      <c r="BI1028" s="2">
        <v>1.4</v>
      </c>
      <c r="BJ1028" s="2">
        <v>0.2</v>
      </c>
      <c r="BK1028" s="2">
        <v>1.5</v>
      </c>
      <c r="BL1028" s="2">
        <v>40.76</v>
      </c>
      <c r="BM1028" s="2">
        <v>5.71</v>
      </c>
      <c r="BN1028" s="2">
        <v>46.47</v>
      </c>
      <c r="BO1028" s="2">
        <v>46.47</v>
      </c>
      <c r="BP1028" s="2"/>
      <c r="BQ1028" s="2"/>
      <c r="BR1028" s="2" t="s">
        <v>83</v>
      </c>
      <c r="BS1028" s="3">
        <v>42656</v>
      </c>
      <c r="BT1028" s="4">
        <v>0.3972222222222222</v>
      </c>
      <c r="BU1028" s="2" t="s">
        <v>238</v>
      </c>
      <c r="BV1028" s="2" t="s">
        <v>85</v>
      </c>
      <c r="BW1028" s="2"/>
      <c r="BX1028" s="2"/>
      <c r="BY1028" s="2">
        <v>1200</v>
      </c>
      <c r="BZ1028" s="2"/>
      <c r="CA1028" s="2"/>
      <c r="CB1028" s="2"/>
      <c r="CC1028" s="2" t="s">
        <v>161</v>
      </c>
      <c r="CD1028" s="2">
        <v>7764</v>
      </c>
      <c r="CE1028" s="2" t="s">
        <v>108</v>
      </c>
      <c r="CF1028" s="5">
        <v>42657</v>
      </c>
      <c r="CG1028" s="2"/>
      <c r="CH1028" s="2"/>
      <c r="CI1028" s="2">
        <v>1</v>
      </c>
      <c r="CJ1028" s="2">
        <v>1</v>
      </c>
      <c r="CK1028" s="2">
        <v>21</v>
      </c>
      <c r="CL1028" s="2" t="s">
        <v>88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"FES1162506269"</f>
        <v>FES1162506269</v>
      </c>
      <c r="F1029" s="3">
        <v>42655</v>
      </c>
      <c r="G1029" s="2">
        <v>201704</v>
      </c>
      <c r="H1029" s="2" t="s">
        <v>74</v>
      </c>
      <c r="I1029" s="2" t="s">
        <v>75</v>
      </c>
      <c r="J1029" s="2" t="s">
        <v>76</v>
      </c>
      <c r="K1029" s="2" t="s">
        <v>77</v>
      </c>
      <c r="L1029" s="2" t="s">
        <v>98</v>
      </c>
      <c r="M1029" s="2" t="s">
        <v>99</v>
      </c>
      <c r="N1029" s="2" t="s">
        <v>239</v>
      </c>
      <c r="O1029" s="2" t="s">
        <v>96</v>
      </c>
      <c r="P1029" s="2" t="str">
        <f>"2170529783                    "</f>
        <v xml:space="preserve">2170529783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3.32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1</v>
      </c>
      <c r="BJ1029" s="2">
        <v>0.2</v>
      </c>
      <c r="BK1029" s="2">
        <v>1</v>
      </c>
      <c r="BL1029" s="2">
        <v>40.76</v>
      </c>
      <c r="BM1029" s="2">
        <v>5.71</v>
      </c>
      <c r="BN1029" s="2">
        <v>46.47</v>
      </c>
      <c r="BO1029" s="2">
        <v>46.47</v>
      </c>
      <c r="BP1029" s="2"/>
      <c r="BQ1029" s="2" t="s">
        <v>240</v>
      </c>
      <c r="BR1029" s="2" t="s">
        <v>83</v>
      </c>
      <c r="BS1029" s="3">
        <v>42656</v>
      </c>
      <c r="BT1029" s="4">
        <v>0.3888888888888889</v>
      </c>
      <c r="BU1029" s="2" t="s">
        <v>1422</v>
      </c>
      <c r="BV1029" s="2" t="s">
        <v>85</v>
      </c>
      <c r="BW1029" s="2"/>
      <c r="BX1029" s="2"/>
      <c r="BY1029" s="2">
        <v>1200</v>
      </c>
      <c r="BZ1029" s="2" t="s">
        <v>27</v>
      </c>
      <c r="CA1029" s="2" t="s">
        <v>437</v>
      </c>
      <c r="CB1029" s="2"/>
      <c r="CC1029" s="2" t="s">
        <v>99</v>
      </c>
      <c r="CD1029" s="2">
        <v>6001</v>
      </c>
      <c r="CE1029" s="2" t="s">
        <v>108</v>
      </c>
      <c r="CF1029" s="5">
        <v>42656</v>
      </c>
      <c r="CG1029" s="2"/>
      <c r="CH1029" s="2"/>
      <c r="CI1029" s="2">
        <v>1</v>
      </c>
      <c r="CJ1029" s="2">
        <v>1</v>
      </c>
      <c r="CK1029" s="2">
        <v>21</v>
      </c>
      <c r="CL1029" s="2" t="s">
        <v>88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"FES1162506272"</f>
        <v>FES1162506272</v>
      </c>
      <c r="F1030" s="3">
        <v>42655</v>
      </c>
      <c r="G1030" s="2">
        <v>201704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323</v>
      </c>
      <c r="M1030" s="2" t="s">
        <v>324</v>
      </c>
      <c r="N1030" s="2" t="s">
        <v>325</v>
      </c>
      <c r="O1030" s="2" t="s">
        <v>96</v>
      </c>
      <c r="P1030" s="2" t="str">
        <f>"2170529788                    "</f>
        <v xml:space="preserve">2170529788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3.32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1</v>
      </c>
      <c r="BI1030" s="2">
        <v>1</v>
      </c>
      <c r="BJ1030" s="2">
        <v>0.2</v>
      </c>
      <c r="BK1030" s="2">
        <v>1</v>
      </c>
      <c r="BL1030" s="2">
        <v>40.76</v>
      </c>
      <c r="BM1030" s="2">
        <v>5.71</v>
      </c>
      <c r="BN1030" s="2">
        <v>46.47</v>
      </c>
      <c r="BO1030" s="2">
        <v>46.47</v>
      </c>
      <c r="BP1030" s="2"/>
      <c r="BQ1030" s="2" t="s">
        <v>117</v>
      </c>
      <c r="BR1030" s="2" t="s">
        <v>83</v>
      </c>
      <c r="BS1030" s="3">
        <v>42656</v>
      </c>
      <c r="BT1030" s="4">
        <v>0.375</v>
      </c>
      <c r="BU1030" s="2" t="s">
        <v>1385</v>
      </c>
      <c r="BV1030" s="2"/>
      <c r="BW1030" s="2"/>
      <c r="BX1030" s="2"/>
      <c r="BY1030" s="2">
        <v>1200</v>
      </c>
      <c r="BZ1030" s="2" t="s">
        <v>27</v>
      </c>
      <c r="CA1030" s="2" t="s">
        <v>1215</v>
      </c>
      <c r="CB1030" s="2"/>
      <c r="CC1030" s="2" t="s">
        <v>324</v>
      </c>
      <c r="CD1030" s="2">
        <v>9301</v>
      </c>
      <c r="CE1030" s="2" t="s">
        <v>108</v>
      </c>
      <c r="CF1030" s="5">
        <v>42656</v>
      </c>
      <c r="CG1030" s="2"/>
      <c r="CH1030" s="2"/>
      <c r="CI1030" s="2">
        <v>0</v>
      </c>
      <c r="CJ1030" s="2">
        <v>0</v>
      </c>
      <c r="CK1030" s="2">
        <v>21</v>
      </c>
      <c r="CL1030" s="2" t="s">
        <v>88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"FES1162506266"</f>
        <v>FES1162506266</v>
      </c>
      <c r="F1031" s="3">
        <v>42655</v>
      </c>
      <c r="G1031" s="2">
        <v>201704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171</v>
      </c>
      <c r="M1031" s="2" t="s">
        <v>172</v>
      </c>
      <c r="N1031" s="2" t="s">
        <v>429</v>
      </c>
      <c r="O1031" s="2" t="s">
        <v>96</v>
      </c>
      <c r="P1031" s="2" t="str">
        <f>"2170529737                    "</f>
        <v xml:space="preserve">2170529737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9.1199999999999992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5.5</v>
      </c>
      <c r="BJ1031" s="2">
        <v>2.5</v>
      </c>
      <c r="BK1031" s="2">
        <v>5.5</v>
      </c>
      <c r="BL1031" s="2">
        <v>112.08</v>
      </c>
      <c r="BM1031" s="2">
        <v>15.69</v>
      </c>
      <c r="BN1031" s="2">
        <v>127.77</v>
      </c>
      <c r="BO1031" s="2">
        <v>127.77</v>
      </c>
      <c r="BP1031" s="2"/>
      <c r="BQ1031" s="2" t="s">
        <v>430</v>
      </c>
      <c r="BR1031" s="2" t="s">
        <v>83</v>
      </c>
      <c r="BS1031" s="3">
        <v>42656</v>
      </c>
      <c r="BT1031" s="4">
        <v>0.41666666666666669</v>
      </c>
      <c r="BU1031" s="2" t="s">
        <v>1224</v>
      </c>
      <c r="BV1031" s="2" t="s">
        <v>85</v>
      </c>
      <c r="BW1031" s="2"/>
      <c r="BX1031" s="2"/>
      <c r="BY1031" s="2">
        <v>12708.63</v>
      </c>
      <c r="BZ1031" s="2" t="s">
        <v>27</v>
      </c>
      <c r="CA1031" s="2" t="s">
        <v>129</v>
      </c>
      <c r="CB1031" s="2"/>
      <c r="CC1031" s="2" t="s">
        <v>172</v>
      </c>
      <c r="CD1031" s="2">
        <v>6220</v>
      </c>
      <c r="CE1031" s="2" t="s">
        <v>108</v>
      </c>
      <c r="CF1031" s="5">
        <v>42657</v>
      </c>
      <c r="CG1031" s="2"/>
      <c r="CH1031" s="2"/>
      <c r="CI1031" s="2">
        <v>1</v>
      </c>
      <c r="CJ1031" s="2">
        <v>1</v>
      </c>
      <c r="CK1031" s="2">
        <v>21</v>
      </c>
      <c r="CL1031" s="2" t="s">
        <v>88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"FES1162506230"</f>
        <v>FES1162506230</v>
      </c>
      <c r="F1032" s="3">
        <v>42655</v>
      </c>
      <c r="G1032" s="2">
        <v>201704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1423</v>
      </c>
      <c r="M1032" s="2" t="s">
        <v>1424</v>
      </c>
      <c r="N1032" s="2" t="s">
        <v>1425</v>
      </c>
      <c r="O1032" s="2" t="s">
        <v>96</v>
      </c>
      <c r="P1032" s="2" t="str">
        <f>"2170529762                    "</f>
        <v xml:space="preserve">2170529762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6.43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1</v>
      </c>
      <c r="BI1032" s="2">
        <v>1</v>
      </c>
      <c r="BJ1032" s="2">
        <v>0.2</v>
      </c>
      <c r="BK1032" s="2">
        <v>1</v>
      </c>
      <c r="BL1032" s="2">
        <v>78.97</v>
      </c>
      <c r="BM1032" s="2">
        <v>11.06</v>
      </c>
      <c r="BN1032" s="2">
        <v>90.03</v>
      </c>
      <c r="BO1032" s="2">
        <v>90.03</v>
      </c>
      <c r="BP1032" s="2"/>
      <c r="BQ1032" s="2" t="s">
        <v>117</v>
      </c>
      <c r="BR1032" s="2" t="s">
        <v>83</v>
      </c>
      <c r="BS1032" s="3">
        <v>42656</v>
      </c>
      <c r="BT1032" s="4">
        <v>0</v>
      </c>
      <c r="BU1032" s="2" t="s">
        <v>1426</v>
      </c>
      <c r="BV1032" s="2"/>
      <c r="BW1032" s="2"/>
      <c r="BX1032" s="2"/>
      <c r="BY1032" s="2">
        <v>1200</v>
      </c>
      <c r="BZ1032" s="2" t="s">
        <v>27</v>
      </c>
      <c r="CA1032" s="2"/>
      <c r="CB1032" s="2"/>
      <c r="CC1032" s="2" t="s">
        <v>1424</v>
      </c>
      <c r="CD1032" s="2">
        <v>5099</v>
      </c>
      <c r="CE1032" s="2" t="s">
        <v>108</v>
      </c>
      <c r="CF1032" s="2"/>
      <c r="CG1032" s="2"/>
      <c r="CH1032" s="2"/>
      <c r="CI1032" s="2">
        <v>0</v>
      </c>
      <c r="CJ1032" s="2">
        <v>0</v>
      </c>
      <c r="CK1032" s="2">
        <v>23</v>
      </c>
      <c r="CL1032" s="2" t="s">
        <v>88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"FES1162506350"</f>
        <v>FES1162506350</v>
      </c>
      <c r="F1033" s="3">
        <v>42655</v>
      </c>
      <c r="G1033" s="2">
        <v>201704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148</v>
      </c>
      <c r="M1033" s="2" t="s">
        <v>149</v>
      </c>
      <c r="N1033" s="2" t="s">
        <v>1427</v>
      </c>
      <c r="O1033" s="2" t="s">
        <v>96</v>
      </c>
      <c r="P1033" s="2" t="str">
        <f>"2170529895                    "</f>
        <v xml:space="preserve">2170529895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3.32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0.5</v>
      </c>
      <c r="BJ1033" s="2">
        <v>0.2</v>
      </c>
      <c r="BK1033" s="2">
        <v>0.5</v>
      </c>
      <c r="BL1033" s="2">
        <v>40.76</v>
      </c>
      <c r="BM1033" s="2">
        <v>5.71</v>
      </c>
      <c r="BN1033" s="2">
        <v>46.47</v>
      </c>
      <c r="BO1033" s="2">
        <v>46.47</v>
      </c>
      <c r="BP1033" s="2"/>
      <c r="BQ1033" s="2" t="s">
        <v>1428</v>
      </c>
      <c r="BR1033" s="2" t="s">
        <v>83</v>
      </c>
      <c r="BS1033" s="3">
        <v>42656</v>
      </c>
      <c r="BT1033" s="4">
        <v>0.4375</v>
      </c>
      <c r="BU1033" s="2" t="s">
        <v>1429</v>
      </c>
      <c r="BV1033" s="2" t="s">
        <v>85</v>
      </c>
      <c r="BW1033" s="2"/>
      <c r="BX1033" s="2"/>
      <c r="BY1033" s="2">
        <v>1200</v>
      </c>
      <c r="BZ1033" s="2"/>
      <c r="CA1033" s="2"/>
      <c r="CB1033" s="2"/>
      <c r="CC1033" s="2" t="s">
        <v>149</v>
      </c>
      <c r="CD1033" s="2">
        <v>4051</v>
      </c>
      <c r="CE1033" s="2" t="s">
        <v>108</v>
      </c>
      <c r="CF1033" s="5">
        <v>42657</v>
      </c>
      <c r="CG1033" s="2"/>
      <c r="CH1033" s="2"/>
      <c r="CI1033" s="2">
        <v>1</v>
      </c>
      <c r="CJ1033" s="2">
        <v>1</v>
      </c>
      <c r="CK1033" s="2">
        <v>21</v>
      </c>
      <c r="CL1033" s="2" t="s">
        <v>88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"FES1162506280"</f>
        <v>FES1162506280</v>
      </c>
      <c r="F1034" s="3">
        <v>42655</v>
      </c>
      <c r="G1034" s="2">
        <v>201704</v>
      </c>
      <c r="H1034" s="2" t="s">
        <v>74</v>
      </c>
      <c r="I1034" s="2" t="s">
        <v>75</v>
      </c>
      <c r="J1034" s="2" t="s">
        <v>76</v>
      </c>
      <c r="K1034" s="2" t="s">
        <v>77</v>
      </c>
      <c r="L1034" s="2" t="s">
        <v>160</v>
      </c>
      <c r="M1034" s="2" t="s">
        <v>161</v>
      </c>
      <c r="N1034" s="2" t="s">
        <v>267</v>
      </c>
      <c r="O1034" s="2" t="s">
        <v>96</v>
      </c>
      <c r="P1034" s="2" t="str">
        <f>"2170529798                    "</f>
        <v xml:space="preserve">2170529798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14.1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7.1</v>
      </c>
      <c r="BJ1034" s="2">
        <v>8.4</v>
      </c>
      <c r="BK1034" s="2">
        <v>8.5</v>
      </c>
      <c r="BL1034" s="2">
        <v>173.22</v>
      </c>
      <c r="BM1034" s="2">
        <v>24.25</v>
      </c>
      <c r="BN1034" s="2">
        <v>197.47</v>
      </c>
      <c r="BO1034" s="2">
        <v>197.47</v>
      </c>
      <c r="BP1034" s="2"/>
      <c r="BQ1034" s="2" t="s">
        <v>117</v>
      </c>
      <c r="BR1034" s="2" t="s">
        <v>83</v>
      </c>
      <c r="BS1034" s="3">
        <v>42656</v>
      </c>
      <c r="BT1034" s="4">
        <v>0.42708333333333331</v>
      </c>
      <c r="BU1034" s="2" t="s">
        <v>1430</v>
      </c>
      <c r="BV1034" s="2" t="s">
        <v>85</v>
      </c>
      <c r="BW1034" s="2"/>
      <c r="BX1034" s="2"/>
      <c r="BY1034" s="2">
        <v>42036.46</v>
      </c>
      <c r="BZ1034" s="2"/>
      <c r="CA1034" s="2"/>
      <c r="CB1034" s="2"/>
      <c r="CC1034" s="2" t="s">
        <v>161</v>
      </c>
      <c r="CD1034" s="2">
        <v>7441</v>
      </c>
      <c r="CE1034" s="2" t="s">
        <v>86</v>
      </c>
      <c r="CF1034" s="5">
        <v>42657</v>
      </c>
      <c r="CG1034" s="2"/>
      <c r="CH1034" s="2"/>
      <c r="CI1034" s="2">
        <v>1</v>
      </c>
      <c r="CJ1034" s="2">
        <v>1</v>
      </c>
      <c r="CK1034" s="2">
        <v>21</v>
      </c>
      <c r="CL1034" s="2" t="s">
        <v>88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"FES1162506339"</f>
        <v>FES1162506339</v>
      </c>
      <c r="F1035" s="3">
        <v>42655</v>
      </c>
      <c r="G1035" s="2">
        <v>201704</v>
      </c>
      <c r="H1035" s="2" t="s">
        <v>74</v>
      </c>
      <c r="I1035" s="2" t="s">
        <v>75</v>
      </c>
      <c r="J1035" s="2" t="s">
        <v>76</v>
      </c>
      <c r="K1035" s="2" t="s">
        <v>77</v>
      </c>
      <c r="L1035" s="2" t="s">
        <v>160</v>
      </c>
      <c r="M1035" s="2" t="s">
        <v>161</v>
      </c>
      <c r="N1035" s="2" t="s">
        <v>470</v>
      </c>
      <c r="O1035" s="2" t="s">
        <v>96</v>
      </c>
      <c r="P1035" s="2" t="str">
        <f>"2170529676                    "</f>
        <v xml:space="preserve">2170529676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4.1500000000000004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2.1</v>
      </c>
      <c r="BJ1035" s="2">
        <v>0.7</v>
      </c>
      <c r="BK1035" s="2">
        <v>2.5</v>
      </c>
      <c r="BL1035" s="2">
        <v>50.95</v>
      </c>
      <c r="BM1035" s="2">
        <v>7.13</v>
      </c>
      <c r="BN1035" s="2">
        <v>58.08</v>
      </c>
      <c r="BO1035" s="2">
        <v>58.08</v>
      </c>
      <c r="BP1035" s="2"/>
      <c r="BQ1035" s="2" t="s">
        <v>471</v>
      </c>
      <c r="BR1035" s="2" t="s">
        <v>83</v>
      </c>
      <c r="BS1035" s="3">
        <v>42656</v>
      </c>
      <c r="BT1035" s="4">
        <v>0.375</v>
      </c>
      <c r="BU1035" s="2" t="s">
        <v>472</v>
      </c>
      <c r="BV1035" s="2" t="s">
        <v>85</v>
      </c>
      <c r="BW1035" s="2"/>
      <c r="BX1035" s="2"/>
      <c r="BY1035" s="2">
        <v>3716.28</v>
      </c>
      <c r="BZ1035" s="2"/>
      <c r="CA1035" s="2"/>
      <c r="CB1035" s="2"/>
      <c r="CC1035" s="2" t="s">
        <v>161</v>
      </c>
      <c r="CD1035" s="2">
        <v>7945</v>
      </c>
      <c r="CE1035" s="2" t="s">
        <v>86</v>
      </c>
      <c r="CF1035" s="5">
        <v>42657</v>
      </c>
      <c r="CG1035" s="2"/>
      <c r="CH1035" s="2"/>
      <c r="CI1035" s="2">
        <v>1</v>
      </c>
      <c r="CJ1035" s="2">
        <v>1</v>
      </c>
      <c r="CK1035" s="2">
        <v>21</v>
      </c>
      <c r="CL1035" s="2" t="s">
        <v>88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"FES1162506343"</f>
        <v>FES1162506343</v>
      </c>
      <c r="F1036" s="3">
        <v>42655</v>
      </c>
      <c r="G1036" s="2">
        <v>201704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269</v>
      </c>
      <c r="M1036" s="2" t="s">
        <v>270</v>
      </c>
      <c r="N1036" s="2" t="s">
        <v>496</v>
      </c>
      <c r="O1036" s="2" t="s">
        <v>96</v>
      </c>
      <c r="P1036" s="2" t="str">
        <f>"2170529880                    "</f>
        <v xml:space="preserve">2170529880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3.32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0.9</v>
      </c>
      <c r="BJ1036" s="2">
        <v>1</v>
      </c>
      <c r="BK1036" s="2">
        <v>1</v>
      </c>
      <c r="BL1036" s="2">
        <v>40.76</v>
      </c>
      <c r="BM1036" s="2">
        <v>5.71</v>
      </c>
      <c r="BN1036" s="2">
        <v>46.47</v>
      </c>
      <c r="BO1036" s="2">
        <v>46.47</v>
      </c>
      <c r="BP1036" s="2"/>
      <c r="BQ1036" s="2" t="s">
        <v>892</v>
      </c>
      <c r="BR1036" s="2" t="s">
        <v>83</v>
      </c>
      <c r="BS1036" s="3">
        <v>42656</v>
      </c>
      <c r="BT1036" s="4">
        <v>0.4375</v>
      </c>
      <c r="BU1036" s="2" t="s">
        <v>1431</v>
      </c>
      <c r="BV1036" s="2" t="s">
        <v>85</v>
      </c>
      <c r="BW1036" s="2"/>
      <c r="BX1036" s="2"/>
      <c r="BY1036" s="2">
        <v>5068.25</v>
      </c>
      <c r="BZ1036" s="2"/>
      <c r="CA1036" s="2" t="s">
        <v>129</v>
      </c>
      <c r="CB1036" s="2"/>
      <c r="CC1036" s="2" t="s">
        <v>270</v>
      </c>
      <c r="CD1036" s="2">
        <v>3610</v>
      </c>
      <c r="CE1036" s="2" t="s">
        <v>86</v>
      </c>
      <c r="CF1036" s="5">
        <v>42657</v>
      </c>
      <c r="CG1036" s="2"/>
      <c r="CH1036" s="2"/>
      <c r="CI1036" s="2">
        <v>1</v>
      </c>
      <c r="CJ1036" s="2">
        <v>1</v>
      </c>
      <c r="CK1036" s="2">
        <v>21</v>
      </c>
      <c r="CL1036" s="2" t="s">
        <v>88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"FES1162506240"</f>
        <v>FES1162506240</v>
      </c>
      <c r="F1037" s="3">
        <v>42655</v>
      </c>
      <c r="G1037" s="2">
        <v>201704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98</v>
      </c>
      <c r="M1037" s="2" t="s">
        <v>99</v>
      </c>
      <c r="N1037" s="2" t="s">
        <v>656</v>
      </c>
      <c r="O1037" s="2" t="s">
        <v>96</v>
      </c>
      <c r="P1037" s="2" t="str">
        <f>"2170525854                    "</f>
        <v xml:space="preserve">2170525854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5.81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1.7</v>
      </c>
      <c r="BJ1037" s="2">
        <v>3.5</v>
      </c>
      <c r="BK1037" s="2">
        <v>3.5</v>
      </c>
      <c r="BL1037" s="2">
        <v>71.33</v>
      </c>
      <c r="BM1037" s="2">
        <v>9.99</v>
      </c>
      <c r="BN1037" s="2">
        <v>81.319999999999993</v>
      </c>
      <c r="BO1037" s="2">
        <v>81.319999999999993</v>
      </c>
      <c r="BP1037" s="2"/>
      <c r="BQ1037" s="2" t="s">
        <v>657</v>
      </c>
      <c r="BR1037" s="2" t="s">
        <v>83</v>
      </c>
      <c r="BS1037" s="3">
        <v>42656</v>
      </c>
      <c r="BT1037" s="4">
        <v>0.40972222222222227</v>
      </c>
      <c r="BU1037" s="2" t="s">
        <v>1432</v>
      </c>
      <c r="BV1037" s="2"/>
      <c r="BW1037" s="2"/>
      <c r="BX1037" s="2"/>
      <c r="BY1037" s="2">
        <v>17372.16</v>
      </c>
      <c r="BZ1037" s="2"/>
      <c r="CA1037" s="2" t="s">
        <v>129</v>
      </c>
      <c r="CB1037" s="2"/>
      <c r="CC1037" s="2" t="s">
        <v>99</v>
      </c>
      <c r="CD1037" s="2">
        <v>6001</v>
      </c>
      <c r="CE1037" s="2" t="s">
        <v>86</v>
      </c>
      <c r="CF1037" s="5">
        <v>42657</v>
      </c>
      <c r="CG1037" s="2"/>
      <c r="CH1037" s="2"/>
      <c r="CI1037" s="2">
        <v>0</v>
      </c>
      <c r="CJ1037" s="2">
        <v>0</v>
      </c>
      <c r="CK1037" s="2">
        <v>21</v>
      </c>
      <c r="CL1037" s="2" t="s">
        <v>88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"FES1162506318"</f>
        <v>FES1162506318</v>
      </c>
      <c r="F1038" s="3">
        <v>42655</v>
      </c>
      <c r="G1038" s="2">
        <v>201704</v>
      </c>
      <c r="H1038" s="2" t="s">
        <v>74</v>
      </c>
      <c r="I1038" s="2" t="s">
        <v>75</v>
      </c>
      <c r="J1038" s="2" t="s">
        <v>76</v>
      </c>
      <c r="K1038" s="2" t="s">
        <v>77</v>
      </c>
      <c r="L1038" s="2" t="s">
        <v>98</v>
      </c>
      <c r="M1038" s="2" t="s">
        <v>99</v>
      </c>
      <c r="N1038" s="2" t="s">
        <v>190</v>
      </c>
      <c r="O1038" s="2" t="s">
        <v>96</v>
      </c>
      <c r="P1038" s="2" t="str">
        <f>"2170529689                    "</f>
        <v xml:space="preserve">2170529689  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6.63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3.7</v>
      </c>
      <c r="BJ1038" s="2">
        <v>3.5</v>
      </c>
      <c r="BK1038" s="2">
        <v>4</v>
      </c>
      <c r="BL1038" s="2">
        <v>81.510000000000005</v>
      </c>
      <c r="BM1038" s="2">
        <v>11.41</v>
      </c>
      <c r="BN1038" s="2">
        <v>92.92</v>
      </c>
      <c r="BO1038" s="2">
        <v>92.92</v>
      </c>
      <c r="BP1038" s="2"/>
      <c r="BQ1038" s="2" t="s">
        <v>1034</v>
      </c>
      <c r="BR1038" s="2" t="s">
        <v>83</v>
      </c>
      <c r="BS1038" s="3">
        <v>42656</v>
      </c>
      <c r="BT1038" s="4">
        <v>0.375</v>
      </c>
      <c r="BU1038" s="2" t="s">
        <v>835</v>
      </c>
      <c r="BV1038" s="2" t="s">
        <v>85</v>
      </c>
      <c r="BW1038" s="2"/>
      <c r="BX1038" s="2"/>
      <c r="BY1038" s="2">
        <v>17491.97</v>
      </c>
      <c r="BZ1038" s="2"/>
      <c r="CA1038" s="2" t="s">
        <v>1287</v>
      </c>
      <c r="CB1038" s="2"/>
      <c r="CC1038" s="2" t="s">
        <v>99</v>
      </c>
      <c r="CD1038" s="2">
        <v>6001</v>
      </c>
      <c r="CE1038" s="2" t="s">
        <v>86</v>
      </c>
      <c r="CF1038" s="5">
        <v>42656</v>
      </c>
      <c r="CG1038" s="2"/>
      <c r="CH1038" s="2"/>
      <c r="CI1038" s="2">
        <v>1</v>
      </c>
      <c r="CJ1038" s="2">
        <v>1</v>
      </c>
      <c r="CK1038" s="2">
        <v>21</v>
      </c>
      <c r="CL1038" s="2" t="s">
        <v>88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"FES1162506362"</f>
        <v>FES1162506362</v>
      </c>
      <c r="F1039" s="3">
        <v>42655</v>
      </c>
      <c r="G1039" s="2">
        <v>201704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269</v>
      </c>
      <c r="M1039" s="2" t="s">
        <v>270</v>
      </c>
      <c r="N1039" s="2" t="s">
        <v>496</v>
      </c>
      <c r="O1039" s="2" t="s">
        <v>96</v>
      </c>
      <c r="P1039" s="2" t="str">
        <f>"2170529906                    "</f>
        <v xml:space="preserve">2170529906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3.32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0.8</v>
      </c>
      <c r="BJ1039" s="2">
        <v>1.7</v>
      </c>
      <c r="BK1039" s="2">
        <v>2</v>
      </c>
      <c r="BL1039" s="2">
        <v>40.76</v>
      </c>
      <c r="BM1039" s="2">
        <v>5.71</v>
      </c>
      <c r="BN1039" s="2">
        <v>46.47</v>
      </c>
      <c r="BO1039" s="2">
        <v>46.47</v>
      </c>
      <c r="BP1039" s="2"/>
      <c r="BQ1039" s="2" t="s">
        <v>892</v>
      </c>
      <c r="BR1039" s="2" t="s">
        <v>83</v>
      </c>
      <c r="BS1039" s="3">
        <v>42660</v>
      </c>
      <c r="BT1039" s="4">
        <v>0.4375</v>
      </c>
      <c r="BU1039" s="2" t="s">
        <v>1433</v>
      </c>
      <c r="BV1039" s="2" t="s">
        <v>88</v>
      </c>
      <c r="BW1039" s="2" t="s">
        <v>654</v>
      </c>
      <c r="BX1039" s="2" t="s">
        <v>655</v>
      </c>
      <c r="BY1039" s="2">
        <v>8324.16</v>
      </c>
      <c r="BZ1039" s="2"/>
      <c r="CA1039" s="2" t="s">
        <v>329</v>
      </c>
      <c r="CB1039" s="2"/>
      <c r="CC1039" s="2" t="s">
        <v>270</v>
      </c>
      <c r="CD1039" s="2">
        <v>3610</v>
      </c>
      <c r="CE1039" s="2" t="s">
        <v>86</v>
      </c>
      <c r="CF1039" s="5">
        <v>42663</v>
      </c>
      <c r="CG1039" s="2"/>
      <c r="CH1039" s="2"/>
      <c r="CI1039" s="2">
        <v>1</v>
      </c>
      <c r="CJ1039" s="2">
        <v>3</v>
      </c>
      <c r="CK1039" s="2">
        <v>21</v>
      </c>
      <c r="CL1039" s="2" t="s">
        <v>88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"FES1162506246"</f>
        <v>FES1162506246</v>
      </c>
      <c r="F1040" s="3">
        <v>42655</v>
      </c>
      <c r="G1040" s="2">
        <v>201704</v>
      </c>
      <c r="H1040" s="2" t="s">
        <v>74</v>
      </c>
      <c r="I1040" s="2" t="s">
        <v>75</v>
      </c>
      <c r="J1040" s="2" t="s">
        <v>76</v>
      </c>
      <c r="K1040" s="2" t="s">
        <v>77</v>
      </c>
      <c r="L1040" s="2" t="s">
        <v>872</v>
      </c>
      <c r="M1040" s="2" t="s">
        <v>873</v>
      </c>
      <c r="N1040" s="2" t="s">
        <v>1342</v>
      </c>
      <c r="O1040" s="2" t="s">
        <v>96</v>
      </c>
      <c r="P1040" s="2" t="str">
        <f>"2170526541                    "</f>
        <v xml:space="preserve">2170526541  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11.61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7</v>
      </c>
      <c r="BJ1040" s="2">
        <v>3.7</v>
      </c>
      <c r="BK1040" s="2">
        <v>7</v>
      </c>
      <c r="BL1040" s="2">
        <v>142.65</v>
      </c>
      <c r="BM1040" s="2">
        <v>19.97</v>
      </c>
      <c r="BN1040" s="2">
        <v>162.62</v>
      </c>
      <c r="BO1040" s="2">
        <v>162.62</v>
      </c>
      <c r="BP1040" s="2"/>
      <c r="BQ1040" s="2" t="s">
        <v>1343</v>
      </c>
      <c r="BR1040" s="2" t="s">
        <v>83</v>
      </c>
      <c r="BS1040" s="3">
        <v>42656</v>
      </c>
      <c r="BT1040" s="4">
        <v>0.34027777777777773</v>
      </c>
      <c r="BU1040" s="2" t="s">
        <v>431</v>
      </c>
      <c r="BV1040" s="2" t="s">
        <v>85</v>
      </c>
      <c r="BW1040" s="2"/>
      <c r="BX1040" s="2"/>
      <c r="BY1040" s="2">
        <v>18600</v>
      </c>
      <c r="BZ1040" s="2"/>
      <c r="CA1040" s="2"/>
      <c r="CB1040" s="2"/>
      <c r="CC1040" s="2" t="s">
        <v>873</v>
      </c>
      <c r="CD1040" s="2">
        <v>4126</v>
      </c>
      <c r="CE1040" s="2" t="s">
        <v>86</v>
      </c>
      <c r="CF1040" s="5">
        <v>42657</v>
      </c>
      <c r="CG1040" s="2"/>
      <c r="CH1040" s="2"/>
      <c r="CI1040" s="2">
        <v>1</v>
      </c>
      <c r="CJ1040" s="2">
        <v>1</v>
      </c>
      <c r="CK1040" s="2">
        <v>21</v>
      </c>
      <c r="CL1040" s="2" t="s">
        <v>88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"FES1162506247"</f>
        <v>FES1162506247</v>
      </c>
      <c r="F1041" s="3">
        <v>42655</v>
      </c>
      <c r="G1041" s="2">
        <v>201704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153</v>
      </c>
      <c r="M1041" s="2" t="s">
        <v>153</v>
      </c>
      <c r="N1041" s="2" t="s">
        <v>200</v>
      </c>
      <c r="O1041" s="2" t="s">
        <v>96</v>
      </c>
      <c r="P1041" s="2" t="str">
        <f>"2170527439                    "</f>
        <v xml:space="preserve">2170527439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14.93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5.9</v>
      </c>
      <c r="BJ1041" s="2">
        <v>9</v>
      </c>
      <c r="BK1041" s="2">
        <v>9</v>
      </c>
      <c r="BL1041" s="2">
        <v>183.41</v>
      </c>
      <c r="BM1041" s="2">
        <v>25.68</v>
      </c>
      <c r="BN1041" s="2">
        <v>209.09</v>
      </c>
      <c r="BO1041" s="2">
        <v>209.09</v>
      </c>
      <c r="BP1041" s="2"/>
      <c r="BQ1041" s="2" t="s">
        <v>201</v>
      </c>
      <c r="BR1041" s="2" t="s">
        <v>83</v>
      </c>
      <c r="BS1041" s="3">
        <v>42656</v>
      </c>
      <c r="BT1041" s="4">
        <v>0.50347222222222221</v>
      </c>
      <c r="BU1041" s="2" t="s">
        <v>448</v>
      </c>
      <c r="BV1041" s="2" t="s">
        <v>85</v>
      </c>
      <c r="BW1041" s="2"/>
      <c r="BX1041" s="2"/>
      <c r="BY1041" s="2">
        <v>45052.2</v>
      </c>
      <c r="BZ1041" s="2"/>
      <c r="CA1041" s="2"/>
      <c r="CB1041" s="2"/>
      <c r="CC1041" s="2" t="s">
        <v>153</v>
      </c>
      <c r="CD1041" s="2">
        <v>7646</v>
      </c>
      <c r="CE1041" s="2" t="s">
        <v>86</v>
      </c>
      <c r="CF1041" s="5">
        <v>42657</v>
      </c>
      <c r="CG1041" s="2"/>
      <c r="CH1041" s="2"/>
      <c r="CI1041" s="2">
        <v>1</v>
      </c>
      <c r="CJ1041" s="2">
        <v>1</v>
      </c>
      <c r="CK1041" s="2">
        <v>21</v>
      </c>
      <c r="CL1041" s="2" t="s">
        <v>88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"FES1162506361"</f>
        <v>FES1162506361</v>
      </c>
      <c r="F1042" s="3">
        <v>42655</v>
      </c>
      <c r="G1042" s="2">
        <v>201704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153</v>
      </c>
      <c r="M1042" s="2" t="s">
        <v>153</v>
      </c>
      <c r="N1042" s="2" t="s">
        <v>343</v>
      </c>
      <c r="O1042" s="2" t="s">
        <v>96</v>
      </c>
      <c r="P1042" s="2" t="str">
        <f>"2170529904                    "</f>
        <v xml:space="preserve">2170529904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3.32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0.5</v>
      </c>
      <c r="BJ1042" s="2">
        <v>0.2</v>
      </c>
      <c r="BK1042" s="2">
        <v>0.5</v>
      </c>
      <c r="BL1042" s="2">
        <v>40.76</v>
      </c>
      <c r="BM1042" s="2">
        <v>5.71</v>
      </c>
      <c r="BN1042" s="2">
        <v>46.47</v>
      </c>
      <c r="BO1042" s="2">
        <v>46.47</v>
      </c>
      <c r="BP1042" s="2"/>
      <c r="BQ1042" s="2" t="s">
        <v>344</v>
      </c>
      <c r="BR1042" s="2" t="s">
        <v>83</v>
      </c>
      <c r="BS1042" s="3">
        <v>42656</v>
      </c>
      <c r="BT1042" s="4">
        <v>0.49305555555555558</v>
      </c>
      <c r="BU1042" s="2" t="s">
        <v>720</v>
      </c>
      <c r="BV1042" s="2" t="s">
        <v>85</v>
      </c>
      <c r="BW1042" s="2"/>
      <c r="BX1042" s="2"/>
      <c r="BY1042" s="2">
        <v>1200</v>
      </c>
      <c r="BZ1042" s="2"/>
      <c r="CA1042" s="2"/>
      <c r="CB1042" s="2"/>
      <c r="CC1042" s="2" t="s">
        <v>153</v>
      </c>
      <c r="CD1042" s="2">
        <v>7646</v>
      </c>
      <c r="CE1042" s="2" t="s">
        <v>108</v>
      </c>
      <c r="CF1042" s="5">
        <v>42657</v>
      </c>
      <c r="CG1042" s="2"/>
      <c r="CH1042" s="2"/>
      <c r="CI1042" s="2">
        <v>1</v>
      </c>
      <c r="CJ1042" s="2">
        <v>1</v>
      </c>
      <c r="CK1042" s="2">
        <v>21</v>
      </c>
      <c r="CL1042" s="2" t="s">
        <v>88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"FES1162506271"</f>
        <v>FES1162506271</v>
      </c>
      <c r="F1043" s="3">
        <v>42655</v>
      </c>
      <c r="G1043" s="2">
        <v>201704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160</v>
      </c>
      <c r="M1043" s="2" t="s">
        <v>161</v>
      </c>
      <c r="N1043" s="2" t="s">
        <v>1434</v>
      </c>
      <c r="O1043" s="2" t="s">
        <v>96</v>
      </c>
      <c r="P1043" s="2" t="str">
        <f>"2170529786                    "</f>
        <v xml:space="preserve">2170529786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4.9800000000000004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1</v>
      </c>
      <c r="BI1043" s="2">
        <v>2</v>
      </c>
      <c r="BJ1043" s="2">
        <v>2.8</v>
      </c>
      <c r="BK1043" s="2">
        <v>3</v>
      </c>
      <c r="BL1043" s="2">
        <v>61.14</v>
      </c>
      <c r="BM1043" s="2">
        <v>8.56</v>
      </c>
      <c r="BN1043" s="2">
        <v>69.7</v>
      </c>
      <c r="BO1043" s="2">
        <v>69.7</v>
      </c>
      <c r="BP1043" s="2"/>
      <c r="BQ1043" s="2" t="s">
        <v>91</v>
      </c>
      <c r="BR1043" s="2" t="s">
        <v>83</v>
      </c>
      <c r="BS1043" s="3">
        <v>42656</v>
      </c>
      <c r="BT1043" s="4">
        <v>0.4597222222222222</v>
      </c>
      <c r="BU1043" s="2" t="s">
        <v>1435</v>
      </c>
      <c r="BV1043" s="2" t="s">
        <v>88</v>
      </c>
      <c r="BW1043" s="2" t="s">
        <v>277</v>
      </c>
      <c r="BX1043" s="2" t="s">
        <v>223</v>
      </c>
      <c r="BY1043" s="2">
        <v>14175.36</v>
      </c>
      <c r="BZ1043" s="2"/>
      <c r="CA1043" s="2" t="s">
        <v>229</v>
      </c>
      <c r="CB1043" s="2"/>
      <c r="CC1043" s="2" t="s">
        <v>161</v>
      </c>
      <c r="CD1043" s="2">
        <v>7460</v>
      </c>
      <c r="CE1043" s="2" t="s">
        <v>86</v>
      </c>
      <c r="CF1043" s="5">
        <v>42656</v>
      </c>
      <c r="CG1043" s="2"/>
      <c r="CH1043" s="2"/>
      <c r="CI1043" s="2">
        <v>1</v>
      </c>
      <c r="CJ1043" s="2">
        <v>1</v>
      </c>
      <c r="CK1043" s="2">
        <v>21</v>
      </c>
      <c r="CL1043" s="2" t="s">
        <v>88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"FES1162505996"</f>
        <v>FES1162505996</v>
      </c>
      <c r="F1044" s="3">
        <v>42655</v>
      </c>
      <c r="G1044" s="2">
        <v>201704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160</v>
      </c>
      <c r="M1044" s="2" t="s">
        <v>161</v>
      </c>
      <c r="N1044" s="2" t="s">
        <v>1436</v>
      </c>
      <c r="O1044" s="2" t="s">
        <v>96</v>
      </c>
      <c r="P1044" s="2" t="str">
        <f>"2170521913                    "</f>
        <v xml:space="preserve">2170521913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3.32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1</v>
      </c>
      <c r="BJ1044" s="2">
        <v>0.2</v>
      </c>
      <c r="BK1044" s="2">
        <v>1</v>
      </c>
      <c r="BL1044" s="2">
        <v>40.76</v>
      </c>
      <c r="BM1044" s="2">
        <v>5.71</v>
      </c>
      <c r="BN1044" s="2">
        <v>46.47</v>
      </c>
      <c r="BO1044" s="2">
        <v>46.47</v>
      </c>
      <c r="BP1044" s="2"/>
      <c r="BQ1044" s="2" t="s">
        <v>1437</v>
      </c>
      <c r="BR1044" s="2" t="s">
        <v>83</v>
      </c>
      <c r="BS1044" s="3">
        <v>42656</v>
      </c>
      <c r="BT1044" s="4">
        <v>0.41666666666666669</v>
      </c>
      <c r="BU1044" s="2" t="s">
        <v>1438</v>
      </c>
      <c r="BV1044" s="2" t="s">
        <v>85</v>
      </c>
      <c r="BW1044" s="2"/>
      <c r="BX1044" s="2"/>
      <c r="BY1044" s="2">
        <v>1200</v>
      </c>
      <c r="BZ1044" s="2"/>
      <c r="CA1044" s="2"/>
      <c r="CB1044" s="2"/>
      <c r="CC1044" s="2" t="s">
        <v>161</v>
      </c>
      <c r="CD1044" s="2">
        <v>7460</v>
      </c>
      <c r="CE1044" s="2" t="s">
        <v>108</v>
      </c>
      <c r="CF1044" s="5">
        <v>42657</v>
      </c>
      <c r="CG1044" s="2"/>
      <c r="CH1044" s="2"/>
      <c r="CI1044" s="2">
        <v>1</v>
      </c>
      <c r="CJ1044" s="2">
        <v>1</v>
      </c>
      <c r="CK1044" s="2">
        <v>21</v>
      </c>
      <c r="CL1044" s="2" t="s">
        <v>88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"FES1162506305"</f>
        <v>FES1162506305</v>
      </c>
      <c r="F1045" s="3">
        <v>42655</v>
      </c>
      <c r="G1045" s="2">
        <v>201704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160</v>
      </c>
      <c r="M1045" s="2" t="s">
        <v>161</v>
      </c>
      <c r="N1045" s="2" t="s">
        <v>622</v>
      </c>
      <c r="O1045" s="2" t="s">
        <v>96</v>
      </c>
      <c r="P1045" s="2" t="str">
        <f>"2170529833                    "</f>
        <v xml:space="preserve">2170529833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3.32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0.5</v>
      </c>
      <c r="BJ1045" s="2">
        <v>0.2</v>
      </c>
      <c r="BK1045" s="2">
        <v>0.5</v>
      </c>
      <c r="BL1045" s="2">
        <v>40.76</v>
      </c>
      <c r="BM1045" s="2">
        <v>5.71</v>
      </c>
      <c r="BN1045" s="2">
        <v>46.47</v>
      </c>
      <c r="BO1045" s="2">
        <v>46.47</v>
      </c>
      <c r="BP1045" s="2"/>
      <c r="BQ1045" s="2" t="s">
        <v>623</v>
      </c>
      <c r="BR1045" s="2" t="s">
        <v>83</v>
      </c>
      <c r="BS1045" s="3">
        <v>42656</v>
      </c>
      <c r="BT1045" s="4">
        <v>0.43333333333333335</v>
      </c>
      <c r="BU1045" s="2" t="s">
        <v>624</v>
      </c>
      <c r="BV1045" s="2" t="s">
        <v>85</v>
      </c>
      <c r="BW1045" s="2"/>
      <c r="BX1045" s="2"/>
      <c r="BY1045" s="2">
        <v>1200</v>
      </c>
      <c r="BZ1045" s="2"/>
      <c r="CA1045" s="2"/>
      <c r="CB1045" s="2"/>
      <c r="CC1045" s="2" t="s">
        <v>161</v>
      </c>
      <c r="CD1045" s="2">
        <v>7490</v>
      </c>
      <c r="CE1045" s="2" t="s">
        <v>108</v>
      </c>
      <c r="CF1045" s="5">
        <v>42657</v>
      </c>
      <c r="CG1045" s="2"/>
      <c r="CH1045" s="2"/>
      <c r="CI1045" s="2">
        <v>1</v>
      </c>
      <c r="CJ1045" s="2">
        <v>1</v>
      </c>
      <c r="CK1045" s="2">
        <v>21</v>
      </c>
      <c r="CL1045" s="2" t="s">
        <v>88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"FES1162506092"</f>
        <v>FES1162506092</v>
      </c>
      <c r="F1046" s="3">
        <v>42655</v>
      </c>
      <c r="G1046" s="2">
        <v>201704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676</v>
      </c>
      <c r="M1046" s="2" t="s">
        <v>677</v>
      </c>
      <c r="N1046" s="2" t="s">
        <v>678</v>
      </c>
      <c r="O1046" s="2" t="s">
        <v>96</v>
      </c>
      <c r="P1046" s="2" t="str">
        <f>"217052704                     "</f>
        <v xml:space="preserve">217052704 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4.66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0.5</v>
      </c>
      <c r="BJ1046" s="2">
        <v>0.2</v>
      </c>
      <c r="BK1046" s="2">
        <v>0.5</v>
      </c>
      <c r="BL1046" s="2">
        <v>57.31</v>
      </c>
      <c r="BM1046" s="2">
        <v>8.02</v>
      </c>
      <c r="BN1046" s="2">
        <v>65.33</v>
      </c>
      <c r="BO1046" s="2">
        <v>65.33</v>
      </c>
      <c r="BP1046" s="2"/>
      <c r="BQ1046" s="2" t="s">
        <v>91</v>
      </c>
      <c r="BR1046" s="2" t="s">
        <v>83</v>
      </c>
      <c r="BS1046" s="3">
        <v>42656</v>
      </c>
      <c r="BT1046" s="4">
        <v>0.61944444444444446</v>
      </c>
      <c r="BU1046" s="2" t="s">
        <v>1439</v>
      </c>
      <c r="BV1046" s="2" t="s">
        <v>88</v>
      </c>
      <c r="BW1046" s="2" t="s">
        <v>991</v>
      </c>
      <c r="BX1046" s="2" t="s">
        <v>1440</v>
      </c>
      <c r="BY1046" s="2">
        <v>1200</v>
      </c>
      <c r="BZ1046" s="2"/>
      <c r="CA1046" s="2"/>
      <c r="CB1046" s="2"/>
      <c r="CC1046" s="2" t="s">
        <v>677</v>
      </c>
      <c r="CD1046" s="2">
        <v>1779</v>
      </c>
      <c r="CE1046" s="2" t="s">
        <v>108</v>
      </c>
      <c r="CF1046" s="5">
        <v>42657</v>
      </c>
      <c r="CG1046" s="2"/>
      <c r="CH1046" s="2"/>
      <c r="CI1046" s="2">
        <v>1</v>
      </c>
      <c r="CJ1046" s="2">
        <v>1</v>
      </c>
      <c r="CK1046" s="2">
        <v>24</v>
      </c>
      <c r="CL1046" s="2" t="s">
        <v>88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"FES1162506232"</f>
        <v>FES1162506232</v>
      </c>
      <c r="F1047" s="3">
        <v>42655</v>
      </c>
      <c r="G1047" s="2">
        <v>201704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372</v>
      </c>
      <c r="M1047" s="2" t="s">
        <v>373</v>
      </c>
      <c r="N1047" s="2" t="s">
        <v>374</v>
      </c>
      <c r="O1047" s="2" t="s">
        <v>96</v>
      </c>
      <c r="P1047" s="2" t="str">
        <f>"2170529769                    "</f>
        <v xml:space="preserve">2170529769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6.43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0.5</v>
      </c>
      <c r="BJ1047" s="2">
        <v>0.2</v>
      </c>
      <c r="BK1047" s="2">
        <v>0.5</v>
      </c>
      <c r="BL1047" s="2">
        <v>78.97</v>
      </c>
      <c r="BM1047" s="2">
        <v>11.06</v>
      </c>
      <c r="BN1047" s="2">
        <v>90.03</v>
      </c>
      <c r="BO1047" s="2">
        <v>90.03</v>
      </c>
      <c r="BP1047" s="2"/>
      <c r="BQ1047" s="2" t="s">
        <v>375</v>
      </c>
      <c r="BR1047" s="2" t="s">
        <v>83</v>
      </c>
      <c r="BS1047" s="3">
        <v>42656</v>
      </c>
      <c r="BT1047" s="4">
        <v>0.5</v>
      </c>
      <c r="BU1047" s="2" t="s">
        <v>1441</v>
      </c>
      <c r="BV1047" s="2" t="s">
        <v>85</v>
      </c>
      <c r="BW1047" s="2"/>
      <c r="BX1047" s="2"/>
      <c r="BY1047" s="2">
        <v>1200</v>
      </c>
      <c r="BZ1047" s="2"/>
      <c r="CA1047" s="2"/>
      <c r="CB1047" s="2"/>
      <c r="CC1047" s="2" t="s">
        <v>373</v>
      </c>
      <c r="CD1047" s="2">
        <v>9650</v>
      </c>
      <c r="CE1047" s="2" t="s">
        <v>108</v>
      </c>
      <c r="CF1047" s="5">
        <v>42663</v>
      </c>
      <c r="CG1047" s="2"/>
      <c r="CH1047" s="2"/>
      <c r="CI1047" s="2">
        <v>1</v>
      </c>
      <c r="CJ1047" s="2">
        <v>1</v>
      </c>
      <c r="CK1047" s="2">
        <v>23</v>
      </c>
      <c r="CL1047" s="2" t="s">
        <v>88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"FES1162506334"</f>
        <v>FES1162506334</v>
      </c>
      <c r="F1048" s="3">
        <v>42655</v>
      </c>
      <c r="G1048" s="2">
        <v>201704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143</v>
      </c>
      <c r="M1048" s="2" t="s">
        <v>144</v>
      </c>
      <c r="N1048" s="2" t="s">
        <v>909</v>
      </c>
      <c r="O1048" s="2" t="s">
        <v>96</v>
      </c>
      <c r="P1048" s="2" t="str">
        <f>"2170529870                    "</f>
        <v xml:space="preserve">2170529870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3.32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1</v>
      </c>
      <c r="BJ1048" s="2">
        <v>0.2</v>
      </c>
      <c r="BK1048" s="2">
        <v>1</v>
      </c>
      <c r="BL1048" s="2">
        <v>40.76</v>
      </c>
      <c r="BM1048" s="2">
        <v>5.71</v>
      </c>
      <c r="BN1048" s="2">
        <v>46.47</v>
      </c>
      <c r="BO1048" s="2">
        <v>46.47</v>
      </c>
      <c r="BP1048" s="2"/>
      <c r="BQ1048" s="2" t="s">
        <v>117</v>
      </c>
      <c r="BR1048" s="2" t="s">
        <v>83</v>
      </c>
      <c r="BS1048" s="3">
        <v>42656</v>
      </c>
      <c r="BT1048" s="4">
        <v>0.41666666666666669</v>
      </c>
      <c r="BU1048" s="2" t="s">
        <v>927</v>
      </c>
      <c r="BV1048" s="2"/>
      <c r="BW1048" s="2"/>
      <c r="BX1048" s="2"/>
      <c r="BY1048" s="2">
        <v>1200</v>
      </c>
      <c r="BZ1048" s="2"/>
      <c r="CA1048" s="2" t="s">
        <v>129</v>
      </c>
      <c r="CB1048" s="2"/>
      <c r="CC1048" s="2" t="s">
        <v>144</v>
      </c>
      <c r="CD1048" s="2">
        <v>5201</v>
      </c>
      <c r="CE1048" s="2" t="s">
        <v>108</v>
      </c>
      <c r="CF1048" s="5">
        <v>42660</v>
      </c>
      <c r="CG1048" s="2"/>
      <c r="CH1048" s="2"/>
      <c r="CI1048" s="2">
        <v>0</v>
      </c>
      <c r="CJ1048" s="2">
        <v>0</v>
      </c>
      <c r="CK1048" s="2">
        <v>21</v>
      </c>
      <c r="CL1048" s="2" t="s">
        <v>88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"FES1162506303"</f>
        <v>FES1162506303</v>
      </c>
      <c r="F1049" s="3">
        <v>42655</v>
      </c>
      <c r="G1049" s="2">
        <v>201704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148</v>
      </c>
      <c r="M1049" s="2" t="s">
        <v>149</v>
      </c>
      <c r="N1049" s="2" t="s">
        <v>473</v>
      </c>
      <c r="O1049" s="2" t="s">
        <v>96</v>
      </c>
      <c r="P1049" s="2" t="str">
        <f>"2170529831                    "</f>
        <v xml:space="preserve">2170529831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3.32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0.3</v>
      </c>
      <c r="BJ1049" s="2">
        <v>0.7</v>
      </c>
      <c r="BK1049" s="2">
        <v>1</v>
      </c>
      <c r="BL1049" s="2">
        <v>40.76</v>
      </c>
      <c r="BM1049" s="2">
        <v>5.71</v>
      </c>
      <c r="BN1049" s="2">
        <v>46.47</v>
      </c>
      <c r="BO1049" s="2">
        <v>46.47</v>
      </c>
      <c r="BP1049" s="2"/>
      <c r="BQ1049" s="2" t="s">
        <v>117</v>
      </c>
      <c r="BR1049" s="2" t="s">
        <v>83</v>
      </c>
      <c r="BS1049" s="3">
        <v>42656</v>
      </c>
      <c r="BT1049" s="4">
        <v>0.4375</v>
      </c>
      <c r="BU1049" s="2" t="s">
        <v>728</v>
      </c>
      <c r="BV1049" s="2" t="s">
        <v>85</v>
      </c>
      <c r="BW1049" s="2"/>
      <c r="BX1049" s="2"/>
      <c r="BY1049" s="2">
        <v>3657.72</v>
      </c>
      <c r="BZ1049" s="2"/>
      <c r="CA1049" s="2" t="s">
        <v>129</v>
      </c>
      <c r="CB1049" s="2"/>
      <c r="CC1049" s="2" t="s">
        <v>149</v>
      </c>
      <c r="CD1049" s="2">
        <v>4052</v>
      </c>
      <c r="CE1049" s="2" t="s">
        <v>108</v>
      </c>
      <c r="CF1049" s="5">
        <v>42657</v>
      </c>
      <c r="CG1049" s="2"/>
      <c r="CH1049" s="2"/>
      <c r="CI1049" s="2">
        <v>1</v>
      </c>
      <c r="CJ1049" s="2">
        <v>1</v>
      </c>
      <c r="CK1049" s="2">
        <v>21</v>
      </c>
      <c r="CL1049" s="2" t="s">
        <v>88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"FES1162506319"</f>
        <v>FES1162506319</v>
      </c>
      <c r="F1050" s="3">
        <v>42655</v>
      </c>
      <c r="G1050" s="2">
        <v>201704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98</v>
      </c>
      <c r="M1050" s="2" t="s">
        <v>99</v>
      </c>
      <c r="N1050" s="2" t="s">
        <v>190</v>
      </c>
      <c r="O1050" s="2" t="s">
        <v>96</v>
      </c>
      <c r="P1050" s="2" t="str">
        <f>"21705829850                   "</f>
        <v xml:space="preserve">21705829850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3.32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0.5</v>
      </c>
      <c r="BJ1050" s="2">
        <v>0.2</v>
      </c>
      <c r="BK1050" s="2">
        <v>0.5</v>
      </c>
      <c r="BL1050" s="2">
        <v>40.76</v>
      </c>
      <c r="BM1050" s="2">
        <v>5.71</v>
      </c>
      <c r="BN1050" s="2">
        <v>46.47</v>
      </c>
      <c r="BO1050" s="2">
        <v>46.47</v>
      </c>
      <c r="BP1050" s="2"/>
      <c r="BQ1050" s="2" t="s">
        <v>1034</v>
      </c>
      <c r="BR1050" s="2" t="s">
        <v>83</v>
      </c>
      <c r="BS1050" s="3">
        <v>42656</v>
      </c>
      <c r="BT1050" s="4">
        <v>0.38194444444444442</v>
      </c>
      <c r="BU1050" s="2" t="s">
        <v>1442</v>
      </c>
      <c r="BV1050" s="2" t="s">
        <v>85</v>
      </c>
      <c r="BW1050" s="2"/>
      <c r="BX1050" s="2"/>
      <c r="BY1050" s="2">
        <v>1200</v>
      </c>
      <c r="BZ1050" s="2"/>
      <c r="CA1050" s="2" t="s">
        <v>129</v>
      </c>
      <c r="CB1050" s="2"/>
      <c r="CC1050" s="2" t="s">
        <v>99</v>
      </c>
      <c r="CD1050" s="2">
        <v>6001</v>
      </c>
      <c r="CE1050" s="2" t="s">
        <v>108</v>
      </c>
      <c r="CF1050" s="5">
        <v>42657</v>
      </c>
      <c r="CG1050" s="2"/>
      <c r="CH1050" s="2"/>
      <c r="CI1050" s="2">
        <v>1</v>
      </c>
      <c r="CJ1050" s="2">
        <v>1</v>
      </c>
      <c r="CK1050" s="2">
        <v>21</v>
      </c>
      <c r="CL1050" s="2" t="s">
        <v>88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"FES1162506313"</f>
        <v>FES1162506313</v>
      </c>
      <c r="F1051" s="3">
        <v>42655</v>
      </c>
      <c r="G1051" s="2">
        <v>201704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98</v>
      </c>
      <c r="M1051" s="2" t="s">
        <v>99</v>
      </c>
      <c r="N1051" s="2" t="s">
        <v>190</v>
      </c>
      <c r="O1051" s="2" t="s">
        <v>96</v>
      </c>
      <c r="P1051" s="2" t="str">
        <f>"2170529843                    "</f>
        <v xml:space="preserve">2170529843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3.32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1</v>
      </c>
      <c r="BJ1051" s="2">
        <v>0.2</v>
      </c>
      <c r="BK1051" s="2">
        <v>1</v>
      </c>
      <c r="BL1051" s="2">
        <v>40.76</v>
      </c>
      <c r="BM1051" s="2">
        <v>5.71</v>
      </c>
      <c r="BN1051" s="2">
        <v>46.47</v>
      </c>
      <c r="BO1051" s="2">
        <v>46.47</v>
      </c>
      <c r="BP1051" s="2"/>
      <c r="BQ1051" s="2" t="s">
        <v>1034</v>
      </c>
      <c r="BR1051" s="2" t="s">
        <v>83</v>
      </c>
      <c r="BS1051" s="3">
        <v>42656</v>
      </c>
      <c r="BT1051" s="4">
        <v>0.375</v>
      </c>
      <c r="BU1051" s="2" t="s">
        <v>835</v>
      </c>
      <c r="BV1051" s="2" t="s">
        <v>85</v>
      </c>
      <c r="BW1051" s="2"/>
      <c r="BX1051" s="2"/>
      <c r="BY1051" s="2">
        <v>1200</v>
      </c>
      <c r="BZ1051" s="2"/>
      <c r="CA1051" s="2" t="s">
        <v>1287</v>
      </c>
      <c r="CB1051" s="2"/>
      <c r="CC1051" s="2" t="s">
        <v>99</v>
      </c>
      <c r="CD1051" s="2">
        <v>6001</v>
      </c>
      <c r="CE1051" s="2" t="s">
        <v>108</v>
      </c>
      <c r="CF1051" s="5">
        <v>42656</v>
      </c>
      <c r="CG1051" s="2"/>
      <c r="CH1051" s="2"/>
      <c r="CI1051" s="2">
        <v>1</v>
      </c>
      <c r="CJ1051" s="2">
        <v>1</v>
      </c>
      <c r="CK1051" s="2">
        <v>21</v>
      </c>
      <c r="CL1051" s="2" t="s">
        <v>88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"FES1162506214"</f>
        <v>FES1162506214</v>
      </c>
      <c r="F1052" s="3">
        <v>42655</v>
      </c>
      <c r="G1052" s="2">
        <v>201704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98</v>
      </c>
      <c r="M1052" s="2" t="s">
        <v>99</v>
      </c>
      <c r="N1052" s="2" t="s">
        <v>109</v>
      </c>
      <c r="O1052" s="2" t="s">
        <v>96</v>
      </c>
      <c r="P1052" s="2" t="str">
        <f>"2170527674                    "</f>
        <v xml:space="preserve">2170527674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3.32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1</v>
      </c>
      <c r="BJ1052" s="2">
        <v>0.2</v>
      </c>
      <c r="BK1052" s="2">
        <v>1</v>
      </c>
      <c r="BL1052" s="2">
        <v>40.76</v>
      </c>
      <c r="BM1052" s="2">
        <v>5.71</v>
      </c>
      <c r="BN1052" s="2">
        <v>46.47</v>
      </c>
      <c r="BO1052" s="2">
        <v>46.47</v>
      </c>
      <c r="BP1052" s="2"/>
      <c r="BQ1052" s="2" t="s">
        <v>110</v>
      </c>
      <c r="BR1052" s="2" t="s">
        <v>83</v>
      </c>
      <c r="BS1052" s="3">
        <v>42656</v>
      </c>
      <c r="BT1052" s="4">
        <v>0.37847222222222227</v>
      </c>
      <c r="BU1052" s="2" t="s">
        <v>1407</v>
      </c>
      <c r="BV1052" s="2" t="s">
        <v>85</v>
      </c>
      <c r="BW1052" s="2"/>
      <c r="BX1052" s="2"/>
      <c r="BY1052" s="2">
        <v>1200</v>
      </c>
      <c r="BZ1052" s="2"/>
      <c r="CA1052" s="2" t="s">
        <v>1349</v>
      </c>
      <c r="CB1052" s="2"/>
      <c r="CC1052" s="2" t="s">
        <v>99</v>
      </c>
      <c r="CD1052" s="2">
        <v>6001</v>
      </c>
      <c r="CE1052" s="2" t="s">
        <v>108</v>
      </c>
      <c r="CF1052" s="5">
        <v>42656</v>
      </c>
      <c r="CG1052" s="2"/>
      <c r="CH1052" s="2"/>
      <c r="CI1052" s="2">
        <v>1</v>
      </c>
      <c r="CJ1052" s="2">
        <v>1</v>
      </c>
      <c r="CK1052" s="2">
        <v>21</v>
      </c>
      <c r="CL1052" s="2" t="s">
        <v>88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"FES1162506328"</f>
        <v>FES1162506328</v>
      </c>
      <c r="F1053" s="3">
        <v>42655</v>
      </c>
      <c r="G1053" s="2">
        <v>201704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98</v>
      </c>
      <c r="M1053" s="2" t="s">
        <v>99</v>
      </c>
      <c r="N1053" s="2" t="s">
        <v>133</v>
      </c>
      <c r="O1053" s="2" t="s">
        <v>96</v>
      </c>
      <c r="P1053" s="2" t="str">
        <f>"2170529857                    "</f>
        <v xml:space="preserve">2170529857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4.1500000000000004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0.4</v>
      </c>
      <c r="BJ1053" s="2">
        <v>2.2999999999999998</v>
      </c>
      <c r="BK1053" s="2">
        <v>2.5</v>
      </c>
      <c r="BL1053" s="2">
        <v>50.95</v>
      </c>
      <c r="BM1053" s="2">
        <v>7.13</v>
      </c>
      <c r="BN1053" s="2">
        <v>58.08</v>
      </c>
      <c r="BO1053" s="2">
        <v>58.08</v>
      </c>
      <c r="BP1053" s="2"/>
      <c r="BQ1053" s="2" t="s">
        <v>134</v>
      </c>
      <c r="BR1053" s="2" t="s">
        <v>83</v>
      </c>
      <c r="BS1053" s="3">
        <v>42656</v>
      </c>
      <c r="BT1053" s="4">
        <v>0.32291666666666669</v>
      </c>
      <c r="BU1053" s="2" t="s">
        <v>562</v>
      </c>
      <c r="BV1053" s="2" t="s">
        <v>85</v>
      </c>
      <c r="BW1053" s="2"/>
      <c r="BX1053" s="2"/>
      <c r="BY1053" s="2">
        <v>11407.28</v>
      </c>
      <c r="BZ1053" s="2"/>
      <c r="CA1053" s="2" t="s">
        <v>437</v>
      </c>
      <c r="CB1053" s="2"/>
      <c r="CC1053" s="2" t="s">
        <v>99</v>
      </c>
      <c r="CD1053" s="2">
        <v>6001</v>
      </c>
      <c r="CE1053" s="2" t="s">
        <v>108</v>
      </c>
      <c r="CF1053" s="5">
        <v>42656</v>
      </c>
      <c r="CG1053" s="2"/>
      <c r="CH1053" s="2"/>
      <c r="CI1053" s="2">
        <v>1</v>
      </c>
      <c r="CJ1053" s="2">
        <v>1</v>
      </c>
      <c r="CK1053" s="2">
        <v>21</v>
      </c>
      <c r="CL1053" s="2" t="s">
        <v>88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"FES1162506215"</f>
        <v>FES1162506215</v>
      </c>
      <c r="F1054" s="3">
        <v>42655</v>
      </c>
      <c r="G1054" s="2">
        <v>201704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253</v>
      </c>
      <c r="M1054" s="2" t="s">
        <v>254</v>
      </c>
      <c r="N1054" s="2" t="s">
        <v>255</v>
      </c>
      <c r="O1054" s="2" t="s">
        <v>96</v>
      </c>
      <c r="P1054" s="2" t="str">
        <f>"2170529474                    "</f>
        <v xml:space="preserve">2170529474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76.09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4</v>
      </c>
      <c r="BI1054" s="2">
        <v>25.9</v>
      </c>
      <c r="BJ1054" s="2">
        <v>24.7</v>
      </c>
      <c r="BK1054" s="2">
        <v>26</v>
      </c>
      <c r="BL1054" s="2">
        <v>934.87</v>
      </c>
      <c r="BM1054" s="2">
        <v>130.88</v>
      </c>
      <c r="BN1054" s="2">
        <v>1065.75</v>
      </c>
      <c r="BO1054" s="2">
        <v>1065.75</v>
      </c>
      <c r="BP1054" s="2"/>
      <c r="BQ1054" s="2" t="s">
        <v>117</v>
      </c>
      <c r="BR1054" s="2" t="s">
        <v>83</v>
      </c>
      <c r="BS1054" s="3">
        <v>42656</v>
      </c>
      <c r="BT1054" s="4">
        <v>0.61944444444444446</v>
      </c>
      <c r="BU1054" s="2" t="s">
        <v>457</v>
      </c>
      <c r="BV1054" s="2" t="s">
        <v>85</v>
      </c>
      <c r="BW1054" s="2"/>
      <c r="BX1054" s="2"/>
      <c r="BY1054" s="2">
        <v>123622.82</v>
      </c>
      <c r="BZ1054" s="2"/>
      <c r="CA1054" s="2"/>
      <c r="CB1054" s="2"/>
      <c r="CC1054" s="2" t="s">
        <v>254</v>
      </c>
      <c r="CD1054" s="2">
        <v>3370</v>
      </c>
      <c r="CE1054" s="2" t="s">
        <v>86</v>
      </c>
      <c r="CF1054" s="5">
        <v>42660</v>
      </c>
      <c r="CG1054" s="2"/>
      <c r="CH1054" s="2"/>
      <c r="CI1054" s="2">
        <v>3</v>
      </c>
      <c r="CJ1054" s="2">
        <v>1</v>
      </c>
      <c r="CK1054" s="2">
        <v>23</v>
      </c>
      <c r="CL1054" s="2" t="s">
        <v>88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"FES1162506216"</f>
        <v>FES1162506216</v>
      </c>
      <c r="F1055" s="3">
        <v>42655</v>
      </c>
      <c r="G1055" s="2">
        <v>201704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137</v>
      </c>
      <c r="M1055" s="2" t="s">
        <v>138</v>
      </c>
      <c r="N1055" s="2" t="s">
        <v>396</v>
      </c>
      <c r="O1055" s="2" t="s">
        <v>96</v>
      </c>
      <c r="P1055" s="2" t="str">
        <f>"2170529564                    "</f>
        <v xml:space="preserve">2170529564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11.61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7</v>
      </c>
      <c r="BJ1055" s="2">
        <v>5.4</v>
      </c>
      <c r="BK1055" s="2">
        <v>7</v>
      </c>
      <c r="BL1055" s="2">
        <v>142.65</v>
      </c>
      <c r="BM1055" s="2">
        <v>19.97</v>
      </c>
      <c r="BN1055" s="2">
        <v>162.62</v>
      </c>
      <c r="BO1055" s="2">
        <v>162.62</v>
      </c>
      <c r="BP1055" s="2"/>
      <c r="BQ1055" s="2" t="s">
        <v>82</v>
      </c>
      <c r="BR1055" s="2" t="s">
        <v>83</v>
      </c>
      <c r="BS1055" s="3">
        <v>42656</v>
      </c>
      <c r="BT1055" s="4">
        <v>0.38055555555555554</v>
      </c>
      <c r="BU1055" s="2" t="s">
        <v>1443</v>
      </c>
      <c r="BV1055" s="2" t="s">
        <v>85</v>
      </c>
      <c r="BW1055" s="2"/>
      <c r="BX1055" s="2"/>
      <c r="BY1055" s="2">
        <v>27000</v>
      </c>
      <c r="BZ1055" s="2"/>
      <c r="CA1055" s="2" t="s">
        <v>170</v>
      </c>
      <c r="CB1055" s="2"/>
      <c r="CC1055" s="2" t="s">
        <v>138</v>
      </c>
      <c r="CD1055" s="2">
        <v>3201</v>
      </c>
      <c r="CE1055" s="2" t="s">
        <v>86</v>
      </c>
      <c r="CF1055" s="5">
        <v>42656</v>
      </c>
      <c r="CG1055" s="2"/>
      <c r="CH1055" s="2"/>
      <c r="CI1055" s="2">
        <v>1</v>
      </c>
      <c r="CJ1055" s="2">
        <v>1</v>
      </c>
      <c r="CK1055" s="2">
        <v>21</v>
      </c>
      <c r="CL1055" s="2" t="s">
        <v>88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"FES1162506251"</f>
        <v>FES1162506251</v>
      </c>
      <c r="F1056" s="3">
        <v>42655</v>
      </c>
      <c r="G1056" s="2">
        <v>201704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114</v>
      </c>
      <c r="M1056" s="2" t="s">
        <v>115</v>
      </c>
      <c r="N1056" s="2" t="s">
        <v>116</v>
      </c>
      <c r="O1056" s="2" t="s">
        <v>96</v>
      </c>
      <c r="P1056" s="2" t="str">
        <f>"2170529610                    "</f>
        <v xml:space="preserve">2170529610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10.78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1.8</v>
      </c>
      <c r="BJ1056" s="2">
        <v>3.2</v>
      </c>
      <c r="BK1056" s="2">
        <v>3.5</v>
      </c>
      <c r="BL1056" s="2">
        <v>132.46</v>
      </c>
      <c r="BM1056" s="2">
        <v>18.54</v>
      </c>
      <c r="BN1056" s="2">
        <v>151</v>
      </c>
      <c r="BO1056" s="2">
        <v>151</v>
      </c>
      <c r="BP1056" s="2"/>
      <c r="BQ1056" s="2" t="s">
        <v>117</v>
      </c>
      <c r="BR1056" s="2" t="s">
        <v>83</v>
      </c>
      <c r="BS1056" s="3">
        <v>42656</v>
      </c>
      <c r="BT1056" s="4">
        <v>0.59722222222222221</v>
      </c>
      <c r="BU1056" s="2" t="s">
        <v>1415</v>
      </c>
      <c r="BV1056" s="2" t="s">
        <v>85</v>
      </c>
      <c r="BW1056" s="2"/>
      <c r="BX1056" s="2"/>
      <c r="BY1056" s="2">
        <v>16206.48</v>
      </c>
      <c r="BZ1056" s="2"/>
      <c r="CA1056" s="2"/>
      <c r="CB1056" s="2"/>
      <c r="CC1056" s="2" t="s">
        <v>115</v>
      </c>
      <c r="CD1056" s="2">
        <v>5850</v>
      </c>
      <c r="CE1056" s="2" t="s">
        <v>108</v>
      </c>
      <c r="CF1056" s="5">
        <v>42660</v>
      </c>
      <c r="CG1056" s="2"/>
      <c r="CH1056" s="2"/>
      <c r="CI1056" s="2">
        <v>3</v>
      </c>
      <c r="CJ1056" s="2">
        <v>1</v>
      </c>
      <c r="CK1056" s="2">
        <v>23</v>
      </c>
      <c r="CL1056" s="2" t="s">
        <v>88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"FES1162506152"</f>
        <v>FES1162506152</v>
      </c>
      <c r="F1057" s="3">
        <v>42655</v>
      </c>
      <c r="G1057" s="2">
        <v>201704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160</v>
      </c>
      <c r="M1057" s="2" t="s">
        <v>161</v>
      </c>
      <c r="N1057" s="2" t="s">
        <v>622</v>
      </c>
      <c r="O1057" s="2" t="s">
        <v>96</v>
      </c>
      <c r="P1057" s="2" t="str">
        <f>"2170529672                    "</f>
        <v xml:space="preserve">2170529672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32.340000000000003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8.9</v>
      </c>
      <c r="BJ1057" s="2">
        <v>19.100000000000001</v>
      </c>
      <c r="BK1057" s="2">
        <v>19.5</v>
      </c>
      <c r="BL1057" s="2">
        <v>397.38</v>
      </c>
      <c r="BM1057" s="2">
        <v>55.63</v>
      </c>
      <c r="BN1057" s="2">
        <v>453.01</v>
      </c>
      <c r="BO1057" s="2">
        <v>453.01</v>
      </c>
      <c r="BP1057" s="2"/>
      <c r="BQ1057" s="2" t="s">
        <v>623</v>
      </c>
      <c r="BR1057" s="2" t="s">
        <v>83</v>
      </c>
      <c r="BS1057" s="3">
        <v>42656</v>
      </c>
      <c r="BT1057" s="4">
        <v>0.43333333333333335</v>
      </c>
      <c r="BU1057" s="2" t="s">
        <v>624</v>
      </c>
      <c r="BV1057" s="2" t="s">
        <v>85</v>
      </c>
      <c r="BW1057" s="2"/>
      <c r="BX1057" s="2"/>
      <c r="BY1057" s="2">
        <v>95263.81</v>
      </c>
      <c r="BZ1057" s="2"/>
      <c r="CA1057" s="2"/>
      <c r="CB1057" s="2"/>
      <c r="CC1057" s="2" t="s">
        <v>161</v>
      </c>
      <c r="CD1057" s="2">
        <v>7490</v>
      </c>
      <c r="CE1057" s="2" t="s">
        <v>86</v>
      </c>
      <c r="CF1057" s="5">
        <v>42657</v>
      </c>
      <c r="CG1057" s="2"/>
      <c r="CH1057" s="2"/>
      <c r="CI1057" s="2">
        <v>1</v>
      </c>
      <c r="CJ1057" s="2">
        <v>1</v>
      </c>
      <c r="CK1057" s="2">
        <v>21</v>
      </c>
      <c r="CL1057" s="2" t="s">
        <v>88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"FES1162506127"</f>
        <v>FES1162506127</v>
      </c>
      <c r="F1058" s="3">
        <v>42655</v>
      </c>
      <c r="G1058" s="2">
        <v>201704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153</v>
      </c>
      <c r="M1058" s="2" t="s">
        <v>153</v>
      </c>
      <c r="N1058" s="2" t="s">
        <v>1444</v>
      </c>
      <c r="O1058" s="2" t="s">
        <v>96</v>
      </c>
      <c r="P1058" s="2" t="str">
        <f>"2170529627                    "</f>
        <v xml:space="preserve">2170529627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7.46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4.5</v>
      </c>
      <c r="BJ1058" s="2">
        <v>1.7</v>
      </c>
      <c r="BK1058" s="2">
        <v>4.5</v>
      </c>
      <c r="BL1058" s="2">
        <v>91.7</v>
      </c>
      <c r="BM1058" s="2">
        <v>12.84</v>
      </c>
      <c r="BN1058" s="2">
        <v>104.54</v>
      </c>
      <c r="BO1058" s="2">
        <v>104.54</v>
      </c>
      <c r="BP1058" s="2"/>
      <c r="BQ1058" s="2" t="s">
        <v>168</v>
      </c>
      <c r="BR1058" s="2" t="s">
        <v>83</v>
      </c>
      <c r="BS1058" s="3">
        <v>42656</v>
      </c>
      <c r="BT1058" s="4">
        <v>0.51736111111111105</v>
      </c>
      <c r="BU1058" s="2" t="s">
        <v>1445</v>
      </c>
      <c r="BV1058" s="2" t="s">
        <v>85</v>
      </c>
      <c r="BW1058" s="2"/>
      <c r="BX1058" s="2"/>
      <c r="BY1058" s="2">
        <v>8364.0400000000009</v>
      </c>
      <c r="BZ1058" s="2"/>
      <c r="CA1058" s="2"/>
      <c r="CB1058" s="2"/>
      <c r="CC1058" s="2" t="s">
        <v>153</v>
      </c>
      <c r="CD1058" s="2">
        <v>7646</v>
      </c>
      <c r="CE1058" s="2" t="s">
        <v>368</v>
      </c>
      <c r="CF1058" s="5">
        <v>42657</v>
      </c>
      <c r="CG1058" s="2"/>
      <c r="CH1058" s="2"/>
      <c r="CI1058" s="2">
        <v>1</v>
      </c>
      <c r="CJ1058" s="2">
        <v>1</v>
      </c>
      <c r="CK1058" s="2">
        <v>21</v>
      </c>
      <c r="CL1058" s="2" t="s">
        <v>88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"FES1162506248"</f>
        <v>FES1162506248</v>
      </c>
      <c r="F1059" s="3">
        <v>42655</v>
      </c>
      <c r="G1059" s="2">
        <v>201704</v>
      </c>
      <c r="H1059" s="2" t="s">
        <v>74</v>
      </c>
      <c r="I1059" s="2" t="s">
        <v>75</v>
      </c>
      <c r="J1059" s="2" t="s">
        <v>76</v>
      </c>
      <c r="K1059" s="2" t="s">
        <v>77</v>
      </c>
      <c r="L1059" s="2" t="s">
        <v>148</v>
      </c>
      <c r="M1059" s="2" t="s">
        <v>149</v>
      </c>
      <c r="N1059" s="2" t="s">
        <v>483</v>
      </c>
      <c r="O1059" s="2" t="s">
        <v>96</v>
      </c>
      <c r="P1059" s="2" t="str">
        <f>"2170526995                    "</f>
        <v xml:space="preserve">2170526995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12.44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6.2</v>
      </c>
      <c r="BJ1059" s="2">
        <v>7.5</v>
      </c>
      <c r="BK1059" s="2">
        <v>7.5</v>
      </c>
      <c r="BL1059" s="2">
        <v>152.84</v>
      </c>
      <c r="BM1059" s="2">
        <v>21.4</v>
      </c>
      <c r="BN1059" s="2">
        <v>174.24</v>
      </c>
      <c r="BO1059" s="2">
        <v>174.24</v>
      </c>
      <c r="BP1059" s="2"/>
      <c r="BQ1059" s="2" t="s">
        <v>484</v>
      </c>
      <c r="BR1059" s="2" t="s">
        <v>83</v>
      </c>
      <c r="BS1059" s="3">
        <v>42656</v>
      </c>
      <c r="BT1059" s="4">
        <v>0.4375</v>
      </c>
      <c r="BU1059" s="2" t="s">
        <v>1446</v>
      </c>
      <c r="BV1059" s="2"/>
      <c r="BW1059" s="2"/>
      <c r="BX1059" s="2"/>
      <c r="BY1059" s="2">
        <v>37302.22</v>
      </c>
      <c r="BZ1059" s="2"/>
      <c r="CA1059" s="2"/>
      <c r="CB1059" s="2"/>
      <c r="CC1059" s="2" t="s">
        <v>149</v>
      </c>
      <c r="CD1059" s="2">
        <v>4001</v>
      </c>
      <c r="CE1059" s="2" t="s">
        <v>368</v>
      </c>
      <c r="CF1059" s="5">
        <v>42657</v>
      </c>
      <c r="CG1059" s="2"/>
      <c r="CH1059" s="2"/>
      <c r="CI1059" s="2">
        <v>0</v>
      </c>
      <c r="CJ1059" s="2">
        <v>0</v>
      </c>
      <c r="CK1059" s="2">
        <v>21</v>
      </c>
      <c r="CL1059" s="2" t="s">
        <v>88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"FES1162506187"</f>
        <v>FES1162506187</v>
      </c>
      <c r="F1060" s="3">
        <v>42655</v>
      </c>
      <c r="G1060" s="2">
        <v>201704</v>
      </c>
      <c r="H1060" s="2" t="s">
        <v>74</v>
      </c>
      <c r="I1060" s="2" t="s">
        <v>75</v>
      </c>
      <c r="J1060" s="2" t="s">
        <v>76</v>
      </c>
      <c r="K1060" s="2" t="s">
        <v>77</v>
      </c>
      <c r="L1060" s="2" t="s">
        <v>510</v>
      </c>
      <c r="M1060" s="2" t="s">
        <v>511</v>
      </c>
      <c r="N1060" s="2" t="s">
        <v>1447</v>
      </c>
      <c r="O1060" s="2" t="s">
        <v>96</v>
      </c>
      <c r="P1060" s="2" t="str">
        <f>"2170529713                    "</f>
        <v xml:space="preserve">2170529713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7.46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3</v>
      </c>
      <c r="BJ1060" s="2">
        <v>4.0999999999999996</v>
      </c>
      <c r="BK1060" s="2">
        <v>4.5</v>
      </c>
      <c r="BL1060" s="2">
        <v>91.7</v>
      </c>
      <c r="BM1060" s="2">
        <v>12.84</v>
      </c>
      <c r="BN1060" s="2">
        <v>104.54</v>
      </c>
      <c r="BO1060" s="2">
        <v>104.54</v>
      </c>
      <c r="BP1060" s="2"/>
      <c r="BQ1060" s="2"/>
      <c r="BR1060" s="2" t="s">
        <v>83</v>
      </c>
      <c r="BS1060" s="3">
        <v>42656</v>
      </c>
      <c r="BT1060" s="4">
        <v>0.59583333333333333</v>
      </c>
      <c r="BU1060" s="2" t="s">
        <v>1448</v>
      </c>
      <c r="BV1060" s="2" t="s">
        <v>85</v>
      </c>
      <c r="BW1060" s="2"/>
      <c r="BX1060" s="2"/>
      <c r="BY1060" s="2">
        <v>20358</v>
      </c>
      <c r="BZ1060" s="2"/>
      <c r="CA1060" s="2"/>
      <c r="CB1060" s="2"/>
      <c r="CC1060" s="2" t="s">
        <v>511</v>
      </c>
      <c r="CD1060" s="2">
        <v>3280</v>
      </c>
      <c r="CE1060" s="2" t="s">
        <v>86</v>
      </c>
      <c r="CF1060" s="5">
        <v>42657</v>
      </c>
      <c r="CG1060" s="2"/>
      <c r="CH1060" s="2"/>
      <c r="CI1060" s="2">
        <v>1</v>
      </c>
      <c r="CJ1060" s="2">
        <v>1</v>
      </c>
      <c r="CK1060" s="2">
        <v>21</v>
      </c>
      <c r="CL1060" s="2" t="s">
        <v>88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"FES1162506264"</f>
        <v>FES1162506264</v>
      </c>
      <c r="F1061" s="3">
        <v>42655</v>
      </c>
      <c r="G1061" s="2">
        <v>201704</v>
      </c>
      <c r="H1061" s="2" t="s">
        <v>74</v>
      </c>
      <c r="I1061" s="2" t="s">
        <v>75</v>
      </c>
      <c r="J1061" s="2" t="s">
        <v>76</v>
      </c>
      <c r="K1061" s="2" t="s">
        <v>77</v>
      </c>
      <c r="L1061" s="2" t="s">
        <v>98</v>
      </c>
      <c r="M1061" s="2" t="s">
        <v>99</v>
      </c>
      <c r="N1061" s="2" t="s">
        <v>832</v>
      </c>
      <c r="O1061" s="2" t="s">
        <v>96</v>
      </c>
      <c r="P1061" s="2" t="str">
        <f>"2170529705                    "</f>
        <v xml:space="preserve">2170529705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10.78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6.2</v>
      </c>
      <c r="BJ1061" s="2">
        <v>2.6</v>
      </c>
      <c r="BK1061" s="2">
        <v>6.5</v>
      </c>
      <c r="BL1061" s="2">
        <v>132.46</v>
      </c>
      <c r="BM1061" s="2">
        <v>18.54</v>
      </c>
      <c r="BN1061" s="2">
        <v>151</v>
      </c>
      <c r="BO1061" s="2">
        <v>151</v>
      </c>
      <c r="BP1061" s="2"/>
      <c r="BQ1061" s="2" t="s">
        <v>833</v>
      </c>
      <c r="BR1061" s="2" t="s">
        <v>83</v>
      </c>
      <c r="BS1061" s="3">
        <v>42656</v>
      </c>
      <c r="BT1061" s="4">
        <v>0.33333333333333331</v>
      </c>
      <c r="BU1061" s="2" t="s">
        <v>554</v>
      </c>
      <c r="BV1061" s="2" t="s">
        <v>85</v>
      </c>
      <c r="BW1061" s="2"/>
      <c r="BX1061" s="2"/>
      <c r="BY1061" s="2">
        <v>13122.41</v>
      </c>
      <c r="BZ1061" s="2"/>
      <c r="CA1061" s="2"/>
      <c r="CB1061" s="2"/>
      <c r="CC1061" s="2" t="s">
        <v>99</v>
      </c>
      <c r="CD1061" s="2">
        <v>6001</v>
      </c>
      <c r="CE1061" s="2" t="s">
        <v>368</v>
      </c>
      <c r="CF1061" s="5">
        <v>42657</v>
      </c>
      <c r="CG1061" s="2"/>
      <c r="CH1061" s="2"/>
      <c r="CI1061" s="2">
        <v>1</v>
      </c>
      <c r="CJ1061" s="2">
        <v>1</v>
      </c>
      <c r="CK1061" s="2">
        <v>21</v>
      </c>
      <c r="CL1061" s="2" t="s">
        <v>88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"FES1162506281"</f>
        <v>FES1162506281</v>
      </c>
      <c r="F1062" s="3">
        <v>42655</v>
      </c>
      <c r="G1062" s="2">
        <v>201704</v>
      </c>
      <c r="H1062" s="2" t="s">
        <v>74</v>
      </c>
      <c r="I1062" s="2" t="s">
        <v>75</v>
      </c>
      <c r="J1062" s="2" t="s">
        <v>76</v>
      </c>
      <c r="K1062" s="2" t="s">
        <v>77</v>
      </c>
      <c r="L1062" s="2" t="s">
        <v>98</v>
      </c>
      <c r="M1062" s="2" t="s">
        <v>99</v>
      </c>
      <c r="N1062" s="2" t="s">
        <v>104</v>
      </c>
      <c r="O1062" s="2" t="s">
        <v>96</v>
      </c>
      <c r="P1062" s="2" t="str">
        <f>"2170529806                    "</f>
        <v xml:space="preserve">2170529806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4.1500000000000004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2</v>
      </c>
      <c r="BJ1062" s="2">
        <v>2.4</v>
      </c>
      <c r="BK1062" s="2">
        <v>2.5</v>
      </c>
      <c r="BL1062" s="2">
        <v>50.95</v>
      </c>
      <c r="BM1062" s="2">
        <v>7.13</v>
      </c>
      <c r="BN1062" s="2">
        <v>58.08</v>
      </c>
      <c r="BO1062" s="2">
        <v>58.08</v>
      </c>
      <c r="BP1062" s="2"/>
      <c r="BQ1062" s="2" t="s">
        <v>105</v>
      </c>
      <c r="BR1062" s="2" t="s">
        <v>83</v>
      </c>
      <c r="BS1062" s="3">
        <v>42656</v>
      </c>
      <c r="BT1062" s="4">
        <v>0.41597222222222219</v>
      </c>
      <c r="BU1062" s="2" t="s">
        <v>1386</v>
      </c>
      <c r="BV1062" s="2" t="s">
        <v>85</v>
      </c>
      <c r="BW1062" s="2"/>
      <c r="BX1062" s="2"/>
      <c r="BY1062" s="2">
        <v>12221.28</v>
      </c>
      <c r="BZ1062" s="2"/>
      <c r="CA1062" s="2" t="s">
        <v>1349</v>
      </c>
      <c r="CB1062" s="2"/>
      <c r="CC1062" s="2" t="s">
        <v>99</v>
      </c>
      <c r="CD1062" s="2">
        <v>6001</v>
      </c>
      <c r="CE1062" s="2" t="s">
        <v>108</v>
      </c>
      <c r="CF1062" s="5">
        <v>42657</v>
      </c>
      <c r="CG1062" s="2"/>
      <c r="CH1062" s="2"/>
      <c r="CI1062" s="2">
        <v>1</v>
      </c>
      <c r="CJ1062" s="2">
        <v>1</v>
      </c>
      <c r="CK1062" s="2">
        <v>21</v>
      </c>
      <c r="CL1062" s="2" t="s">
        <v>88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"FES1162506207"</f>
        <v>FES1162506207</v>
      </c>
      <c r="F1063" s="3">
        <v>42655</v>
      </c>
      <c r="G1063" s="2">
        <v>201704</v>
      </c>
      <c r="H1063" s="2" t="s">
        <v>74</v>
      </c>
      <c r="I1063" s="2" t="s">
        <v>75</v>
      </c>
      <c r="J1063" s="2" t="s">
        <v>76</v>
      </c>
      <c r="K1063" s="2" t="s">
        <v>77</v>
      </c>
      <c r="L1063" s="2" t="s">
        <v>93</v>
      </c>
      <c r="M1063" s="2" t="s">
        <v>94</v>
      </c>
      <c r="N1063" s="2" t="s">
        <v>130</v>
      </c>
      <c r="O1063" s="2" t="s">
        <v>96</v>
      </c>
      <c r="P1063" s="2" t="str">
        <f>"2170529739                    "</f>
        <v xml:space="preserve">2170529739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3.32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0.9</v>
      </c>
      <c r="BJ1063" s="2">
        <v>1.7</v>
      </c>
      <c r="BK1063" s="2">
        <v>2</v>
      </c>
      <c r="BL1063" s="2">
        <v>40.76</v>
      </c>
      <c r="BM1063" s="2">
        <v>5.71</v>
      </c>
      <c r="BN1063" s="2">
        <v>46.47</v>
      </c>
      <c r="BO1063" s="2">
        <v>46.47</v>
      </c>
      <c r="BP1063" s="2"/>
      <c r="BQ1063" s="2" t="s">
        <v>131</v>
      </c>
      <c r="BR1063" s="2" t="s">
        <v>83</v>
      </c>
      <c r="BS1063" s="3">
        <v>42656</v>
      </c>
      <c r="BT1063" s="4">
        <v>0.4375</v>
      </c>
      <c r="BU1063" s="2" t="s">
        <v>1449</v>
      </c>
      <c r="BV1063" s="2" t="s">
        <v>85</v>
      </c>
      <c r="BW1063" s="2"/>
      <c r="BX1063" s="2"/>
      <c r="BY1063" s="2">
        <v>8521.5</v>
      </c>
      <c r="BZ1063" s="2"/>
      <c r="CA1063" s="2"/>
      <c r="CB1063" s="2"/>
      <c r="CC1063" s="2" t="s">
        <v>94</v>
      </c>
      <c r="CD1063" s="2">
        <v>4302</v>
      </c>
      <c r="CE1063" s="2" t="s">
        <v>108</v>
      </c>
      <c r="CF1063" s="5">
        <v>42657</v>
      </c>
      <c r="CG1063" s="2"/>
      <c r="CH1063" s="2"/>
      <c r="CI1063" s="2">
        <v>1</v>
      </c>
      <c r="CJ1063" s="2">
        <v>1</v>
      </c>
      <c r="CK1063" s="2">
        <v>21</v>
      </c>
      <c r="CL1063" s="2" t="s">
        <v>88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"FES1162506304"</f>
        <v>FES1162506304</v>
      </c>
      <c r="F1064" s="3">
        <v>42655</v>
      </c>
      <c r="G1064" s="2">
        <v>201704</v>
      </c>
      <c r="H1064" s="2" t="s">
        <v>74</v>
      </c>
      <c r="I1064" s="2" t="s">
        <v>75</v>
      </c>
      <c r="J1064" s="2" t="s">
        <v>76</v>
      </c>
      <c r="K1064" s="2" t="s">
        <v>77</v>
      </c>
      <c r="L1064" s="2" t="s">
        <v>98</v>
      </c>
      <c r="M1064" s="2" t="s">
        <v>99</v>
      </c>
      <c r="N1064" s="2" t="s">
        <v>104</v>
      </c>
      <c r="O1064" s="2" t="s">
        <v>96</v>
      </c>
      <c r="P1064" s="2" t="str">
        <f>"2170529832                    "</f>
        <v xml:space="preserve">2170529832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3.32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0.5</v>
      </c>
      <c r="BJ1064" s="2">
        <v>0.2</v>
      </c>
      <c r="BK1064" s="2">
        <v>0.5</v>
      </c>
      <c r="BL1064" s="2">
        <v>40.76</v>
      </c>
      <c r="BM1064" s="2">
        <v>5.71</v>
      </c>
      <c r="BN1064" s="2">
        <v>46.47</v>
      </c>
      <c r="BO1064" s="2">
        <v>46.47</v>
      </c>
      <c r="BP1064" s="2"/>
      <c r="BQ1064" s="2" t="s">
        <v>105</v>
      </c>
      <c r="BR1064" s="2" t="s">
        <v>83</v>
      </c>
      <c r="BS1064" s="3">
        <v>42656</v>
      </c>
      <c r="BT1064" s="4">
        <v>0.41597222222222219</v>
      </c>
      <c r="BU1064" s="2" t="s">
        <v>105</v>
      </c>
      <c r="BV1064" s="2" t="s">
        <v>85</v>
      </c>
      <c r="BW1064" s="2"/>
      <c r="BX1064" s="2"/>
      <c r="BY1064" s="2">
        <v>1200</v>
      </c>
      <c r="BZ1064" s="2"/>
      <c r="CA1064" s="2"/>
      <c r="CB1064" s="2"/>
      <c r="CC1064" s="2" t="s">
        <v>99</v>
      </c>
      <c r="CD1064" s="2">
        <v>6001</v>
      </c>
      <c r="CE1064" s="2" t="s">
        <v>108</v>
      </c>
      <c r="CF1064" s="5">
        <v>42656</v>
      </c>
      <c r="CG1064" s="2"/>
      <c r="CH1064" s="2"/>
      <c r="CI1064" s="2">
        <v>1</v>
      </c>
      <c r="CJ1064" s="2">
        <v>1</v>
      </c>
      <c r="CK1064" s="2">
        <v>21</v>
      </c>
      <c r="CL1064" s="2" t="s">
        <v>88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"FES1162506254"</f>
        <v>FES1162506254</v>
      </c>
      <c r="F1065" s="3">
        <v>42655</v>
      </c>
      <c r="G1065" s="2">
        <v>201704</v>
      </c>
      <c r="H1065" s="2" t="s">
        <v>74</v>
      </c>
      <c r="I1065" s="2" t="s">
        <v>75</v>
      </c>
      <c r="J1065" s="2" t="s">
        <v>76</v>
      </c>
      <c r="K1065" s="2" t="s">
        <v>77</v>
      </c>
      <c r="L1065" s="2" t="s">
        <v>269</v>
      </c>
      <c r="M1065" s="2" t="s">
        <v>270</v>
      </c>
      <c r="N1065" s="2" t="s">
        <v>1450</v>
      </c>
      <c r="O1065" s="2" t="s">
        <v>96</v>
      </c>
      <c r="P1065" s="2" t="str">
        <f>"2170529775                    "</f>
        <v xml:space="preserve">2170529775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3.32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1.1000000000000001</v>
      </c>
      <c r="BJ1065" s="2">
        <v>1.5</v>
      </c>
      <c r="BK1065" s="2">
        <v>1.5</v>
      </c>
      <c r="BL1065" s="2">
        <v>40.76</v>
      </c>
      <c r="BM1065" s="2">
        <v>5.71</v>
      </c>
      <c r="BN1065" s="2">
        <v>46.47</v>
      </c>
      <c r="BO1065" s="2">
        <v>46.47</v>
      </c>
      <c r="BP1065" s="2"/>
      <c r="BQ1065" s="2" t="s">
        <v>1451</v>
      </c>
      <c r="BR1065" s="2" t="s">
        <v>83</v>
      </c>
      <c r="BS1065" s="3">
        <v>42656</v>
      </c>
      <c r="BT1065" s="4">
        <v>0.37222222222222223</v>
      </c>
      <c r="BU1065" s="2" t="s">
        <v>1452</v>
      </c>
      <c r="BV1065" s="2" t="s">
        <v>85</v>
      </c>
      <c r="BW1065" s="2"/>
      <c r="BX1065" s="2"/>
      <c r="BY1065" s="2">
        <v>7254.94</v>
      </c>
      <c r="BZ1065" s="2"/>
      <c r="CA1065" s="2" t="s">
        <v>129</v>
      </c>
      <c r="CB1065" s="2"/>
      <c r="CC1065" s="2" t="s">
        <v>270</v>
      </c>
      <c r="CD1065" s="2">
        <v>3610</v>
      </c>
      <c r="CE1065" s="2" t="s">
        <v>108</v>
      </c>
      <c r="CF1065" s="5">
        <v>42657</v>
      </c>
      <c r="CG1065" s="2"/>
      <c r="CH1065" s="2"/>
      <c r="CI1065" s="2">
        <v>1</v>
      </c>
      <c r="CJ1065" s="2">
        <v>1</v>
      </c>
      <c r="CK1065" s="2">
        <v>21</v>
      </c>
      <c r="CL1065" s="2" t="s">
        <v>88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"FES1162506307"</f>
        <v>FES1162506307</v>
      </c>
      <c r="F1066" s="3">
        <v>42655</v>
      </c>
      <c r="G1066" s="2">
        <v>201704</v>
      </c>
      <c r="H1066" s="2" t="s">
        <v>74</v>
      </c>
      <c r="I1066" s="2" t="s">
        <v>75</v>
      </c>
      <c r="J1066" s="2" t="s">
        <v>76</v>
      </c>
      <c r="K1066" s="2" t="s">
        <v>77</v>
      </c>
      <c r="L1066" s="2" t="s">
        <v>98</v>
      </c>
      <c r="M1066" s="2" t="s">
        <v>99</v>
      </c>
      <c r="N1066" s="2" t="s">
        <v>109</v>
      </c>
      <c r="O1066" s="2" t="s">
        <v>96</v>
      </c>
      <c r="P1066" s="2" t="str">
        <f>"2170529836                    "</f>
        <v xml:space="preserve">2170529836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3.32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1</v>
      </c>
      <c r="BJ1066" s="2">
        <v>0.2</v>
      </c>
      <c r="BK1066" s="2">
        <v>1</v>
      </c>
      <c r="BL1066" s="2">
        <v>40.76</v>
      </c>
      <c r="BM1066" s="2">
        <v>5.71</v>
      </c>
      <c r="BN1066" s="2">
        <v>46.47</v>
      </c>
      <c r="BO1066" s="2">
        <v>46.47</v>
      </c>
      <c r="BP1066" s="2"/>
      <c r="BQ1066" s="2" t="s">
        <v>110</v>
      </c>
      <c r="BR1066" s="2" t="s">
        <v>83</v>
      </c>
      <c r="BS1066" s="3">
        <v>42656</v>
      </c>
      <c r="BT1066" s="4">
        <v>0.37847222222222227</v>
      </c>
      <c r="BU1066" s="2" t="s">
        <v>1407</v>
      </c>
      <c r="BV1066" s="2" t="s">
        <v>85</v>
      </c>
      <c r="BW1066" s="2"/>
      <c r="BX1066" s="2"/>
      <c r="BY1066" s="2">
        <v>1200</v>
      </c>
      <c r="BZ1066" s="2"/>
      <c r="CA1066" s="2" t="s">
        <v>1349</v>
      </c>
      <c r="CB1066" s="2"/>
      <c r="CC1066" s="2" t="s">
        <v>99</v>
      </c>
      <c r="CD1066" s="2">
        <v>6001</v>
      </c>
      <c r="CE1066" s="2" t="s">
        <v>108</v>
      </c>
      <c r="CF1066" s="5">
        <v>42656</v>
      </c>
      <c r="CG1066" s="2"/>
      <c r="CH1066" s="2"/>
      <c r="CI1066" s="2">
        <v>1</v>
      </c>
      <c r="CJ1066" s="2">
        <v>1</v>
      </c>
      <c r="CK1066" s="2">
        <v>21</v>
      </c>
      <c r="CL1066" s="2" t="s">
        <v>88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"FES1162506249"</f>
        <v>FES1162506249</v>
      </c>
      <c r="F1067" s="3">
        <v>42655</v>
      </c>
      <c r="G1067" s="2">
        <v>201704</v>
      </c>
      <c r="H1067" s="2" t="s">
        <v>74</v>
      </c>
      <c r="I1067" s="2" t="s">
        <v>75</v>
      </c>
      <c r="J1067" s="2" t="s">
        <v>76</v>
      </c>
      <c r="K1067" s="2" t="s">
        <v>77</v>
      </c>
      <c r="L1067" s="2" t="s">
        <v>148</v>
      </c>
      <c r="M1067" s="2" t="s">
        <v>149</v>
      </c>
      <c r="N1067" s="2" t="s">
        <v>483</v>
      </c>
      <c r="O1067" s="2" t="s">
        <v>96</v>
      </c>
      <c r="P1067" s="2" t="str">
        <f>"2170527177                    "</f>
        <v xml:space="preserve">2170527177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3.32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1</v>
      </c>
      <c r="BJ1067" s="2">
        <v>0.2</v>
      </c>
      <c r="BK1067" s="2">
        <v>1</v>
      </c>
      <c r="BL1067" s="2">
        <v>40.76</v>
      </c>
      <c r="BM1067" s="2">
        <v>5.71</v>
      </c>
      <c r="BN1067" s="2">
        <v>46.47</v>
      </c>
      <c r="BO1067" s="2">
        <v>46.47</v>
      </c>
      <c r="BP1067" s="2"/>
      <c r="BQ1067" s="2" t="s">
        <v>484</v>
      </c>
      <c r="BR1067" s="2" t="s">
        <v>83</v>
      </c>
      <c r="BS1067" s="3">
        <v>42656</v>
      </c>
      <c r="BT1067" s="4">
        <v>0.4375</v>
      </c>
      <c r="BU1067" s="2" t="s">
        <v>238</v>
      </c>
      <c r="BV1067" s="2"/>
      <c r="BW1067" s="2"/>
      <c r="BX1067" s="2"/>
      <c r="BY1067" s="2">
        <v>1200</v>
      </c>
      <c r="BZ1067" s="2"/>
      <c r="CA1067" s="2"/>
      <c r="CB1067" s="2"/>
      <c r="CC1067" s="2" t="s">
        <v>149</v>
      </c>
      <c r="CD1067" s="2">
        <v>4001</v>
      </c>
      <c r="CE1067" s="2" t="s">
        <v>108</v>
      </c>
      <c r="CF1067" s="5">
        <v>42657</v>
      </c>
      <c r="CG1067" s="2"/>
      <c r="CH1067" s="2"/>
      <c r="CI1067" s="2">
        <v>0</v>
      </c>
      <c r="CJ1067" s="2">
        <v>0</v>
      </c>
      <c r="CK1067" s="2">
        <v>21</v>
      </c>
      <c r="CL1067" s="2" t="s">
        <v>88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"FES1162506309"</f>
        <v>FES1162506309</v>
      </c>
      <c r="F1068" s="3">
        <v>42655</v>
      </c>
      <c r="G1068" s="2">
        <v>201704</v>
      </c>
      <c r="H1068" s="2" t="s">
        <v>74</v>
      </c>
      <c r="I1068" s="2" t="s">
        <v>75</v>
      </c>
      <c r="J1068" s="2" t="s">
        <v>76</v>
      </c>
      <c r="K1068" s="2" t="s">
        <v>77</v>
      </c>
      <c r="L1068" s="2" t="s">
        <v>137</v>
      </c>
      <c r="M1068" s="2" t="s">
        <v>138</v>
      </c>
      <c r="N1068" s="2" t="s">
        <v>1255</v>
      </c>
      <c r="O1068" s="2" t="s">
        <v>96</v>
      </c>
      <c r="P1068" s="2" t="str">
        <f>"2170529840                    "</f>
        <v xml:space="preserve">2170529840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3.32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1</v>
      </c>
      <c r="BI1068" s="2">
        <v>1</v>
      </c>
      <c r="BJ1068" s="2">
        <v>0.2</v>
      </c>
      <c r="BK1068" s="2">
        <v>1</v>
      </c>
      <c r="BL1068" s="2">
        <v>40.76</v>
      </c>
      <c r="BM1068" s="2">
        <v>5.71</v>
      </c>
      <c r="BN1068" s="2">
        <v>46.47</v>
      </c>
      <c r="BO1068" s="2">
        <v>46.47</v>
      </c>
      <c r="BP1068" s="2"/>
      <c r="BQ1068" s="2" t="s">
        <v>117</v>
      </c>
      <c r="BR1068" s="2" t="s">
        <v>83</v>
      </c>
      <c r="BS1068" s="3">
        <v>42656</v>
      </c>
      <c r="BT1068" s="4">
        <v>0.41666666666666669</v>
      </c>
      <c r="BU1068" s="2" t="s">
        <v>1373</v>
      </c>
      <c r="BV1068" s="2" t="s">
        <v>85</v>
      </c>
      <c r="BW1068" s="2"/>
      <c r="BX1068" s="2"/>
      <c r="BY1068" s="2">
        <v>1200</v>
      </c>
      <c r="BZ1068" s="2"/>
      <c r="CA1068" s="2"/>
      <c r="CB1068" s="2"/>
      <c r="CC1068" s="2" t="s">
        <v>138</v>
      </c>
      <c r="CD1068" s="2">
        <v>3680</v>
      </c>
      <c r="CE1068" s="2" t="s">
        <v>108</v>
      </c>
      <c r="CF1068" s="5">
        <v>42657</v>
      </c>
      <c r="CG1068" s="2"/>
      <c r="CH1068" s="2"/>
      <c r="CI1068" s="2">
        <v>1</v>
      </c>
      <c r="CJ1068" s="2">
        <v>1</v>
      </c>
      <c r="CK1068" s="2">
        <v>21</v>
      </c>
      <c r="CL1068" s="2" t="s">
        <v>88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"FES1162506235"</f>
        <v>FES1162506235</v>
      </c>
      <c r="F1069" s="3">
        <v>42655</v>
      </c>
      <c r="G1069" s="2">
        <v>201704</v>
      </c>
      <c r="H1069" s="2" t="s">
        <v>74</v>
      </c>
      <c r="I1069" s="2" t="s">
        <v>75</v>
      </c>
      <c r="J1069" s="2" t="s">
        <v>76</v>
      </c>
      <c r="K1069" s="2" t="s">
        <v>77</v>
      </c>
      <c r="L1069" s="2" t="s">
        <v>160</v>
      </c>
      <c r="M1069" s="2" t="s">
        <v>161</v>
      </c>
      <c r="N1069" s="2" t="s">
        <v>1436</v>
      </c>
      <c r="O1069" s="2" t="s">
        <v>96</v>
      </c>
      <c r="P1069" s="2" t="str">
        <f>"2170525161                    "</f>
        <v xml:space="preserve">2170525161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10.78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2</v>
      </c>
      <c r="BI1069" s="2">
        <v>6.3</v>
      </c>
      <c r="BJ1069" s="2">
        <v>6.5</v>
      </c>
      <c r="BK1069" s="2">
        <v>6.5</v>
      </c>
      <c r="BL1069" s="2">
        <v>132.46</v>
      </c>
      <c r="BM1069" s="2">
        <v>18.54</v>
      </c>
      <c r="BN1069" s="2">
        <v>151</v>
      </c>
      <c r="BO1069" s="2">
        <v>151</v>
      </c>
      <c r="BP1069" s="2"/>
      <c r="BQ1069" s="2" t="s">
        <v>1437</v>
      </c>
      <c r="BR1069" s="2" t="s">
        <v>83</v>
      </c>
      <c r="BS1069" s="3">
        <v>42656</v>
      </c>
      <c r="BT1069" s="4">
        <v>0.41666666666666669</v>
      </c>
      <c r="BU1069" s="2" t="s">
        <v>1438</v>
      </c>
      <c r="BV1069" s="2" t="s">
        <v>85</v>
      </c>
      <c r="BW1069" s="2"/>
      <c r="BX1069" s="2"/>
      <c r="BY1069" s="2">
        <v>32427.8</v>
      </c>
      <c r="BZ1069" s="2"/>
      <c r="CA1069" s="2"/>
      <c r="CB1069" s="2"/>
      <c r="CC1069" s="2" t="s">
        <v>161</v>
      </c>
      <c r="CD1069" s="2">
        <v>7460</v>
      </c>
      <c r="CE1069" s="2" t="s">
        <v>108</v>
      </c>
      <c r="CF1069" s="5">
        <v>42657</v>
      </c>
      <c r="CG1069" s="2"/>
      <c r="CH1069" s="2"/>
      <c r="CI1069" s="2">
        <v>1</v>
      </c>
      <c r="CJ1069" s="2">
        <v>1</v>
      </c>
      <c r="CK1069" s="2">
        <v>21</v>
      </c>
      <c r="CL1069" s="2" t="s">
        <v>88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"FES1162506297"</f>
        <v>FES1162506297</v>
      </c>
      <c r="F1070" s="3">
        <v>42655</v>
      </c>
      <c r="G1070" s="2">
        <v>201704</v>
      </c>
      <c r="H1070" s="2" t="s">
        <v>74</v>
      </c>
      <c r="I1070" s="2" t="s">
        <v>75</v>
      </c>
      <c r="J1070" s="2" t="s">
        <v>76</v>
      </c>
      <c r="K1070" s="2" t="s">
        <v>77</v>
      </c>
      <c r="L1070" s="2" t="s">
        <v>377</v>
      </c>
      <c r="M1070" s="2" t="s">
        <v>378</v>
      </c>
      <c r="N1070" s="2" t="s">
        <v>379</v>
      </c>
      <c r="O1070" s="2" t="s">
        <v>96</v>
      </c>
      <c r="P1070" s="2" t="str">
        <f>"2170529823                    "</f>
        <v xml:space="preserve">2170529823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3.32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0.6</v>
      </c>
      <c r="BJ1070" s="2">
        <v>1.4</v>
      </c>
      <c r="BK1070" s="2">
        <v>1.5</v>
      </c>
      <c r="BL1070" s="2">
        <v>40.76</v>
      </c>
      <c r="BM1070" s="2">
        <v>5.71</v>
      </c>
      <c r="BN1070" s="2">
        <v>46.47</v>
      </c>
      <c r="BO1070" s="2">
        <v>46.47</v>
      </c>
      <c r="BP1070" s="2"/>
      <c r="BQ1070" s="2" t="s">
        <v>382</v>
      </c>
      <c r="BR1070" s="2" t="s">
        <v>83</v>
      </c>
      <c r="BS1070" s="3">
        <v>42656</v>
      </c>
      <c r="BT1070" s="4">
        <v>0.36458333333333331</v>
      </c>
      <c r="BU1070" s="2" t="s">
        <v>1362</v>
      </c>
      <c r="BV1070" s="2" t="s">
        <v>85</v>
      </c>
      <c r="BW1070" s="2"/>
      <c r="BX1070" s="2"/>
      <c r="BY1070" s="2">
        <v>6924.47</v>
      </c>
      <c r="BZ1070" s="2"/>
      <c r="CA1070" s="2" t="s">
        <v>535</v>
      </c>
      <c r="CB1070" s="2"/>
      <c r="CC1070" s="2" t="s">
        <v>378</v>
      </c>
      <c r="CD1070" s="2">
        <v>6536</v>
      </c>
      <c r="CE1070" s="2" t="s">
        <v>108</v>
      </c>
      <c r="CF1070" s="5">
        <v>42656</v>
      </c>
      <c r="CG1070" s="2"/>
      <c r="CH1070" s="2"/>
      <c r="CI1070" s="2">
        <v>1</v>
      </c>
      <c r="CJ1070" s="2">
        <v>1</v>
      </c>
      <c r="CK1070" s="2">
        <v>21</v>
      </c>
      <c r="CL1070" s="2" t="s">
        <v>88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"FES1162506289"</f>
        <v>FES1162506289</v>
      </c>
      <c r="F1071" s="3">
        <v>42655</v>
      </c>
      <c r="G1071" s="2">
        <v>201704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160</v>
      </c>
      <c r="M1071" s="2" t="s">
        <v>161</v>
      </c>
      <c r="N1071" s="2" t="s">
        <v>1453</v>
      </c>
      <c r="O1071" s="2" t="s">
        <v>96</v>
      </c>
      <c r="P1071" s="2" t="str">
        <f>"2170529814                    "</f>
        <v xml:space="preserve">2170529814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3.32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0.5</v>
      </c>
      <c r="BJ1071" s="2">
        <v>0.2</v>
      </c>
      <c r="BK1071" s="2">
        <v>0.5</v>
      </c>
      <c r="BL1071" s="2">
        <v>40.76</v>
      </c>
      <c r="BM1071" s="2">
        <v>5.71</v>
      </c>
      <c r="BN1071" s="2">
        <v>46.47</v>
      </c>
      <c r="BO1071" s="2">
        <v>46.47</v>
      </c>
      <c r="BP1071" s="2"/>
      <c r="BQ1071" s="2" t="s">
        <v>168</v>
      </c>
      <c r="BR1071" s="2" t="s">
        <v>83</v>
      </c>
      <c r="BS1071" s="3">
        <v>42656</v>
      </c>
      <c r="BT1071" s="4">
        <v>0.3527777777777778</v>
      </c>
      <c r="BU1071" s="2" t="s">
        <v>1454</v>
      </c>
      <c r="BV1071" s="2" t="s">
        <v>85</v>
      </c>
      <c r="BW1071" s="2"/>
      <c r="BX1071" s="2"/>
      <c r="BY1071" s="2">
        <v>1200</v>
      </c>
      <c r="BZ1071" s="2"/>
      <c r="CA1071" s="2" t="s">
        <v>1193</v>
      </c>
      <c r="CB1071" s="2"/>
      <c r="CC1071" s="2" t="s">
        <v>161</v>
      </c>
      <c r="CD1071" s="2">
        <v>7500</v>
      </c>
      <c r="CE1071" s="2" t="s">
        <v>108</v>
      </c>
      <c r="CF1071" s="5">
        <v>42656</v>
      </c>
      <c r="CG1071" s="2"/>
      <c r="CH1071" s="2"/>
      <c r="CI1071" s="2">
        <v>1</v>
      </c>
      <c r="CJ1071" s="2">
        <v>1</v>
      </c>
      <c r="CK1071" s="2">
        <v>21</v>
      </c>
      <c r="CL1071" s="2" t="s">
        <v>88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"FES1162506345"</f>
        <v>FES1162506345</v>
      </c>
      <c r="F1072" s="3">
        <v>42655</v>
      </c>
      <c r="G1072" s="2">
        <v>201704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938</v>
      </c>
      <c r="M1072" s="2" t="s">
        <v>939</v>
      </c>
      <c r="N1072" s="2" t="s">
        <v>1455</v>
      </c>
      <c r="O1072" s="2" t="s">
        <v>96</v>
      </c>
      <c r="P1072" s="2" t="str">
        <f>"2170529883                    "</f>
        <v xml:space="preserve">2170529883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9.33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0.7</v>
      </c>
      <c r="BJ1072" s="2">
        <v>2.9</v>
      </c>
      <c r="BK1072" s="2">
        <v>3</v>
      </c>
      <c r="BL1072" s="2">
        <v>114.63</v>
      </c>
      <c r="BM1072" s="2">
        <v>16.05</v>
      </c>
      <c r="BN1072" s="2">
        <v>130.68</v>
      </c>
      <c r="BO1072" s="2">
        <v>130.68</v>
      </c>
      <c r="BP1072" s="2"/>
      <c r="BQ1072" s="2"/>
      <c r="BR1072" s="2" t="s">
        <v>83</v>
      </c>
      <c r="BS1072" s="3">
        <v>42657</v>
      </c>
      <c r="BT1072" s="4">
        <v>0</v>
      </c>
      <c r="BU1072" s="2" t="s">
        <v>1456</v>
      </c>
      <c r="BV1072" s="2" t="s">
        <v>85</v>
      </c>
      <c r="BW1072" s="2"/>
      <c r="BX1072" s="2"/>
      <c r="BY1072" s="2">
        <v>14464.45</v>
      </c>
      <c r="BZ1072" s="2"/>
      <c r="CA1072" s="2"/>
      <c r="CB1072" s="2"/>
      <c r="CC1072" s="2" t="s">
        <v>939</v>
      </c>
      <c r="CD1072" s="2">
        <v>5319</v>
      </c>
      <c r="CE1072" s="2" t="s">
        <v>108</v>
      </c>
      <c r="CF1072" s="5">
        <v>42661</v>
      </c>
      <c r="CG1072" s="2"/>
      <c r="CH1072" s="2"/>
      <c r="CI1072" s="2">
        <v>4</v>
      </c>
      <c r="CJ1072" s="2">
        <v>2</v>
      </c>
      <c r="CK1072" s="2">
        <v>23</v>
      </c>
      <c r="CL1072" s="2" t="s">
        <v>88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"FES1162506231"</f>
        <v>FES1162506231</v>
      </c>
      <c r="F1073" s="3">
        <v>42655</v>
      </c>
      <c r="G1073" s="2">
        <v>201704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160</v>
      </c>
      <c r="M1073" s="2" t="s">
        <v>161</v>
      </c>
      <c r="N1073" s="2" t="s">
        <v>1457</v>
      </c>
      <c r="O1073" s="2" t="s">
        <v>96</v>
      </c>
      <c r="P1073" s="2" t="str">
        <f>"2170529764                    "</f>
        <v xml:space="preserve">2170529764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43.12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2</v>
      </c>
      <c r="BI1073" s="2">
        <v>26</v>
      </c>
      <c r="BJ1073" s="2">
        <v>11.2</v>
      </c>
      <c r="BK1073" s="2">
        <v>26</v>
      </c>
      <c r="BL1073" s="2">
        <v>529.84</v>
      </c>
      <c r="BM1073" s="2">
        <v>74.180000000000007</v>
      </c>
      <c r="BN1073" s="2">
        <v>604.02</v>
      </c>
      <c r="BO1073" s="2">
        <v>604.02</v>
      </c>
      <c r="BP1073" s="2"/>
      <c r="BQ1073" s="2" t="s">
        <v>1458</v>
      </c>
      <c r="BR1073" s="2" t="s">
        <v>83</v>
      </c>
      <c r="BS1073" s="3">
        <v>42656</v>
      </c>
      <c r="BT1073" s="4">
        <v>0.41666666666666669</v>
      </c>
      <c r="BU1073" s="2" t="s">
        <v>1459</v>
      </c>
      <c r="BV1073" s="2" t="s">
        <v>85</v>
      </c>
      <c r="BW1073" s="2"/>
      <c r="BX1073" s="2"/>
      <c r="BY1073" s="2">
        <v>55907.67</v>
      </c>
      <c r="BZ1073" s="2"/>
      <c r="CA1073" s="2"/>
      <c r="CB1073" s="2"/>
      <c r="CC1073" s="2" t="s">
        <v>161</v>
      </c>
      <c r="CD1073" s="2">
        <v>7441</v>
      </c>
      <c r="CE1073" s="2" t="s">
        <v>86</v>
      </c>
      <c r="CF1073" s="5">
        <v>42657</v>
      </c>
      <c r="CG1073" s="2"/>
      <c r="CH1073" s="2"/>
      <c r="CI1073" s="2">
        <v>1</v>
      </c>
      <c r="CJ1073" s="2">
        <v>1</v>
      </c>
      <c r="CK1073" s="2">
        <v>21</v>
      </c>
      <c r="CL1073" s="2" t="s">
        <v>88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"FES1162506299"</f>
        <v>FES1162506299</v>
      </c>
      <c r="F1074" s="3">
        <v>42655</v>
      </c>
      <c r="G1074" s="2">
        <v>201704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78</v>
      </c>
      <c r="M1074" s="2" t="s">
        <v>79</v>
      </c>
      <c r="N1074" s="2" t="s">
        <v>1460</v>
      </c>
      <c r="O1074" s="2" t="s">
        <v>96</v>
      </c>
      <c r="P1074" s="2" t="str">
        <f>"2170529827                    "</f>
        <v xml:space="preserve">2170529827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3.32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1</v>
      </c>
      <c r="BJ1074" s="2">
        <v>1.6</v>
      </c>
      <c r="BK1074" s="2">
        <v>2</v>
      </c>
      <c r="BL1074" s="2">
        <v>40.76</v>
      </c>
      <c r="BM1074" s="2">
        <v>5.71</v>
      </c>
      <c r="BN1074" s="2">
        <v>46.47</v>
      </c>
      <c r="BO1074" s="2">
        <v>46.47</v>
      </c>
      <c r="BP1074" s="2"/>
      <c r="BQ1074" s="2" t="s">
        <v>91</v>
      </c>
      <c r="BR1074" s="2" t="s">
        <v>83</v>
      </c>
      <c r="BS1074" s="3">
        <v>42656</v>
      </c>
      <c r="BT1074" s="4">
        <v>0.41666666666666669</v>
      </c>
      <c r="BU1074" s="2" t="s">
        <v>1461</v>
      </c>
      <c r="BV1074" s="2" t="s">
        <v>85</v>
      </c>
      <c r="BW1074" s="2"/>
      <c r="BX1074" s="2"/>
      <c r="BY1074" s="2">
        <v>7830</v>
      </c>
      <c r="BZ1074" s="2"/>
      <c r="CA1074" s="2"/>
      <c r="CB1074" s="2"/>
      <c r="CC1074" s="2" t="s">
        <v>79</v>
      </c>
      <c r="CD1074" s="2">
        <v>1961</v>
      </c>
      <c r="CE1074" s="2" t="s">
        <v>86</v>
      </c>
      <c r="CF1074" s="5">
        <v>42660</v>
      </c>
      <c r="CG1074" s="2"/>
      <c r="CH1074" s="2"/>
      <c r="CI1074" s="2">
        <v>1</v>
      </c>
      <c r="CJ1074" s="2">
        <v>1</v>
      </c>
      <c r="CK1074" s="2">
        <v>21</v>
      </c>
      <c r="CL1074" s="2" t="s">
        <v>88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"FES1162506294"</f>
        <v>FES1162506294</v>
      </c>
      <c r="F1075" s="3">
        <v>42655</v>
      </c>
      <c r="G1075" s="2">
        <v>201704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698</v>
      </c>
      <c r="M1075" s="2" t="s">
        <v>699</v>
      </c>
      <c r="N1075" s="2" t="s">
        <v>704</v>
      </c>
      <c r="O1075" s="2" t="s">
        <v>96</v>
      </c>
      <c r="P1075" s="2" t="str">
        <f>"2170529751                    "</f>
        <v xml:space="preserve">2170529751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4.66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0.6</v>
      </c>
      <c r="BJ1075" s="2">
        <v>1.5</v>
      </c>
      <c r="BK1075" s="2">
        <v>1.5</v>
      </c>
      <c r="BL1075" s="2">
        <v>57.31</v>
      </c>
      <c r="BM1075" s="2">
        <v>8.02</v>
      </c>
      <c r="BN1075" s="2">
        <v>65.33</v>
      </c>
      <c r="BO1075" s="2">
        <v>65.33</v>
      </c>
      <c r="BP1075" s="2"/>
      <c r="BQ1075" s="2" t="s">
        <v>705</v>
      </c>
      <c r="BR1075" s="2" t="s">
        <v>83</v>
      </c>
      <c r="BS1075" s="3">
        <v>42656</v>
      </c>
      <c r="BT1075" s="4">
        <v>0.48958333333333331</v>
      </c>
      <c r="BU1075" s="2" t="s">
        <v>1462</v>
      </c>
      <c r="BV1075" s="2" t="s">
        <v>85</v>
      </c>
      <c r="BW1075" s="2"/>
      <c r="BX1075" s="2"/>
      <c r="BY1075" s="2">
        <v>7693.5</v>
      </c>
      <c r="BZ1075" s="2"/>
      <c r="CA1075" s="2"/>
      <c r="CB1075" s="2"/>
      <c r="CC1075" s="2" t="s">
        <v>699</v>
      </c>
      <c r="CD1075" s="2">
        <v>1759</v>
      </c>
      <c r="CE1075" s="2" t="s">
        <v>108</v>
      </c>
      <c r="CF1075" s="5">
        <v>42657</v>
      </c>
      <c r="CG1075" s="2"/>
      <c r="CH1075" s="2"/>
      <c r="CI1075" s="2">
        <v>1</v>
      </c>
      <c r="CJ1075" s="2">
        <v>1</v>
      </c>
      <c r="CK1075" s="2">
        <v>24</v>
      </c>
      <c r="CL1075" s="2" t="s">
        <v>88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"FES1162506295"</f>
        <v>FES1162506295</v>
      </c>
      <c r="F1076" s="3">
        <v>42655</v>
      </c>
      <c r="G1076" s="2">
        <v>201704</v>
      </c>
      <c r="H1076" s="2" t="s">
        <v>74</v>
      </c>
      <c r="I1076" s="2" t="s">
        <v>75</v>
      </c>
      <c r="J1076" s="2" t="s">
        <v>76</v>
      </c>
      <c r="K1076" s="2" t="s">
        <v>77</v>
      </c>
      <c r="L1076" s="2" t="s">
        <v>698</v>
      </c>
      <c r="M1076" s="2" t="s">
        <v>699</v>
      </c>
      <c r="N1076" s="2" t="s">
        <v>704</v>
      </c>
      <c r="O1076" s="2" t="s">
        <v>96</v>
      </c>
      <c r="P1076" s="2" t="str">
        <f>"2170529805                    "</f>
        <v xml:space="preserve">2170529805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4.66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1</v>
      </c>
      <c r="BJ1076" s="2">
        <v>0.2</v>
      </c>
      <c r="BK1076" s="2">
        <v>1</v>
      </c>
      <c r="BL1076" s="2">
        <v>57.31</v>
      </c>
      <c r="BM1076" s="2">
        <v>8.02</v>
      </c>
      <c r="BN1076" s="2">
        <v>65.33</v>
      </c>
      <c r="BO1076" s="2">
        <v>65.33</v>
      </c>
      <c r="BP1076" s="2"/>
      <c r="BQ1076" s="2" t="s">
        <v>705</v>
      </c>
      <c r="BR1076" s="2" t="s">
        <v>83</v>
      </c>
      <c r="BS1076" s="3">
        <v>42656</v>
      </c>
      <c r="BT1076" s="4">
        <v>0.43402777777777773</v>
      </c>
      <c r="BU1076" s="2" t="s">
        <v>1462</v>
      </c>
      <c r="BV1076" s="2" t="s">
        <v>85</v>
      </c>
      <c r="BW1076" s="2"/>
      <c r="BX1076" s="2"/>
      <c r="BY1076" s="2">
        <v>1200</v>
      </c>
      <c r="BZ1076" s="2"/>
      <c r="CA1076" s="2"/>
      <c r="CB1076" s="2"/>
      <c r="CC1076" s="2" t="s">
        <v>699</v>
      </c>
      <c r="CD1076" s="2">
        <v>1759</v>
      </c>
      <c r="CE1076" s="2" t="s">
        <v>108</v>
      </c>
      <c r="CF1076" s="5">
        <v>42657</v>
      </c>
      <c r="CG1076" s="2"/>
      <c r="CH1076" s="2"/>
      <c r="CI1076" s="2">
        <v>1</v>
      </c>
      <c r="CJ1076" s="2">
        <v>1</v>
      </c>
      <c r="CK1076" s="2">
        <v>24</v>
      </c>
      <c r="CL1076" s="2" t="s">
        <v>88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"FES1162506291"</f>
        <v>FES1162506291</v>
      </c>
      <c r="F1077" s="3">
        <v>42655</v>
      </c>
      <c r="G1077" s="2">
        <v>201704</v>
      </c>
      <c r="H1077" s="2" t="s">
        <v>74</v>
      </c>
      <c r="I1077" s="2" t="s">
        <v>75</v>
      </c>
      <c r="J1077" s="2" t="s">
        <v>76</v>
      </c>
      <c r="K1077" s="2" t="s">
        <v>77</v>
      </c>
      <c r="L1077" s="2" t="s">
        <v>160</v>
      </c>
      <c r="M1077" s="2" t="s">
        <v>161</v>
      </c>
      <c r="N1077" s="2" t="s">
        <v>710</v>
      </c>
      <c r="O1077" s="2" t="s">
        <v>96</v>
      </c>
      <c r="P1077" s="2" t="str">
        <f>"2170529817                    "</f>
        <v xml:space="preserve">2170529817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3.32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1</v>
      </c>
      <c r="BJ1077" s="2">
        <v>0.2</v>
      </c>
      <c r="BK1077" s="2">
        <v>1</v>
      </c>
      <c r="BL1077" s="2">
        <v>40.76</v>
      </c>
      <c r="BM1077" s="2">
        <v>5.71</v>
      </c>
      <c r="BN1077" s="2">
        <v>46.47</v>
      </c>
      <c r="BO1077" s="2">
        <v>46.47</v>
      </c>
      <c r="BP1077" s="2"/>
      <c r="BQ1077" s="2" t="s">
        <v>711</v>
      </c>
      <c r="BR1077" s="2" t="s">
        <v>83</v>
      </c>
      <c r="BS1077" s="3">
        <v>42656</v>
      </c>
      <c r="BT1077" s="4">
        <v>0.36874999999999997</v>
      </c>
      <c r="BU1077" s="2" t="s">
        <v>1463</v>
      </c>
      <c r="BV1077" s="2" t="s">
        <v>85</v>
      </c>
      <c r="BW1077" s="2"/>
      <c r="BX1077" s="2"/>
      <c r="BY1077" s="2">
        <v>1200</v>
      </c>
      <c r="BZ1077" s="2"/>
      <c r="CA1077" s="2"/>
      <c r="CB1077" s="2"/>
      <c r="CC1077" s="2" t="s">
        <v>161</v>
      </c>
      <c r="CD1077" s="2">
        <v>7441</v>
      </c>
      <c r="CE1077" s="2" t="s">
        <v>108</v>
      </c>
      <c r="CF1077" s="5">
        <v>42657</v>
      </c>
      <c r="CG1077" s="2"/>
      <c r="CH1077" s="2"/>
      <c r="CI1077" s="2">
        <v>1</v>
      </c>
      <c r="CJ1077" s="2">
        <v>1</v>
      </c>
      <c r="CK1077" s="2">
        <v>21</v>
      </c>
      <c r="CL1077" s="2" t="s">
        <v>88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"FES1162506314"</f>
        <v>FES1162506314</v>
      </c>
      <c r="F1078" s="3">
        <v>42655</v>
      </c>
      <c r="G1078" s="2">
        <v>201704</v>
      </c>
      <c r="H1078" s="2" t="s">
        <v>74</v>
      </c>
      <c r="I1078" s="2" t="s">
        <v>75</v>
      </c>
      <c r="J1078" s="2" t="s">
        <v>76</v>
      </c>
      <c r="K1078" s="2" t="s">
        <v>77</v>
      </c>
      <c r="L1078" s="2" t="s">
        <v>148</v>
      </c>
      <c r="M1078" s="2" t="s">
        <v>149</v>
      </c>
      <c r="N1078" s="2" t="s">
        <v>1464</v>
      </c>
      <c r="O1078" s="2" t="s">
        <v>96</v>
      </c>
      <c r="P1078" s="2" t="str">
        <f>"2170529845                    "</f>
        <v xml:space="preserve">2170529845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3.32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0.5</v>
      </c>
      <c r="BJ1078" s="2">
        <v>0.2</v>
      </c>
      <c r="BK1078" s="2">
        <v>0.5</v>
      </c>
      <c r="BL1078" s="2">
        <v>40.76</v>
      </c>
      <c r="BM1078" s="2">
        <v>5.71</v>
      </c>
      <c r="BN1078" s="2">
        <v>46.47</v>
      </c>
      <c r="BO1078" s="2">
        <v>46.47</v>
      </c>
      <c r="BP1078" s="2"/>
      <c r="BQ1078" s="2" t="s">
        <v>117</v>
      </c>
      <c r="BR1078" s="2" t="s">
        <v>83</v>
      </c>
      <c r="BS1078" s="3">
        <v>42656</v>
      </c>
      <c r="BT1078" s="4">
        <v>0.4375</v>
      </c>
      <c r="BU1078" s="2" t="s">
        <v>1465</v>
      </c>
      <c r="BV1078" s="2" t="s">
        <v>85</v>
      </c>
      <c r="BW1078" s="2"/>
      <c r="BX1078" s="2"/>
      <c r="BY1078" s="2">
        <v>1200</v>
      </c>
      <c r="BZ1078" s="2"/>
      <c r="CA1078" s="2"/>
      <c r="CB1078" s="2"/>
      <c r="CC1078" s="2" t="s">
        <v>149</v>
      </c>
      <c r="CD1078" s="2">
        <v>4068</v>
      </c>
      <c r="CE1078" s="2" t="s">
        <v>108</v>
      </c>
      <c r="CF1078" s="5">
        <v>42657</v>
      </c>
      <c r="CG1078" s="2"/>
      <c r="CH1078" s="2"/>
      <c r="CI1078" s="2">
        <v>1</v>
      </c>
      <c r="CJ1078" s="2">
        <v>1</v>
      </c>
      <c r="CK1078" s="2">
        <v>21</v>
      </c>
      <c r="CL1078" s="2" t="s">
        <v>88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"FES1162506321"</f>
        <v>FES1162506321</v>
      </c>
      <c r="F1079" s="3">
        <v>42655</v>
      </c>
      <c r="G1079" s="2">
        <v>201704</v>
      </c>
      <c r="H1079" s="2" t="s">
        <v>74</v>
      </c>
      <c r="I1079" s="2" t="s">
        <v>75</v>
      </c>
      <c r="J1079" s="2" t="s">
        <v>76</v>
      </c>
      <c r="K1079" s="2" t="s">
        <v>77</v>
      </c>
      <c r="L1079" s="2" t="s">
        <v>148</v>
      </c>
      <c r="M1079" s="2" t="s">
        <v>149</v>
      </c>
      <c r="N1079" s="2" t="s">
        <v>1466</v>
      </c>
      <c r="O1079" s="2" t="s">
        <v>96</v>
      </c>
      <c r="P1079" s="2" t="str">
        <f>"2170529855                    "</f>
        <v xml:space="preserve">2170529855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3.32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1</v>
      </c>
      <c r="BJ1079" s="2">
        <v>0.2</v>
      </c>
      <c r="BK1079" s="2">
        <v>1</v>
      </c>
      <c r="BL1079" s="2">
        <v>40.76</v>
      </c>
      <c r="BM1079" s="2">
        <v>5.71</v>
      </c>
      <c r="BN1079" s="2">
        <v>46.47</v>
      </c>
      <c r="BO1079" s="2">
        <v>46.47</v>
      </c>
      <c r="BP1079" s="2"/>
      <c r="BQ1079" s="2" t="s">
        <v>91</v>
      </c>
      <c r="BR1079" s="2" t="s">
        <v>83</v>
      </c>
      <c r="BS1079" s="3">
        <v>42656</v>
      </c>
      <c r="BT1079" s="4">
        <v>0.4375</v>
      </c>
      <c r="BU1079" s="2" t="s">
        <v>1467</v>
      </c>
      <c r="BV1079" s="2"/>
      <c r="BW1079" s="2"/>
      <c r="BX1079" s="2"/>
      <c r="BY1079" s="2">
        <v>1200</v>
      </c>
      <c r="BZ1079" s="2"/>
      <c r="CA1079" s="2" t="s">
        <v>129</v>
      </c>
      <c r="CB1079" s="2"/>
      <c r="CC1079" s="2" t="s">
        <v>149</v>
      </c>
      <c r="CD1079" s="2">
        <v>4001</v>
      </c>
      <c r="CE1079" s="2" t="s">
        <v>108</v>
      </c>
      <c r="CF1079" s="5">
        <v>42657</v>
      </c>
      <c r="CG1079" s="2"/>
      <c r="CH1079" s="2"/>
      <c r="CI1079" s="2">
        <v>0</v>
      </c>
      <c r="CJ1079" s="2">
        <v>0</v>
      </c>
      <c r="CK1079" s="2">
        <v>21</v>
      </c>
      <c r="CL1079" s="2" t="s">
        <v>88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"FES1162506268"</f>
        <v>FES1162506268</v>
      </c>
      <c r="F1080" s="3">
        <v>42655</v>
      </c>
      <c r="G1080" s="2">
        <v>201704</v>
      </c>
      <c r="H1080" s="2" t="s">
        <v>74</v>
      </c>
      <c r="I1080" s="2" t="s">
        <v>75</v>
      </c>
      <c r="J1080" s="2" t="s">
        <v>76</v>
      </c>
      <c r="K1080" s="2" t="s">
        <v>77</v>
      </c>
      <c r="L1080" s="2" t="s">
        <v>160</v>
      </c>
      <c r="M1080" s="2" t="s">
        <v>161</v>
      </c>
      <c r="N1080" s="2" t="s">
        <v>176</v>
      </c>
      <c r="O1080" s="2" t="s">
        <v>96</v>
      </c>
      <c r="P1080" s="2" t="str">
        <f>"2170529781                    "</f>
        <v xml:space="preserve">2170529781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3.32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1.9</v>
      </c>
      <c r="BJ1080" s="2">
        <v>1.5</v>
      </c>
      <c r="BK1080" s="2">
        <v>2</v>
      </c>
      <c r="BL1080" s="2">
        <v>40.76</v>
      </c>
      <c r="BM1080" s="2">
        <v>5.71</v>
      </c>
      <c r="BN1080" s="2">
        <v>46.47</v>
      </c>
      <c r="BO1080" s="2">
        <v>46.47</v>
      </c>
      <c r="BP1080" s="2"/>
      <c r="BQ1080" s="2" t="s">
        <v>177</v>
      </c>
      <c r="BR1080" s="2" t="s">
        <v>83</v>
      </c>
      <c r="BS1080" s="3">
        <v>42656</v>
      </c>
      <c r="BT1080" s="4">
        <v>0.40833333333333338</v>
      </c>
      <c r="BU1080" s="2" t="s">
        <v>178</v>
      </c>
      <c r="BV1080" s="2" t="s">
        <v>85</v>
      </c>
      <c r="BW1080" s="2"/>
      <c r="BX1080" s="2"/>
      <c r="BY1080" s="2">
        <v>7534.06</v>
      </c>
      <c r="BZ1080" s="2"/>
      <c r="CA1080" s="2"/>
      <c r="CB1080" s="2"/>
      <c r="CC1080" s="2" t="s">
        <v>161</v>
      </c>
      <c r="CD1080" s="2">
        <v>7530</v>
      </c>
      <c r="CE1080" s="2" t="s">
        <v>108</v>
      </c>
      <c r="CF1080" s="5">
        <v>42657</v>
      </c>
      <c r="CG1080" s="2"/>
      <c r="CH1080" s="2"/>
      <c r="CI1080" s="2">
        <v>1</v>
      </c>
      <c r="CJ1080" s="2">
        <v>1</v>
      </c>
      <c r="CK1080" s="2">
        <v>21</v>
      </c>
      <c r="CL1080" s="2" t="s">
        <v>88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"FES1162506329"</f>
        <v>FES1162506329</v>
      </c>
      <c r="F1081" s="3">
        <v>42655</v>
      </c>
      <c r="G1081" s="2">
        <v>201704</v>
      </c>
      <c r="H1081" s="2" t="s">
        <v>74</v>
      </c>
      <c r="I1081" s="2" t="s">
        <v>75</v>
      </c>
      <c r="J1081" s="2" t="s">
        <v>76</v>
      </c>
      <c r="K1081" s="2" t="s">
        <v>77</v>
      </c>
      <c r="L1081" s="2" t="s">
        <v>98</v>
      </c>
      <c r="M1081" s="2" t="s">
        <v>99</v>
      </c>
      <c r="N1081" s="2" t="s">
        <v>213</v>
      </c>
      <c r="O1081" s="2" t="s">
        <v>96</v>
      </c>
      <c r="P1081" s="2" t="str">
        <f>"2170529858                    "</f>
        <v xml:space="preserve">2170529858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3.32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0.5</v>
      </c>
      <c r="BJ1081" s="2">
        <v>0.2</v>
      </c>
      <c r="BK1081" s="2">
        <v>0.5</v>
      </c>
      <c r="BL1081" s="2">
        <v>40.76</v>
      </c>
      <c r="BM1081" s="2">
        <v>5.71</v>
      </c>
      <c r="BN1081" s="2">
        <v>46.47</v>
      </c>
      <c r="BO1081" s="2">
        <v>46.47</v>
      </c>
      <c r="BP1081" s="2"/>
      <c r="BQ1081" s="2" t="s">
        <v>1050</v>
      </c>
      <c r="BR1081" s="2" t="s">
        <v>83</v>
      </c>
      <c r="BS1081" s="3">
        <v>42656</v>
      </c>
      <c r="BT1081" s="4">
        <v>0.41944444444444445</v>
      </c>
      <c r="BU1081" s="2" t="s">
        <v>1468</v>
      </c>
      <c r="BV1081" s="2" t="s">
        <v>85</v>
      </c>
      <c r="BW1081" s="2"/>
      <c r="BX1081" s="2"/>
      <c r="BY1081" s="2">
        <v>1200</v>
      </c>
      <c r="BZ1081" s="2"/>
      <c r="CA1081" s="2" t="s">
        <v>129</v>
      </c>
      <c r="CB1081" s="2"/>
      <c r="CC1081" s="2" t="s">
        <v>99</v>
      </c>
      <c r="CD1081" s="2">
        <v>6045</v>
      </c>
      <c r="CE1081" s="2" t="s">
        <v>108</v>
      </c>
      <c r="CF1081" s="5">
        <v>42657</v>
      </c>
      <c r="CG1081" s="2"/>
      <c r="CH1081" s="2"/>
      <c r="CI1081" s="2">
        <v>1</v>
      </c>
      <c r="CJ1081" s="2">
        <v>1</v>
      </c>
      <c r="CK1081" s="2">
        <v>21</v>
      </c>
      <c r="CL1081" s="2" t="s">
        <v>88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"FES1162506242"</f>
        <v>FES1162506242</v>
      </c>
      <c r="F1082" s="3">
        <v>42655</v>
      </c>
      <c r="G1082" s="2">
        <v>201704</v>
      </c>
      <c r="H1082" s="2" t="s">
        <v>74</v>
      </c>
      <c r="I1082" s="2" t="s">
        <v>75</v>
      </c>
      <c r="J1082" s="2" t="s">
        <v>76</v>
      </c>
      <c r="K1082" s="2" t="s">
        <v>77</v>
      </c>
      <c r="L1082" s="2" t="s">
        <v>160</v>
      </c>
      <c r="M1082" s="2" t="s">
        <v>161</v>
      </c>
      <c r="N1082" s="2" t="s">
        <v>1436</v>
      </c>
      <c r="O1082" s="2" t="s">
        <v>96</v>
      </c>
      <c r="P1082" s="2" t="str">
        <f>"2170526702                    "</f>
        <v xml:space="preserve">2170526702 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11.61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2</v>
      </c>
      <c r="BI1082" s="2">
        <v>4.9000000000000004</v>
      </c>
      <c r="BJ1082" s="2">
        <v>6.9</v>
      </c>
      <c r="BK1082" s="2">
        <v>7</v>
      </c>
      <c r="BL1082" s="2">
        <v>142.65</v>
      </c>
      <c r="BM1082" s="2">
        <v>19.97</v>
      </c>
      <c r="BN1082" s="2">
        <v>162.62</v>
      </c>
      <c r="BO1082" s="2">
        <v>162.62</v>
      </c>
      <c r="BP1082" s="2"/>
      <c r="BQ1082" s="2" t="s">
        <v>1437</v>
      </c>
      <c r="BR1082" s="2" t="s">
        <v>83</v>
      </c>
      <c r="BS1082" s="3">
        <v>42656</v>
      </c>
      <c r="BT1082" s="4">
        <v>0.41666666666666669</v>
      </c>
      <c r="BU1082" s="2" t="s">
        <v>1438</v>
      </c>
      <c r="BV1082" s="2" t="s">
        <v>85</v>
      </c>
      <c r="BW1082" s="2"/>
      <c r="BX1082" s="2"/>
      <c r="BY1082" s="2">
        <v>34445.51</v>
      </c>
      <c r="BZ1082" s="2"/>
      <c r="CA1082" s="2"/>
      <c r="CB1082" s="2"/>
      <c r="CC1082" s="2" t="s">
        <v>161</v>
      </c>
      <c r="CD1082" s="2">
        <v>7460</v>
      </c>
      <c r="CE1082" s="2" t="s">
        <v>86</v>
      </c>
      <c r="CF1082" s="5">
        <v>42657</v>
      </c>
      <c r="CG1082" s="2"/>
      <c r="CH1082" s="2"/>
      <c r="CI1082" s="2">
        <v>1</v>
      </c>
      <c r="CJ1082" s="2">
        <v>1</v>
      </c>
      <c r="CK1082" s="2">
        <v>21</v>
      </c>
      <c r="CL1082" s="2" t="s">
        <v>88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"FES1162506324"</f>
        <v>FES1162506324</v>
      </c>
      <c r="F1083" s="3">
        <v>42655</v>
      </c>
      <c r="G1083" s="2">
        <v>201704</v>
      </c>
      <c r="H1083" s="2" t="s">
        <v>74</v>
      </c>
      <c r="I1083" s="2" t="s">
        <v>75</v>
      </c>
      <c r="J1083" s="2" t="s">
        <v>76</v>
      </c>
      <c r="K1083" s="2" t="s">
        <v>77</v>
      </c>
      <c r="L1083" s="2" t="s">
        <v>160</v>
      </c>
      <c r="M1083" s="2" t="s">
        <v>161</v>
      </c>
      <c r="N1083" s="2" t="s">
        <v>1469</v>
      </c>
      <c r="O1083" s="2" t="s">
        <v>96</v>
      </c>
      <c r="P1083" s="2" t="str">
        <f>"2170529861                    "</f>
        <v xml:space="preserve">2170529861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3.32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0.5</v>
      </c>
      <c r="BJ1083" s="2">
        <v>0.2</v>
      </c>
      <c r="BK1083" s="2">
        <v>0.5</v>
      </c>
      <c r="BL1083" s="2">
        <v>40.76</v>
      </c>
      <c r="BM1083" s="2">
        <v>5.71</v>
      </c>
      <c r="BN1083" s="2">
        <v>46.47</v>
      </c>
      <c r="BO1083" s="2">
        <v>46.47</v>
      </c>
      <c r="BP1083" s="2"/>
      <c r="BQ1083" s="2" t="s">
        <v>1470</v>
      </c>
      <c r="BR1083" s="2" t="s">
        <v>83</v>
      </c>
      <c r="BS1083" s="3">
        <v>42656</v>
      </c>
      <c r="BT1083" s="4">
        <v>0.4236111111111111</v>
      </c>
      <c r="BU1083" s="2" t="s">
        <v>1471</v>
      </c>
      <c r="BV1083" s="2"/>
      <c r="BW1083" s="2"/>
      <c r="BX1083" s="2"/>
      <c r="BY1083" s="2">
        <v>1200</v>
      </c>
      <c r="BZ1083" s="2"/>
      <c r="CA1083" s="2"/>
      <c r="CB1083" s="2"/>
      <c r="CC1083" s="2" t="s">
        <v>161</v>
      </c>
      <c r="CD1083" s="2">
        <v>8001</v>
      </c>
      <c r="CE1083" s="2" t="s">
        <v>108</v>
      </c>
      <c r="CF1083" s="5">
        <v>42657</v>
      </c>
      <c r="CG1083" s="2"/>
      <c r="CH1083" s="2"/>
      <c r="CI1083" s="2">
        <v>0</v>
      </c>
      <c r="CJ1083" s="2">
        <v>0</v>
      </c>
      <c r="CK1083" s="2">
        <v>21</v>
      </c>
      <c r="CL1083" s="2" t="s">
        <v>88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"FES1162506243"</f>
        <v>FES1162506243</v>
      </c>
      <c r="F1084" s="3">
        <v>42655</v>
      </c>
      <c r="G1084" s="2">
        <v>201704</v>
      </c>
      <c r="H1084" s="2" t="s">
        <v>74</v>
      </c>
      <c r="I1084" s="2" t="s">
        <v>75</v>
      </c>
      <c r="J1084" s="2" t="s">
        <v>76</v>
      </c>
      <c r="K1084" s="2" t="s">
        <v>77</v>
      </c>
      <c r="L1084" s="2" t="s">
        <v>160</v>
      </c>
      <c r="M1084" s="2" t="s">
        <v>161</v>
      </c>
      <c r="N1084" s="2" t="s">
        <v>184</v>
      </c>
      <c r="O1084" s="2" t="s">
        <v>96</v>
      </c>
      <c r="P1084" s="2" t="str">
        <f>"2170526642                    "</f>
        <v xml:space="preserve">2170526642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3.32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1</v>
      </c>
      <c r="BJ1084" s="2">
        <v>0.2</v>
      </c>
      <c r="BK1084" s="2">
        <v>1</v>
      </c>
      <c r="BL1084" s="2">
        <v>40.76</v>
      </c>
      <c r="BM1084" s="2">
        <v>5.71</v>
      </c>
      <c r="BN1084" s="2">
        <v>46.47</v>
      </c>
      <c r="BO1084" s="2">
        <v>46.47</v>
      </c>
      <c r="BP1084" s="2"/>
      <c r="BQ1084" s="2" t="s">
        <v>117</v>
      </c>
      <c r="BR1084" s="2" t="s">
        <v>83</v>
      </c>
      <c r="BS1084" s="3">
        <v>42656</v>
      </c>
      <c r="BT1084" s="4">
        <v>0.41666666666666669</v>
      </c>
      <c r="BU1084" s="2" t="s">
        <v>706</v>
      </c>
      <c r="BV1084" s="2" t="s">
        <v>85</v>
      </c>
      <c r="BW1084" s="2"/>
      <c r="BX1084" s="2"/>
      <c r="BY1084" s="2">
        <v>1200</v>
      </c>
      <c r="BZ1084" s="2"/>
      <c r="CA1084" s="2"/>
      <c r="CB1084" s="2"/>
      <c r="CC1084" s="2" t="s">
        <v>161</v>
      </c>
      <c r="CD1084" s="2">
        <v>7441</v>
      </c>
      <c r="CE1084" s="2" t="s">
        <v>108</v>
      </c>
      <c r="CF1084" s="5">
        <v>42657</v>
      </c>
      <c r="CG1084" s="2"/>
      <c r="CH1084" s="2"/>
      <c r="CI1084" s="2">
        <v>1</v>
      </c>
      <c r="CJ1084" s="2">
        <v>1</v>
      </c>
      <c r="CK1084" s="2">
        <v>21</v>
      </c>
      <c r="CL1084" s="2" t="s">
        <v>88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"FES1162506333"</f>
        <v>FES1162506333</v>
      </c>
      <c r="F1085" s="3">
        <v>42655</v>
      </c>
      <c r="G1085" s="2">
        <v>201704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160</v>
      </c>
      <c r="M1085" s="2" t="s">
        <v>161</v>
      </c>
      <c r="N1085" s="2" t="s">
        <v>1238</v>
      </c>
      <c r="O1085" s="2" t="s">
        <v>96</v>
      </c>
      <c r="P1085" s="2" t="str">
        <f>"2170529475                    "</f>
        <v xml:space="preserve">2170529475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3.32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0.5</v>
      </c>
      <c r="BJ1085" s="2">
        <v>0.2</v>
      </c>
      <c r="BK1085" s="2">
        <v>0.5</v>
      </c>
      <c r="BL1085" s="2">
        <v>40.76</v>
      </c>
      <c r="BM1085" s="2">
        <v>5.71</v>
      </c>
      <c r="BN1085" s="2">
        <v>46.47</v>
      </c>
      <c r="BO1085" s="2">
        <v>46.47</v>
      </c>
      <c r="BP1085" s="2"/>
      <c r="BQ1085" s="2" t="s">
        <v>91</v>
      </c>
      <c r="BR1085" s="2" t="s">
        <v>83</v>
      </c>
      <c r="BS1085" s="3">
        <v>42656</v>
      </c>
      <c r="BT1085" s="4">
        <v>0.40625</v>
      </c>
      <c r="BU1085" s="2" t="s">
        <v>1239</v>
      </c>
      <c r="BV1085" s="2" t="s">
        <v>85</v>
      </c>
      <c r="BW1085" s="2"/>
      <c r="BX1085" s="2"/>
      <c r="BY1085" s="2">
        <v>1200</v>
      </c>
      <c r="BZ1085" s="2"/>
      <c r="CA1085" s="2"/>
      <c r="CB1085" s="2"/>
      <c r="CC1085" s="2" t="s">
        <v>161</v>
      </c>
      <c r="CD1085" s="2">
        <v>7405</v>
      </c>
      <c r="CE1085" s="2" t="s">
        <v>108</v>
      </c>
      <c r="CF1085" s="5">
        <v>42657</v>
      </c>
      <c r="CG1085" s="2"/>
      <c r="CH1085" s="2"/>
      <c r="CI1085" s="2">
        <v>1</v>
      </c>
      <c r="CJ1085" s="2">
        <v>1</v>
      </c>
      <c r="CK1085" s="2">
        <v>21</v>
      </c>
      <c r="CL1085" s="2" t="s">
        <v>88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"FES1162506095"</f>
        <v>FES1162506095</v>
      </c>
      <c r="F1086" s="3">
        <v>42655</v>
      </c>
      <c r="G1086" s="2">
        <v>201704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305</v>
      </c>
      <c r="M1086" s="2" t="s">
        <v>306</v>
      </c>
      <c r="N1086" s="2" t="s">
        <v>307</v>
      </c>
      <c r="O1086" s="2" t="s">
        <v>96</v>
      </c>
      <c r="P1086" s="2" t="str">
        <f>"2170527782                    "</f>
        <v xml:space="preserve">2170527782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6.43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1</v>
      </c>
      <c r="BJ1086" s="2">
        <v>0.2</v>
      </c>
      <c r="BK1086" s="2">
        <v>1</v>
      </c>
      <c r="BL1086" s="2">
        <v>78.97</v>
      </c>
      <c r="BM1086" s="2">
        <v>11.06</v>
      </c>
      <c r="BN1086" s="2">
        <v>90.03</v>
      </c>
      <c r="BO1086" s="2">
        <v>90.03</v>
      </c>
      <c r="BP1086" s="2"/>
      <c r="BQ1086" s="2" t="s">
        <v>308</v>
      </c>
      <c r="BR1086" s="2" t="s">
        <v>83</v>
      </c>
      <c r="BS1086" s="3">
        <v>42656</v>
      </c>
      <c r="BT1086" s="4">
        <v>0.60625000000000007</v>
      </c>
      <c r="BU1086" s="2" t="s">
        <v>309</v>
      </c>
      <c r="BV1086" s="2" t="s">
        <v>85</v>
      </c>
      <c r="BW1086" s="2"/>
      <c r="BX1086" s="2"/>
      <c r="BY1086" s="2">
        <v>1200</v>
      </c>
      <c r="BZ1086" s="2"/>
      <c r="CA1086" s="2"/>
      <c r="CB1086" s="2"/>
      <c r="CC1086" s="2" t="s">
        <v>306</v>
      </c>
      <c r="CD1086" s="2">
        <v>6139</v>
      </c>
      <c r="CE1086" s="2" t="s">
        <v>108</v>
      </c>
      <c r="CF1086" s="5">
        <v>42663</v>
      </c>
      <c r="CG1086" s="2"/>
      <c r="CH1086" s="2"/>
      <c r="CI1086" s="2">
        <v>3</v>
      </c>
      <c r="CJ1086" s="2">
        <v>1</v>
      </c>
      <c r="CK1086" s="2">
        <v>23</v>
      </c>
      <c r="CL1086" s="2" t="s">
        <v>88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"FES1162506270"</f>
        <v>FES1162506270</v>
      </c>
      <c r="F1087" s="3">
        <v>42655</v>
      </c>
      <c r="G1087" s="2">
        <v>201704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160</v>
      </c>
      <c r="M1087" s="2" t="s">
        <v>161</v>
      </c>
      <c r="N1087" s="2" t="s">
        <v>176</v>
      </c>
      <c r="O1087" s="2" t="s">
        <v>96</v>
      </c>
      <c r="P1087" s="2" t="str">
        <f>"2170529785                    "</f>
        <v xml:space="preserve">2170529785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3.32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0.5</v>
      </c>
      <c r="BJ1087" s="2">
        <v>0.2</v>
      </c>
      <c r="BK1087" s="2">
        <v>0.5</v>
      </c>
      <c r="BL1087" s="2">
        <v>40.76</v>
      </c>
      <c r="BM1087" s="2">
        <v>5.71</v>
      </c>
      <c r="BN1087" s="2">
        <v>46.47</v>
      </c>
      <c r="BO1087" s="2">
        <v>46.47</v>
      </c>
      <c r="BP1087" s="2"/>
      <c r="BQ1087" s="2" t="s">
        <v>177</v>
      </c>
      <c r="BR1087" s="2" t="s">
        <v>83</v>
      </c>
      <c r="BS1087" s="3">
        <v>42656</v>
      </c>
      <c r="BT1087" s="4">
        <v>0.40833333333333338</v>
      </c>
      <c r="BU1087" s="2" t="s">
        <v>178</v>
      </c>
      <c r="BV1087" s="2" t="s">
        <v>85</v>
      </c>
      <c r="BW1087" s="2"/>
      <c r="BX1087" s="2"/>
      <c r="BY1087" s="2">
        <v>1200</v>
      </c>
      <c r="BZ1087" s="2"/>
      <c r="CA1087" s="2"/>
      <c r="CB1087" s="2"/>
      <c r="CC1087" s="2" t="s">
        <v>161</v>
      </c>
      <c r="CD1087" s="2">
        <v>7530</v>
      </c>
      <c r="CE1087" s="2" t="s">
        <v>108</v>
      </c>
      <c r="CF1087" s="5">
        <v>42657</v>
      </c>
      <c r="CG1087" s="2"/>
      <c r="CH1087" s="2"/>
      <c r="CI1087" s="2">
        <v>1</v>
      </c>
      <c r="CJ1087" s="2">
        <v>1</v>
      </c>
      <c r="CK1087" s="2">
        <v>21</v>
      </c>
      <c r="CL1087" s="2" t="s">
        <v>88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"FES1162506034"</f>
        <v>FES1162506034</v>
      </c>
      <c r="F1088" s="3">
        <v>42655</v>
      </c>
      <c r="G1088" s="2">
        <v>201704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160</v>
      </c>
      <c r="M1088" s="2" t="s">
        <v>161</v>
      </c>
      <c r="N1088" s="2" t="s">
        <v>1018</v>
      </c>
      <c r="O1088" s="2" t="s">
        <v>96</v>
      </c>
      <c r="P1088" s="2" t="str">
        <f>"2170526981                    "</f>
        <v xml:space="preserve">2170526981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3.32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</v>
      </c>
      <c r="BJ1088" s="2">
        <v>0.2</v>
      </c>
      <c r="BK1088" s="2">
        <v>1</v>
      </c>
      <c r="BL1088" s="2">
        <v>40.76</v>
      </c>
      <c r="BM1088" s="2">
        <v>5.71</v>
      </c>
      <c r="BN1088" s="2">
        <v>46.47</v>
      </c>
      <c r="BO1088" s="2">
        <v>46.47</v>
      </c>
      <c r="BP1088" s="2"/>
      <c r="BQ1088" s="2" t="s">
        <v>1093</v>
      </c>
      <c r="BR1088" s="2" t="s">
        <v>83</v>
      </c>
      <c r="BS1088" s="3">
        <v>42656</v>
      </c>
      <c r="BT1088" s="4">
        <v>0.40277777777777773</v>
      </c>
      <c r="BU1088" s="2" t="s">
        <v>1472</v>
      </c>
      <c r="BV1088" s="2" t="s">
        <v>85</v>
      </c>
      <c r="BW1088" s="2"/>
      <c r="BX1088" s="2"/>
      <c r="BY1088" s="2">
        <v>1200</v>
      </c>
      <c r="BZ1088" s="2"/>
      <c r="CA1088" s="2"/>
      <c r="CB1088" s="2"/>
      <c r="CC1088" s="2" t="s">
        <v>161</v>
      </c>
      <c r="CD1088" s="2">
        <v>7800</v>
      </c>
      <c r="CE1088" s="2" t="s">
        <v>108</v>
      </c>
      <c r="CF1088" s="5">
        <v>42657</v>
      </c>
      <c r="CG1088" s="2"/>
      <c r="CH1088" s="2"/>
      <c r="CI1088" s="2">
        <v>1</v>
      </c>
      <c r="CJ1088" s="2">
        <v>1</v>
      </c>
      <c r="CK1088" s="2">
        <v>21</v>
      </c>
      <c r="CL1088" s="2" t="s">
        <v>88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"FES1162506075"</f>
        <v>FES1162506075</v>
      </c>
      <c r="F1089" s="3">
        <v>42655</v>
      </c>
      <c r="G1089" s="2">
        <v>201704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160</v>
      </c>
      <c r="M1089" s="2" t="s">
        <v>161</v>
      </c>
      <c r="N1089" s="2" t="s">
        <v>622</v>
      </c>
      <c r="O1089" s="2" t="s">
        <v>96</v>
      </c>
      <c r="P1089" s="2" t="str">
        <f>"2170514853                    "</f>
        <v xml:space="preserve">2170514853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3.32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1</v>
      </c>
      <c r="BJ1089" s="2">
        <v>0.2</v>
      </c>
      <c r="BK1089" s="2">
        <v>1</v>
      </c>
      <c r="BL1089" s="2">
        <v>40.76</v>
      </c>
      <c r="BM1089" s="2">
        <v>5.71</v>
      </c>
      <c r="BN1089" s="2">
        <v>46.47</v>
      </c>
      <c r="BO1089" s="2">
        <v>46.47</v>
      </c>
      <c r="BP1089" s="2"/>
      <c r="BQ1089" s="2" t="s">
        <v>623</v>
      </c>
      <c r="BR1089" s="2" t="s">
        <v>83</v>
      </c>
      <c r="BS1089" s="3">
        <v>42656</v>
      </c>
      <c r="BT1089" s="4">
        <v>0.43333333333333335</v>
      </c>
      <c r="BU1089" s="2" t="s">
        <v>624</v>
      </c>
      <c r="BV1089" s="2" t="s">
        <v>85</v>
      </c>
      <c r="BW1089" s="2"/>
      <c r="BX1089" s="2"/>
      <c r="BY1089" s="2">
        <v>1200</v>
      </c>
      <c r="BZ1089" s="2"/>
      <c r="CA1089" s="2"/>
      <c r="CB1089" s="2"/>
      <c r="CC1089" s="2" t="s">
        <v>161</v>
      </c>
      <c r="CD1089" s="2">
        <v>7490</v>
      </c>
      <c r="CE1089" s="2" t="s">
        <v>108</v>
      </c>
      <c r="CF1089" s="5">
        <v>42657</v>
      </c>
      <c r="CG1089" s="2"/>
      <c r="CH1089" s="2"/>
      <c r="CI1089" s="2">
        <v>1</v>
      </c>
      <c r="CJ1089" s="2">
        <v>1</v>
      </c>
      <c r="CK1089" s="2">
        <v>21</v>
      </c>
      <c r="CL1089" s="2" t="s">
        <v>88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"009932186813"</f>
        <v>009932186813</v>
      </c>
      <c r="F1090" s="3">
        <v>42655</v>
      </c>
      <c r="G1090" s="2">
        <v>201704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160</v>
      </c>
      <c r="M1090" s="2" t="s">
        <v>161</v>
      </c>
      <c r="N1090" s="2" t="s">
        <v>236</v>
      </c>
      <c r="O1090" s="2" t="s">
        <v>96</v>
      </c>
      <c r="P1090" s="2" t="str">
        <f>"TONY WILLIAMS                 "</f>
        <v xml:space="preserve">TONY WILLIAMS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3.32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0.7</v>
      </c>
      <c r="BJ1090" s="2">
        <v>1</v>
      </c>
      <c r="BK1090" s="2">
        <v>1</v>
      </c>
      <c r="BL1090" s="2">
        <v>40.76</v>
      </c>
      <c r="BM1090" s="2">
        <v>5.71</v>
      </c>
      <c r="BN1090" s="2">
        <v>46.47</v>
      </c>
      <c r="BO1090" s="2">
        <v>46.47</v>
      </c>
      <c r="BP1090" s="2" t="s">
        <v>1473</v>
      </c>
      <c r="BQ1090" s="2" t="s">
        <v>237</v>
      </c>
      <c r="BR1090" s="2" t="s">
        <v>83</v>
      </c>
      <c r="BS1090" s="3">
        <v>42656</v>
      </c>
      <c r="BT1090" s="4">
        <v>0.41666666666666669</v>
      </c>
      <c r="BU1090" s="2" t="s">
        <v>1474</v>
      </c>
      <c r="BV1090" s="2" t="s">
        <v>85</v>
      </c>
      <c r="BW1090" s="2"/>
      <c r="BX1090" s="2"/>
      <c r="BY1090" s="2">
        <v>4909.8100000000004</v>
      </c>
      <c r="BZ1090" s="2"/>
      <c r="CA1090" s="2"/>
      <c r="CB1090" s="2"/>
      <c r="CC1090" s="2" t="s">
        <v>161</v>
      </c>
      <c r="CD1090" s="2">
        <v>7405</v>
      </c>
      <c r="CE1090" s="2" t="s">
        <v>108</v>
      </c>
      <c r="CF1090" s="5">
        <v>42657</v>
      </c>
      <c r="CG1090" s="2"/>
      <c r="CH1090" s="2"/>
      <c r="CI1090" s="2">
        <v>1</v>
      </c>
      <c r="CJ1090" s="2">
        <v>1</v>
      </c>
      <c r="CK1090" s="2">
        <v>21</v>
      </c>
      <c r="CL1090" s="2" t="s">
        <v>88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"FES1162506077"</f>
        <v>FES1162506077</v>
      </c>
      <c r="F1091" s="3">
        <v>42655</v>
      </c>
      <c r="G1091" s="2">
        <v>201704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160</v>
      </c>
      <c r="M1091" s="2" t="s">
        <v>161</v>
      </c>
      <c r="N1091" s="2" t="s">
        <v>622</v>
      </c>
      <c r="O1091" s="2" t="s">
        <v>96</v>
      </c>
      <c r="P1091" s="2" t="str">
        <f>"2170526054                    "</f>
        <v xml:space="preserve">2170526054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14.1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8.1999999999999993</v>
      </c>
      <c r="BJ1091" s="2">
        <v>2.1</v>
      </c>
      <c r="BK1091" s="2">
        <v>8.5</v>
      </c>
      <c r="BL1091" s="2">
        <v>173.22</v>
      </c>
      <c r="BM1091" s="2">
        <v>24.25</v>
      </c>
      <c r="BN1091" s="2">
        <v>197.47</v>
      </c>
      <c r="BO1091" s="2">
        <v>197.47</v>
      </c>
      <c r="BP1091" s="2"/>
      <c r="BQ1091" s="2" t="s">
        <v>623</v>
      </c>
      <c r="BR1091" s="2" t="s">
        <v>83</v>
      </c>
      <c r="BS1091" s="3">
        <v>42656</v>
      </c>
      <c r="BT1091" s="4">
        <v>0.43333333333333335</v>
      </c>
      <c r="BU1091" s="2" t="s">
        <v>624</v>
      </c>
      <c r="BV1091" s="2" t="s">
        <v>85</v>
      </c>
      <c r="BW1091" s="2"/>
      <c r="BX1091" s="2"/>
      <c r="BY1091" s="2">
        <v>10538.34</v>
      </c>
      <c r="BZ1091" s="2"/>
      <c r="CA1091" s="2"/>
      <c r="CB1091" s="2"/>
      <c r="CC1091" s="2" t="s">
        <v>161</v>
      </c>
      <c r="CD1091" s="2">
        <v>7490</v>
      </c>
      <c r="CE1091" s="2" t="s">
        <v>86</v>
      </c>
      <c r="CF1091" s="5">
        <v>42657</v>
      </c>
      <c r="CG1091" s="2"/>
      <c r="CH1091" s="2"/>
      <c r="CI1091" s="2">
        <v>1</v>
      </c>
      <c r="CJ1091" s="2">
        <v>1</v>
      </c>
      <c r="CK1091" s="2">
        <v>21</v>
      </c>
      <c r="CL1091" s="2" t="s">
        <v>88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"FES1162506148"</f>
        <v>FES1162506148</v>
      </c>
      <c r="F1092" s="3">
        <v>42655</v>
      </c>
      <c r="G1092" s="2">
        <v>201704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160</v>
      </c>
      <c r="M1092" s="2" t="s">
        <v>161</v>
      </c>
      <c r="N1092" s="2" t="s">
        <v>622</v>
      </c>
      <c r="O1092" s="2" t="s">
        <v>96</v>
      </c>
      <c r="P1092" s="2" t="str">
        <f>"2170529665                    "</f>
        <v xml:space="preserve">2170529665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29.85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9</v>
      </c>
      <c r="BJ1092" s="2">
        <v>17.8</v>
      </c>
      <c r="BK1092" s="2">
        <v>18</v>
      </c>
      <c r="BL1092" s="2">
        <v>366.81</v>
      </c>
      <c r="BM1092" s="2">
        <v>51.35</v>
      </c>
      <c r="BN1092" s="2">
        <v>418.16</v>
      </c>
      <c r="BO1092" s="2">
        <v>418.16</v>
      </c>
      <c r="BP1092" s="2"/>
      <c r="BQ1092" s="2" t="s">
        <v>623</v>
      </c>
      <c r="BR1092" s="2" t="s">
        <v>83</v>
      </c>
      <c r="BS1092" s="3">
        <v>42656</v>
      </c>
      <c r="BT1092" s="4">
        <v>0.43333333333333335</v>
      </c>
      <c r="BU1092" s="2" t="s">
        <v>624</v>
      </c>
      <c r="BV1092" s="2" t="s">
        <v>85</v>
      </c>
      <c r="BW1092" s="2"/>
      <c r="BX1092" s="2"/>
      <c r="BY1092" s="2">
        <v>89155.9</v>
      </c>
      <c r="BZ1092" s="2"/>
      <c r="CA1092" s="2"/>
      <c r="CB1092" s="2"/>
      <c r="CC1092" s="2" t="s">
        <v>161</v>
      </c>
      <c r="CD1092" s="2">
        <v>7490</v>
      </c>
      <c r="CE1092" s="2" t="s">
        <v>86</v>
      </c>
      <c r="CF1092" s="5">
        <v>42657</v>
      </c>
      <c r="CG1092" s="2"/>
      <c r="CH1092" s="2"/>
      <c r="CI1092" s="2">
        <v>1</v>
      </c>
      <c r="CJ1092" s="2">
        <v>1</v>
      </c>
      <c r="CK1092" s="2">
        <v>21</v>
      </c>
      <c r="CL1092" s="2" t="s">
        <v>88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"FES1162506293"</f>
        <v>FES1162506293</v>
      </c>
      <c r="F1093" s="3">
        <v>42655</v>
      </c>
      <c r="G1093" s="2">
        <v>201704</v>
      </c>
      <c r="H1093" s="2" t="s">
        <v>74</v>
      </c>
      <c r="I1093" s="2" t="s">
        <v>75</v>
      </c>
      <c r="J1093" s="2" t="s">
        <v>76</v>
      </c>
      <c r="K1093" s="2" t="s">
        <v>77</v>
      </c>
      <c r="L1093" s="2" t="s">
        <v>160</v>
      </c>
      <c r="M1093" s="2" t="s">
        <v>161</v>
      </c>
      <c r="N1093" s="2" t="s">
        <v>176</v>
      </c>
      <c r="O1093" s="2" t="s">
        <v>96</v>
      </c>
      <c r="P1093" s="2" t="str">
        <f>"2170528120                    "</f>
        <v xml:space="preserve">2170528120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22.39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13.1</v>
      </c>
      <c r="BJ1093" s="2">
        <v>9.1</v>
      </c>
      <c r="BK1093" s="2">
        <v>13.5</v>
      </c>
      <c r="BL1093" s="2">
        <v>275.11</v>
      </c>
      <c r="BM1093" s="2">
        <v>38.520000000000003</v>
      </c>
      <c r="BN1093" s="2">
        <v>313.63</v>
      </c>
      <c r="BO1093" s="2">
        <v>313.63</v>
      </c>
      <c r="BP1093" s="2"/>
      <c r="BQ1093" s="2" t="s">
        <v>258</v>
      </c>
      <c r="BR1093" s="2" t="s">
        <v>83</v>
      </c>
      <c r="BS1093" s="3">
        <v>42656</v>
      </c>
      <c r="BT1093" s="4">
        <v>0.41666666666666669</v>
      </c>
      <c r="BU1093" s="2" t="s">
        <v>813</v>
      </c>
      <c r="BV1093" s="2" t="s">
        <v>85</v>
      </c>
      <c r="BW1093" s="2"/>
      <c r="BX1093" s="2"/>
      <c r="BY1093" s="2">
        <v>45517.919999999998</v>
      </c>
      <c r="BZ1093" s="2"/>
      <c r="CA1093" s="2"/>
      <c r="CB1093" s="2"/>
      <c r="CC1093" s="2" t="s">
        <v>161</v>
      </c>
      <c r="CD1093" s="2">
        <v>7405</v>
      </c>
      <c r="CE1093" s="2" t="s">
        <v>108</v>
      </c>
      <c r="CF1093" s="5">
        <v>42657</v>
      </c>
      <c r="CG1093" s="2"/>
      <c r="CH1093" s="2"/>
      <c r="CI1093" s="2">
        <v>1</v>
      </c>
      <c r="CJ1093" s="2">
        <v>1</v>
      </c>
      <c r="CK1093" s="2">
        <v>21</v>
      </c>
      <c r="CL1093" s="2" t="s">
        <v>88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"FES1162506079"</f>
        <v>FES1162506079</v>
      </c>
      <c r="F1094" s="3">
        <v>42655</v>
      </c>
      <c r="G1094" s="2">
        <v>201704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286</v>
      </c>
      <c r="M1094" s="2" t="s">
        <v>287</v>
      </c>
      <c r="N1094" s="2" t="s">
        <v>1475</v>
      </c>
      <c r="O1094" s="2" t="s">
        <v>81</v>
      </c>
      <c r="P1094" s="2" t="str">
        <f>"2170526660                    "</f>
        <v xml:space="preserve">2170526660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6.22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4.7</v>
      </c>
      <c r="BJ1094" s="2">
        <v>2.4</v>
      </c>
      <c r="BK1094" s="2">
        <v>5</v>
      </c>
      <c r="BL1094" s="2">
        <v>81.42</v>
      </c>
      <c r="BM1094" s="2">
        <v>11.4</v>
      </c>
      <c r="BN1094" s="2">
        <v>92.82</v>
      </c>
      <c r="BO1094" s="2">
        <v>92.82</v>
      </c>
      <c r="BP1094" s="2"/>
      <c r="BQ1094" s="2" t="s">
        <v>91</v>
      </c>
      <c r="BR1094" s="2" t="s">
        <v>83</v>
      </c>
      <c r="BS1094" s="3">
        <v>42656</v>
      </c>
      <c r="BT1094" s="4">
        <v>0.41666666666666669</v>
      </c>
      <c r="BU1094" s="2" t="s">
        <v>1476</v>
      </c>
      <c r="BV1094" s="2" t="s">
        <v>85</v>
      </c>
      <c r="BW1094" s="2"/>
      <c r="BX1094" s="2"/>
      <c r="BY1094" s="2">
        <v>11829.26</v>
      </c>
      <c r="BZ1094" s="2"/>
      <c r="CA1094" s="2"/>
      <c r="CB1094" s="2"/>
      <c r="CC1094" s="2" t="s">
        <v>287</v>
      </c>
      <c r="CD1094" s="2">
        <v>1947</v>
      </c>
      <c r="CE1094" s="2" t="s">
        <v>108</v>
      </c>
      <c r="CF1094" s="5">
        <v>42660</v>
      </c>
      <c r="CG1094" s="2"/>
      <c r="CH1094" s="2"/>
      <c r="CI1094" s="2">
        <v>1</v>
      </c>
      <c r="CJ1094" s="2">
        <v>1</v>
      </c>
      <c r="CK1094" s="2" t="s">
        <v>366</v>
      </c>
      <c r="CL1094" s="2" t="s">
        <v>88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"FES1162506363"</f>
        <v>FES1162506363</v>
      </c>
      <c r="F1095" s="3">
        <v>42655</v>
      </c>
      <c r="G1095" s="2">
        <v>201704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938</v>
      </c>
      <c r="M1095" s="2" t="s">
        <v>939</v>
      </c>
      <c r="N1095" s="2" t="s">
        <v>1477</v>
      </c>
      <c r="O1095" s="2" t="s">
        <v>81</v>
      </c>
      <c r="P1095" s="2" t="str">
        <f>"2170529913                    "</f>
        <v xml:space="preserve">2170529913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8.09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9.6</v>
      </c>
      <c r="BJ1095" s="2">
        <v>5.0999999999999996</v>
      </c>
      <c r="BK1095" s="2">
        <v>10</v>
      </c>
      <c r="BL1095" s="2">
        <v>104.35</v>
      </c>
      <c r="BM1095" s="2">
        <v>14.61</v>
      </c>
      <c r="BN1095" s="2">
        <v>118.96</v>
      </c>
      <c r="BO1095" s="2">
        <v>118.96</v>
      </c>
      <c r="BP1095" s="2" t="s">
        <v>90</v>
      </c>
      <c r="BQ1095" s="2" t="s">
        <v>117</v>
      </c>
      <c r="BR1095" s="2" t="s">
        <v>83</v>
      </c>
      <c r="BS1095" s="3">
        <v>42660</v>
      </c>
      <c r="BT1095" s="4">
        <v>0.67361111111111116</v>
      </c>
      <c r="BU1095" s="2" t="s">
        <v>416</v>
      </c>
      <c r="BV1095" s="2" t="s">
        <v>85</v>
      </c>
      <c r="BW1095" s="2"/>
      <c r="BX1095" s="2"/>
      <c r="BY1095" s="2">
        <v>25366.71</v>
      </c>
      <c r="BZ1095" s="2"/>
      <c r="CA1095" s="2"/>
      <c r="CB1095" s="2"/>
      <c r="CC1095" s="2" t="s">
        <v>939</v>
      </c>
      <c r="CD1095" s="2">
        <v>5320</v>
      </c>
      <c r="CE1095" s="2" t="s">
        <v>86</v>
      </c>
      <c r="CF1095" s="5">
        <v>42663</v>
      </c>
      <c r="CG1095" s="2"/>
      <c r="CH1095" s="2"/>
      <c r="CI1095" s="2">
        <v>4</v>
      </c>
      <c r="CJ1095" s="2">
        <v>3</v>
      </c>
      <c r="CK1095" s="2" t="s">
        <v>1478</v>
      </c>
      <c r="CL1095" s="2" t="s">
        <v>88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"FES1162506020"</f>
        <v>FES1162506020</v>
      </c>
      <c r="F1096" s="3">
        <v>42655</v>
      </c>
      <c r="G1096" s="2">
        <v>201704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98</v>
      </c>
      <c r="M1096" s="2" t="s">
        <v>99</v>
      </c>
      <c r="N1096" s="2" t="s">
        <v>832</v>
      </c>
      <c r="O1096" s="2" t="s">
        <v>81</v>
      </c>
      <c r="P1096" s="2" t="str">
        <f>"2170526483                    "</f>
        <v xml:space="preserve">2170526483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35.56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4</v>
      </c>
      <c r="BI1096" s="2">
        <v>113.7</v>
      </c>
      <c r="BJ1096" s="2">
        <v>57.5</v>
      </c>
      <c r="BK1096" s="2">
        <v>114</v>
      </c>
      <c r="BL1096" s="2">
        <v>441.92</v>
      </c>
      <c r="BM1096" s="2">
        <v>61.87</v>
      </c>
      <c r="BN1096" s="2">
        <v>503.79</v>
      </c>
      <c r="BO1096" s="2">
        <v>503.79</v>
      </c>
      <c r="BP1096" s="2" t="s">
        <v>1070</v>
      </c>
      <c r="BQ1096" s="2" t="s">
        <v>833</v>
      </c>
      <c r="BR1096" s="2" t="s">
        <v>83</v>
      </c>
      <c r="BS1096" s="3">
        <v>42657</v>
      </c>
      <c r="BT1096" s="4">
        <v>0.47222222222222227</v>
      </c>
      <c r="BU1096" s="2" t="s">
        <v>1479</v>
      </c>
      <c r="BV1096" s="2" t="s">
        <v>85</v>
      </c>
      <c r="BW1096" s="2"/>
      <c r="BX1096" s="2"/>
      <c r="BY1096" s="2">
        <v>287346.64</v>
      </c>
      <c r="BZ1096" s="2"/>
      <c r="CA1096" s="2" t="s">
        <v>129</v>
      </c>
      <c r="CB1096" s="2"/>
      <c r="CC1096" s="2" t="s">
        <v>99</v>
      </c>
      <c r="CD1096" s="2">
        <v>6001</v>
      </c>
      <c r="CE1096" s="2" t="s">
        <v>86</v>
      </c>
      <c r="CF1096" s="5">
        <v>42660</v>
      </c>
      <c r="CG1096" s="2"/>
      <c r="CH1096" s="2"/>
      <c r="CI1096" s="2">
        <v>2</v>
      </c>
      <c r="CJ1096" s="2">
        <v>2</v>
      </c>
      <c r="CK1096" s="2" t="s">
        <v>1063</v>
      </c>
      <c r="CL1096" s="2" t="s">
        <v>88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"FES1162506288"</f>
        <v>FES1162506288</v>
      </c>
      <c r="F1097" s="3">
        <v>42655</v>
      </c>
      <c r="G1097" s="2">
        <v>201704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148</v>
      </c>
      <c r="M1097" s="2" t="s">
        <v>149</v>
      </c>
      <c r="N1097" s="2" t="s">
        <v>560</v>
      </c>
      <c r="O1097" s="2" t="s">
        <v>81</v>
      </c>
      <c r="P1097" s="2" t="str">
        <f>"2170528275                    "</f>
        <v xml:space="preserve">2170528275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11.35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3</v>
      </c>
      <c r="BI1097" s="2">
        <v>49</v>
      </c>
      <c r="BJ1097" s="2">
        <v>35.9</v>
      </c>
      <c r="BK1097" s="2">
        <v>49</v>
      </c>
      <c r="BL1097" s="2">
        <v>144.47999999999999</v>
      </c>
      <c r="BM1097" s="2">
        <v>20.23</v>
      </c>
      <c r="BN1097" s="2">
        <v>164.71</v>
      </c>
      <c r="BO1097" s="2">
        <v>164.71</v>
      </c>
      <c r="BP1097" s="2" t="s">
        <v>1067</v>
      </c>
      <c r="BQ1097" s="2" t="s">
        <v>91</v>
      </c>
      <c r="BR1097" s="2" t="s">
        <v>83</v>
      </c>
      <c r="BS1097" s="3">
        <v>42656</v>
      </c>
      <c r="BT1097" s="4">
        <v>0.54166666666666663</v>
      </c>
      <c r="BU1097" s="2" t="s">
        <v>1480</v>
      </c>
      <c r="BV1097" s="2"/>
      <c r="BW1097" s="2"/>
      <c r="BX1097" s="2"/>
      <c r="BY1097" s="2">
        <v>179610.17</v>
      </c>
      <c r="BZ1097" s="2"/>
      <c r="CA1097" s="2"/>
      <c r="CB1097" s="2"/>
      <c r="CC1097" s="2" t="s">
        <v>149</v>
      </c>
      <c r="CD1097" s="2">
        <v>4001</v>
      </c>
      <c r="CE1097" s="2" t="s">
        <v>86</v>
      </c>
      <c r="CF1097" s="5">
        <v>42657</v>
      </c>
      <c r="CG1097" s="2"/>
      <c r="CH1097" s="2"/>
      <c r="CI1097" s="2">
        <v>0</v>
      </c>
      <c r="CJ1097" s="2">
        <v>0</v>
      </c>
      <c r="CK1097" s="2" t="s">
        <v>1059</v>
      </c>
      <c r="CL1097" s="2" t="s">
        <v>88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"FES1162506183"</f>
        <v>FES1162506183</v>
      </c>
      <c r="F1098" s="3">
        <v>42655</v>
      </c>
      <c r="G1098" s="2">
        <v>201704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160</v>
      </c>
      <c r="M1098" s="2" t="s">
        <v>161</v>
      </c>
      <c r="N1098" s="2" t="s">
        <v>1481</v>
      </c>
      <c r="O1098" s="2" t="s">
        <v>96</v>
      </c>
      <c r="P1098" s="2" t="str">
        <f>"2170529710                    "</f>
        <v xml:space="preserve">2170529710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3.32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40.76</v>
      </c>
      <c r="BM1098" s="2">
        <v>5.71</v>
      </c>
      <c r="BN1098" s="2">
        <v>46.47</v>
      </c>
      <c r="BO1098" s="2">
        <v>46.47</v>
      </c>
      <c r="BP1098" s="2"/>
      <c r="BQ1098" s="2" t="s">
        <v>1482</v>
      </c>
      <c r="BR1098" s="2" t="s">
        <v>83</v>
      </c>
      <c r="BS1098" s="3">
        <v>42656</v>
      </c>
      <c r="BT1098" s="4">
        <v>0.42708333333333331</v>
      </c>
      <c r="BU1098" s="2" t="s">
        <v>1483</v>
      </c>
      <c r="BV1098" s="2" t="s">
        <v>85</v>
      </c>
      <c r="BW1098" s="2"/>
      <c r="BX1098" s="2"/>
      <c r="BY1098" s="2">
        <v>1200</v>
      </c>
      <c r="BZ1098" s="2"/>
      <c r="CA1098" s="2"/>
      <c r="CB1098" s="2"/>
      <c r="CC1098" s="2" t="s">
        <v>161</v>
      </c>
      <c r="CD1098" s="2">
        <v>7580</v>
      </c>
      <c r="CE1098" s="2" t="s">
        <v>108</v>
      </c>
      <c r="CF1098" s="5">
        <v>42657</v>
      </c>
      <c r="CG1098" s="2"/>
      <c r="CH1098" s="2"/>
      <c r="CI1098" s="2">
        <v>1</v>
      </c>
      <c r="CJ1098" s="2">
        <v>1</v>
      </c>
      <c r="CK1098" s="2">
        <v>21</v>
      </c>
      <c r="CL1098" s="2" t="s">
        <v>88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"FES1162506262"</f>
        <v>FES1162506262</v>
      </c>
      <c r="F1099" s="3">
        <v>42655</v>
      </c>
      <c r="G1099" s="2">
        <v>201704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260</v>
      </c>
      <c r="M1099" s="2" t="s">
        <v>261</v>
      </c>
      <c r="N1099" s="2" t="s">
        <v>282</v>
      </c>
      <c r="O1099" s="2" t="s">
        <v>96</v>
      </c>
      <c r="P1099" s="2" t="str">
        <f>"2170529622                    "</f>
        <v xml:space="preserve">2170529622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3.32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0.5</v>
      </c>
      <c r="BJ1099" s="2">
        <v>0.2</v>
      </c>
      <c r="BK1099" s="2">
        <v>0.5</v>
      </c>
      <c r="BL1099" s="2">
        <v>40.76</v>
      </c>
      <c r="BM1099" s="2">
        <v>5.71</v>
      </c>
      <c r="BN1099" s="2">
        <v>46.47</v>
      </c>
      <c r="BO1099" s="2">
        <v>46.47</v>
      </c>
      <c r="BP1099" s="2"/>
      <c r="BQ1099" s="2" t="s">
        <v>91</v>
      </c>
      <c r="BR1099" s="2" t="s">
        <v>83</v>
      </c>
      <c r="BS1099" s="3">
        <v>42656</v>
      </c>
      <c r="BT1099" s="4">
        <v>0.41666666666666669</v>
      </c>
      <c r="BU1099" s="2" t="s">
        <v>1484</v>
      </c>
      <c r="BV1099" s="2" t="s">
        <v>85</v>
      </c>
      <c r="BW1099" s="2"/>
      <c r="BX1099" s="2"/>
      <c r="BY1099" s="2">
        <v>1200</v>
      </c>
      <c r="BZ1099" s="2"/>
      <c r="CA1099" s="2" t="s">
        <v>264</v>
      </c>
      <c r="CB1099" s="2"/>
      <c r="CC1099" s="2" t="s">
        <v>261</v>
      </c>
      <c r="CD1099" s="2">
        <v>6850</v>
      </c>
      <c r="CE1099" s="2" t="s">
        <v>108</v>
      </c>
      <c r="CF1099" s="5">
        <v>42656</v>
      </c>
      <c r="CG1099" s="2"/>
      <c r="CH1099" s="2"/>
      <c r="CI1099" s="2">
        <v>3</v>
      </c>
      <c r="CJ1099" s="2">
        <v>1</v>
      </c>
      <c r="CK1099" s="2">
        <v>21</v>
      </c>
      <c r="CL1099" s="2" t="s">
        <v>88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"FES1162506261"</f>
        <v>FES1162506261</v>
      </c>
      <c r="F1100" s="3">
        <v>42655</v>
      </c>
      <c r="G1100" s="2">
        <v>201704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160</v>
      </c>
      <c r="M1100" s="2" t="s">
        <v>161</v>
      </c>
      <c r="N1100" s="2" t="s">
        <v>980</v>
      </c>
      <c r="O1100" s="2" t="s">
        <v>96</v>
      </c>
      <c r="P1100" s="2" t="str">
        <f>"2170526543                    "</f>
        <v xml:space="preserve">2170526543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3.32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0.5</v>
      </c>
      <c r="BJ1100" s="2">
        <v>0.2</v>
      </c>
      <c r="BK1100" s="2">
        <v>0.5</v>
      </c>
      <c r="BL1100" s="2">
        <v>40.76</v>
      </c>
      <c r="BM1100" s="2">
        <v>5.71</v>
      </c>
      <c r="BN1100" s="2">
        <v>46.47</v>
      </c>
      <c r="BO1100" s="2">
        <v>46.47</v>
      </c>
      <c r="BP1100" s="2"/>
      <c r="BQ1100" s="2" t="s">
        <v>117</v>
      </c>
      <c r="BR1100" s="2" t="s">
        <v>83</v>
      </c>
      <c r="BS1100" s="3">
        <v>42656</v>
      </c>
      <c r="BT1100" s="4">
        <v>0.34722222222222227</v>
      </c>
      <c r="BU1100" s="2" t="s">
        <v>1485</v>
      </c>
      <c r="BV1100" s="2" t="s">
        <v>85</v>
      </c>
      <c r="BW1100" s="2"/>
      <c r="BX1100" s="2"/>
      <c r="BY1100" s="2">
        <v>1200</v>
      </c>
      <c r="BZ1100" s="2"/>
      <c r="CA1100" s="2"/>
      <c r="CB1100" s="2"/>
      <c r="CC1100" s="2" t="s">
        <v>161</v>
      </c>
      <c r="CD1100" s="2">
        <v>7530</v>
      </c>
      <c r="CE1100" s="2" t="s">
        <v>108</v>
      </c>
      <c r="CF1100" s="5">
        <v>42657</v>
      </c>
      <c r="CG1100" s="2"/>
      <c r="CH1100" s="2"/>
      <c r="CI1100" s="2">
        <v>1</v>
      </c>
      <c r="CJ1100" s="2">
        <v>1</v>
      </c>
      <c r="CK1100" s="2">
        <v>21</v>
      </c>
      <c r="CL1100" s="2" t="s">
        <v>88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"FES1162506064"</f>
        <v>FES1162506064</v>
      </c>
      <c r="F1101" s="3">
        <v>42655</v>
      </c>
      <c r="G1101" s="2">
        <v>201704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156</v>
      </c>
      <c r="M1101" s="2" t="s">
        <v>157</v>
      </c>
      <c r="N1101" s="2" t="s">
        <v>158</v>
      </c>
      <c r="O1101" s="2" t="s">
        <v>96</v>
      </c>
      <c r="P1101" s="2" t="str">
        <f>"2170527952                    "</f>
        <v xml:space="preserve">2170527952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3.32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40.76</v>
      </c>
      <c r="BM1101" s="2">
        <v>5.71</v>
      </c>
      <c r="BN1101" s="2">
        <v>46.47</v>
      </c>
      <c r="BO1101" s="2">
        <v>46.47</v>
      </c>
      <c r="BP1101" s="2" t="s">
        <v>1368</v>
      </c>
      <c r="BQ1101" s="2" t="s">
        <v>91</v>
      </c>
      <c r="BR1101" s="2" t="s">
        <v>83</v>
      </c>
      <c r="BS1101" s="3">
        <v>42656</v>
      </c>
      <c r="BT1101" s="4">
        <v>0.41666666666666669</v>
      </c>
      <c r="BU1101" s="2" t="s">
        <v>1364</v>
      </c>
      <c r="BV1101" s="2" t="s">
        <v>85</v>
      </c>
      <c r="BW1101" s="2"/>
      <c r="BX1101" s="2"/>
      <c r="BY1101" s="2">
        <v>1200</v>
      </c>
      <c r="BZ1101" s="2"/>
      <c r="CA1101" s="2"/>
      <c r="CB1101" s="2"/>
      <c r="CC1101" s="2" t="s">
        <v>157</v>
      </c>
      <c r="CD1101" s="2">
        <v>7130</v>
      </c>
      <c r="CE1101" s="2" t="s">
        <v>108</v>
      </c>
      <c r="CF1101" s="5">
        <v>42657</v>
      </c>
      <c r="CG1101" s="2"/>
      <c r="CH1101" s="2"/>
      <c r="CI1101" s="2">
        <v>1</v>
      </c>
      <c r="CJ1101" s="2">
        <v>1</v>
      </c>
      <c r="CK1101" s="2">
        <v>21</v>
      </c>
      <c r="CL1101" s="2" t="s">
        <v>88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"FES1162506043"</f>
        <v>FES1162506043</v>
      </c>
      <c r="F1102" s="3">
        <v>42655</v>
      </c>
      <c r="G1102" s="2">
        <v>201704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218</v>
      </c>
      <c r="M1102" s="2" t="s">
        <v>219</v>
      </c>
      <c r="N1102" s="2" t="s">
        <v>220</v>
      </c>
      <c r="O1102" s="2" t="s">
        <v>96</v>
      </c>
      <c r="P1102" s="2" t="str">
        <f>"2170527359                    "</f>
        <v xml:space="preserve">2170527359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3.32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</v>
      </c>
      <c r="BJ1102" s="2">
        <v>0.2</v>
      </c>
      <c r="BK1102" s="2">
        <v>1</v>
      </c>
      <c r="BL1102" s="2">
        <v>40.76</v>
      </c>
      <c r="BM1102" s="2">
        <v>5.71</v>
      </c>
      <c r="BN1102" s="2">
        <v>46.47</v>
      </c>
      <c r="BO1102" s="2">
        <v>46.47</v>
      </c>
      <c r="BP1102" s="2"/>
      <c r="BQ1102" s="2" t="s">
        <v>91</v>
      </c>
      <c r="BR1102" s="2" t="s">
        <v>83</v>
      </c>
      <c r="BS1102" s="3">
        <v>42656</v>
      </c>
      <c r="BT1102" s="4">
        <v>0.4236111111111111</v>
      </c>
      <c r="BU1102" s="2" t="s">
        <v>631</v>
      </c>
      <c r="BV1102" s="2" t="s">
        <v>85</v>
      </c>
      <c r="BW1102" s="2"/>
      <c r="BX1102" s="2"/>
      <c r="BY1102" s="2">
        <v>1200</v>
      </c>
      <c r="BZ1102" s="2"/>
      <c r="CA1102" s="2"/>
      <c r="CB1102" s="2"/>
      <c r="CC1102" s="2" t="s">
        <v>219</v>
      </c>
      <c r="CD1102" s="2">
        <v>7600</v>
      </c>
      <c r="CE1102" s="2" t="s">
        <v>108</v>
      </c>
      <c r="CF1102" s="5">
        <v>42657</v>
      </c>
      <c r="CG1102" s="2"/>
      <c r="CH1102" s="2"/>
      <c r="CI1102" s="2">
        <v>1</v>
      </c>
      <c r="CJ1102" s="2">
        <v>1</v>
      </c>
      <c r="CK1102" s="2">
        <v>21</v>
      </c>
      <c r="CL1102" s="2" t="s">
        <v>88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"FES1162506066"</f>
        <v>FES1162506066</v>
      </c>
      <c r="F1103" s="3">
        <v>42655</v>
      </c>
      <c r="G1103" s="2">
        <v>201704</v>
      </c>
      <c r="H1103" s="2" t="s">
        <v>74</v>
      </c>
      <c r="I1103" s="2" t="s">
        <v>75</v>
      </c>
      <c r="J1103" s="2" t="s">
        <v>76</v>
      </c>
      <c r="K1103" s="2" t="s">
        <v>77</v>
      </c>
      <c r="L1103" s="2" t="s">
        <v>153</v>
      </c>
      <c r="M1103" s="2" t="s">
        <v>153</v>
      </c>
      <c r="N1103" s="2" t="s">
        <v>501</v>
      </c>
      <c r="O1103" s="2" t="s">
        <v>96</v>
      </c>
      <c r="P1103" s="2" t="str">
        <f>"2170528164                    "</f>
        <v xml:space="preserve">2170528164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3.32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1</v>
      </c>
      <c r="BJ1103" s="2">
        <v>0.2</v>
      </c>
      <c r="BK1103" s="2">
        <v>1</v>
      </c>
      <c r="BL1103" s="2">
        <v>40.76</v>
      </c>
      <c r="BM1103" s="2">
        <v>5.71</v>
      </c>
      <c r="BN1103" s="2">
        <v>46.47</v>
      </c>
      <c r="BO1103" s="2">
        <v>46.47</v>
      </c>
      <c r="BP1103" s="2"/>
      <c r="BQ1103" s="2" t="s">
        <v>82</v>
      </c>
      <c r="BR1103" s="2" t="s">
        <v>83</v>
      </c>
      <c r="BS1103" s="3">
        <v>42656</v>
      </c>
      <c r="BT1103" s="4">
        <v>0.51388888888888895</v>
      </c>
      <c r="BU1103" s="2" t="s">
        <v>1486</v>
      </c>
      <c r="BV1103" s="2" t="s">
        <v>85</v>
      </c>
      <c r="BW1103" s="2"/>
      <c r="BX1103" s="2"/>
      <c r="BY1103" s="2">
        <v>1200</v>
      </c>
      <c r="BZ1103" s="2"/>
      <c r="CA1103" s="2"/>
      <c r="CB1103" s="2"/>
      <c r="CC1103" s="2" t="s">
        <v>153</v>
      </c>
      <c r="CD1103" s="2">
        <v>7620</v>
      </c>
      <c r="CE1103" s="2" t="s">
        <v>108</v>
      </c>
      <c r="CF1103" s="5">
        <v>42657</v>
      </c>
      <c r="CG1103" s="2"/>
      <c r="CH1103" s="2"/>
      <c r="CI1103" s="2">
        <v>1</v>
      </c>
      <c r="CJ1103" s="2">
        <v>1</v>
      </c>
      <c r="CK1103" s="2">
        <v>21</v>
      </c>
      <c r="CL1103" s="2" t="s">
        <v>88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"FES1162506276"</f>
        <v>FES1162506276</v>
      </c>
      <c r="F1104" s="3">
        <v>42655</v>
      </c>
      <c r="G1104" s="2">
        <v>201704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160</v>
      </c>
      <c r="M1104" s="2" t="s">
        <v>161</v>
      </c>
      <c r="N1104" s="2" t="s">
        <v>1487</v>
      </c>
      <c r="O1104" s="2" t="s">
        <v>96</v>
      </c>
      <c r="P1104" s="2" t="str">
        <f>"2170529800                    "</f>
        <v xml:space="preserve">2170529800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3.32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0.5</v>
      </c>
      <c r="BJ1104" s="2">
        <v>0.2</v>
      </c>
      <c r="BK1104" s="2">
        <v>0.5</v>
      </c>
      <c r="BL1104" s="2">
        <v>40.76</v>
      </c>
      <c r="BM1104" s="2">
        <v>5.71</v>
      </c>
      <c r="BN1104" s="2">
        <v>46.47</v>
      </c>
      <c r="BO1104" s="2">
        <v>46.47</v>
      </c>
      <c r="BP1104" s="2"/>
      <c r="BQ1104" s="2" t="s">
        <v>91</v>
      </c>
      <c r="BR1104" s="2" t="s">
        <v>83</v>
      </c>
      <c r="BS1104" s="3">
        <v>42656</v>
      </c>
      <c r="BT1104" s="4">
        <v>0.39930555555555558</v>
      </c>
      <c r="BU1104" s="2" t="s">
        <v>1488</v>
      </c>
      <c r="BV1104" s="2" t="s">
        <v>85</v>
      </c>
      <c r="BW1104" s="2"/>
      <c r="BX1104" s="2"/>
      <c r="BY1104" s="2">
        <v>1200</v>
      </c>
      <c r="BZ1104" s="2"/>
      <c r="CA1104" s="2" t="s">
        <v>229</v>
      </c>
      <c r="CB1104" s="2"/>
      <c r="CC1104" s="2" t="s">
        <v>161</v>
      </c>
      <c r="CD1104" s="2">
        <v>7460</v>
      </c>
      <c r="CE1104" s="2" t="s">
        <v>108</v>
      </c>
      <c r="CF1104" s="5">
        <v>42656</v>
      </c>
      <c r="CG1104" s="2"/>
      <c r="CH1104" s="2"/>
      <c r="CI1104" s="2">
        <v>1</v>
      </c>
      <c r="CJ1104" s="2">
        <v>1</v>
      </c>
      <c r="CK1104" s="2">
        <v>21</v>
      </c>
      <c r="CL1104" s="2" t="s">
        <v>88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"FES1162506037"</f>
        <v>FES1162506037</v>
      </c>
      <c r="F1105" s="3">
        <v>42655</v>
      </c>
      <c r="G1105" s="2">
        <v>201704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153</v>
      </c>
      <c r="M1105" s="2" t="s">
        <v>153</v>
      </c>
      <c r="N1105" s="2" t="s">
        <v>154</v>
      </c>
      <c r="O1105" s="2" t="s">
        <v>96</v>
      </c>
      <c r="P1105" s="2" t="str">
        <f>"2170527160                    "</f>
        <v xml:space="preserve">2170527160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3.32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1</v>
      </c>
      <c r="BI1105" s="2">
        <v>1</v>
      </c>
      <c r="BJ1105" s="2">
        <v>0.2</v>
      </c>
      <c r="BK1105" s="2">
        <v>1</v>
      </c>
      <c r="BL1105" s="2">
        <v>40.76</v>
      </c>
      <c r="BM1105" s="2">
        <v>5.71</v>
      </c>
      <c r="BN1105" s="2">
        <v>46.47</v>
      </c>
      <c r="BO1105" s="2">
        <v>46.47</v>
      </c>
      <c r="BP1105" s="2"/>
      <c r="BQ1105" s="2" t="s">
        <v>117</v>
      </c>
      <c r="BR1105" s="2" t="s">
        <v>83</v>
      </c>
      <c r="BS1105" s="3">
        <v>42656</v>
      </c>
      <c r="BT1105" s="4">
        <v>0.5</v>
      </c>
      <c r="BU1105" s="2" t="s">
        <v>155</v>
      </c>
      <c r="BV1105" s="2" t="s">
        <v>85</v>
      </c>
      <c r="BW1105" s="2"/>
      <c r="BX1105" s="2"/>
      <c r="BY1105" s="2">
        <v>1200</v>
      </c>
      <c r="BZ1105" s="2"/>
      <c r="CA1105" s="2"/>
      <c r="CB1105" s="2"/>
      <c r="CC1105" s="2" t="s">
        <v>153</v>
      </c>
      <c r="CD1105" s="2">
        <v>7646</v>
      </c>
      <c r="CE1105" s="2" t="s">
        <v>108</v>
      </c>
      <c r="CF1105" s="2"/>
      <c r="CG1105" s="2"/>
      <c r="CH1105" s="2"/>
      <c r="CI1105" s="2">
        <v>1</v>
      </c>
      <c r="CJ1105" s="2">
        <v>1</v>
      </c>
      <c r="CK1105" s="2">
        <v>21</v>
      </c>
      <c r="CL1105" s="2" t="s">
        <v>88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"FES1162506141"</f>
        <v>FES1162506141</v>
      </c>
      <c r="F1106" s="3">
        <v>42655</v>
      </c>
      <c r="G1106" s="2">
        <v>201704</v>
      </c>
      <c r="H1106" s="2" t="s">
        <v>74</v>
      </c>
      <c r="I1106" s="2" t="s">
        <v>75</v>
      </c>
      <c r="J1106" s="2" t="s">
        <v>76</v>
      </c>
      <c r="K1106" s="2" t="s">
        <v>77</v>
      </c>
      <c r="L1106" s="2" t="s">
        <v>160</v>
      </c>
      <c r="M1106" s="2" t="s">
        <v>161</v>
      </c>
      <c r="N1106" s="2" t="s">
        <v>622</v>
      </c>
      <c r="O1106" s="2" t="s">
        <v>96</v>
      </c>
      <c r="P1106" s="2" t="str">
        <f>"2170529660                    "</f>
        <v xml:space="preserve">2170529660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3.32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1.1000000000000001</v>
      </c>
      <c r="BJ1106" s="2">
        <v>1.9</v>
      </c>
      <c r="BK1106" s="2">
        <v>2</v>
      </c>
      <c r="BL1106" s="2">
        <v>40.76</v>
      </c>
      <c r="BM1106" s="2">
        <v>5.71</v>
      </c>
      <c r="BN1106" s="2">
        <v>46.47</v>
      </c>
      <c r="BO1106" s="2">
        <v>46.47</v>
      </c>
      <c r="BP1106" s="2"/>
      <c r="BQ1106" s="2" t="s">
        <v>623</v>
      </c>
      <c r="BR1106" s="2" t="s">
        <v>83</v>
      </c>
      <c r="BS1106" s="3">
        <v>42656</v>
      </c>
      <c r="BT1106" s="4">
        <v>0.43333333333333335</v>
      </c>
      <c r="BU1106" s="2" t="s">
        <v>624</v>
      </c>
      <c r="BV1106" s="2" t="s">
        <v>85</v>
      </c>
      <c r="BW1106" s="2"/>
      <c r="BX1106" s="2"/>
      <c r="BY1106" s="2">
        <v>9291.44</v>
      </c>
      <c r="BZ1106" s="2"/>
      <c r="CA1106" s="2"/>
      <c r="CB1106" s="2"/>
      <c r="CC1106" s="2" t="s">
        <v>161</v>
      </c>
      <c r="CD1106" s="2">
        <v>7490</v>
      </c>
      <c r="CE1106" s="2" t="s">
        <v>108</v>
      </c>
      <c r="CF1106" s="5">
        <v>42657</v>
      </c>
      <c r="CG1106" s="2"/>
      <c r="CH1106" s="2"/>
      <c r="CI1106" s="2">
        <v>1</v>
      </c>
      <c r="CJ1106" s="2">
        <v>1</v>
      </c>
      <c r="CK1106" s="2">
        <v>21</v>
      </c>
      <c r="CL1106" s="2" t="s">
        <v>88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"FES1162506036"</f>
        <v>FES1162506036</v>
      </c>
      <c r="F1107" s="3">
        <v>42655</v>
      </c>
      <c r="G1107" s="2">
        <v>201704</v>
      </c>
      <c r="H1107" s="2" t="s">
        <v>74</v>
      </c>
      <c r="I1107" s="2" t="s">
        <v>75</v>
      </c>
      <c r="J1107" s="2" t="s">
        <v>76</v>
      </c>
      <c r="K1107" s="2" t="s">
        <v>77</v>
      </c>
      <c r="L1107" s="2" t="s">
        <v>153</v>
      </c>
      <c r="M1107" s="2" t="s">
        <v>153</v>
      </c>
      <c r="N1107" s="2" t="s">
        <v>200</v>
      </c>
      <c r="O1107" s="2" t="s">
        <v>96</v>
      </c>
      <c r="P1107" s="2" t="str">
        <f>"2170527072                    "</f>
        <v xml:space="preserve">2170527072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3.32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1</v>
      </c>
      <c r="BJ1107" s="2">
        <v>0.2</v>
      </c>
      <c r="BK1107" s="2">
        <v>1</v>
      </c>
      <c r="BL1107" s="2">
        <v>40.76</v>
      </c>
      <c r="BM1107" s="2">
        <v>5.71</v>
      </c>
      <c r="BN1107" s="2">
        <v>46.47</v>
      </c>
      <c r="BO1107" s="2">
        <v>46.47</v>
      </c>
      <c r="BP1107" s="2"/>
      <c r="BQ1107" s="2" t="s">
        <v>201</v>
      </c>
      <c r="BR1107" s="2" t="s">
        <v>83</v>
      </c>
      <c r="BS1107" s="3">
        <v>42656</v>
      </c>
      <c r="BT1107" s="4">
        <v>0.50555555555555554</v>
      </c>
      <c r="BU1107" s="2" t="s">
        <v>448</v>
      </c>
      <c r="BV1107" s="2" t="s">
        <v>85</v>
      </c>
      <c r="BW1107" s="2"/>
      <c r="BX1107" s="2"/>
      <c r="BY1107" s="2">
        <v>1200</v>
      </c>
      <c r="BZ1107" s="2"/>
      <c r="CA1107" s="2"/>
      <c r="CB1107" s="2"/>
      <c r="CC1107" s="2" t="s">
        <v>153</v>
      </c>
      <c r="CD1107" s="2">
        <v>7646</v>
      </c>
      <c r="CE1107" s="2" t="s">
        <v>108</v>
      </c>
      <c r="CF1107" s="5">
        <v>42657</v>
      </c>
      <c r="CG1107" s="2"/>
      <c r="CH1107" s="2"/>
      <c r="CI1107" s="2">
        <v>1</v>
      </c>
      <c r="CJ1107" s="2">
        <v>1</v>
      </c>
      <c r="CK1107" s="2">
        <v>21</v>
      </c>
      <c r="CL1107" s="2" t="s">
        <v>88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"FES1162506154"</f>
        <v>FES1162506154</v>
      </c>
      <c r="F1108" s="3">
        <v>42655</v>
      </c>
      <c r="G1108" s="2">
        <v>201704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160</v>
      </c>
      <c r="M1108" s="2" t="s">
        <v>161</v>
      </c>
      <c r="N1108" s="2" t="s">
        <v>622</v>
      </c>
      <c r="O1108" s="2" t="s">
        <v>96</v>
      </c>
      <c r="P1108" s="2" t="str">
        <f>"2170529674                    "</f>
        <v xml:space="preserve">2170529674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3.32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1</v>
      </c>
      <c r="BJ1108" s="2">
        <v>0.2</v>
      </c>
      <c r="BK1108" s="2">
        <v>1</v>
      </c>
      <c r="BL1108" s="2">
        <v>40.76</v>
      </c>
      <c r="BM1108" s="2">
        <v>5.71</v>
      </c>
      <c r="BN1108" s="2">
        <v>46.47</v>
      </c>
      <c r="BO1108" s="2">
        <v>46.47</v>
      </c>
      <c r="BP1108" s="2"/>
      <c r="BQ1108" s="2" t="s">
        <v>623</v>
      </c>
      <c r="BR1108" s="2" t="s">
        <v>83</v>
      </c>
      <c r="BS1108" s="3">
        <v>42656</v>
      </c>
      <c r="BT1108" s="4">
        <v>0.43333333333333335</v>
      </c>
      <c r="BU1108" s="2" t="s">
        <v>624</v>
      </c>
      <c r="BV1108" s="2" t="s">
        <v>85</v>
      </c>
      <c r="BW1108" s="2"/>
      <c r="BX1108" s="2"/>
      <c r="BY1108" s="2">
        <v>1200</v>
      </c>
      <c r="BZ1108" s="2"/>
      <c r="CA1108" s="2"/>
      <c r="CB1108" s="2"/>
      <c r="CC1108" s="2" t="s">
        <v>161</v>
      </c>
      <c r="CD1108" s="2">
        <v>7490</v>
      </c>
      <c r="CE1108" s="2" t="s">
        <v>108</v>
      </c>
      <c r="CF1108" s="5">
        <v>42657</v>
      </c>
      <c r="CG1108" s="2"/>
      <c r="CH1108" s="2"/>
      <c r="CI1108" s="2">
        <v>1</v>
      </c>
      <c r="CJ1108" s="2">
        <v>1</v>
      </c>
      <c r="CK1108" s="2">
        <v>21</v>
      </c>
      <c r="CL1108" s="2" t="s">
        <v>88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"FES1162506028"</f>
        <v>FES1162506028</v>
      </c>
      <c r="F1109" s="3">
        <v>42656</v>
      </c>
      <c r="G1109" s="2">
        <v>201704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160</v>
      </c>
      <c r="M1109" s="2" t="s">
        <v>161</v>
      </c>
      <c r="N1109" s="2" t="s">
        <v>643</v>
      </c>
      <c r="O1109" s="2" t="s">
        <v>96</v>
      </c>
      <c r="P1109" s="2" t="str">
        <f>"2170526710                    "</f>
        <v xml:space="preserve">2170526710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3.32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0.5</v>
      </c>
      <c r="BJ1109" s="2">
        <v>0.2</v>
      </c>
      <c r="BK1109" s="2">
        <v>0.5</v>
      </c>
      <c r="BL1109" s="2">
        <v>40.76</v>
      </c>
      <c r="BM1109" s="2">
        <v>5.71</v>
      </c>
      <c r="BN1109" s="2">
        <v>46.47</v>
      </c>
      <c r="BO1109" s="2">
        <v>46.47</v>
      </c>
      <c r="BP1109" s="2"/>
      <c r="BQ1109" s="2" t="s">
        <v>644</v>
      </c>
      <c r="BR1109" s="2" t="s">
        <v>83</v>
      </c>
      <c r="BS1109" s="3">
        <v>42657</v>
      </c>
      <c r="BT1109" s="4">
        <v>0.41666666666666669</v>
      </c>
      <c r="BU1109" s="2" t="s">
        <v>645</v>
      </c>
      <c r="BV1109" s="2" t="s">
        <v>85</v>
      </c>
      <c r="BW1109" s="2"/>
      <c r="BX1109" s="2"/>
      <c r="BY1109" s="2">
        <v>1200</v>
      </c>
      <c r="BZ1109" s="2"/>
      <c r="CA1109" s="2" t="s">
        <v>129</v>
      </c>
      <c r="CB1109" s="2"/>
      <c r="CC1109" s="2" t="s">
        <v>161</v>
      </c>
      <c r="CD1109" s="2">
        <v>7925</v>
      </c>
      <c r="CE1109" s="2" t="s">
        <v>108</v>
      </c>
      <c r="CF1109" s="5">
        <v>42660</v>
      </c>
      <c r="CG1109" s="2"/>
      <c r="CH1109" s="2"/>
      <c r="CI1109" s="2">
        <v>1</v>
      </c>
      <c r="CJ1109" s="2">
        <v>1</v>
      </c>
      <c r="CK1109" s="2">
        <v>21</v>
      </c>
      <c r="CL1109" s="2" t="s">
        <v>88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"FES1162504774"</f>
        <v>FES1162504774</v>
      </c>
      <c r="F1110" s="3">
        <v>42648</v>
      </c>
      <c r="G1110" s="2">
        <v>201704</v>
      </c>
      <c r="H1110" s="2" t="s">
        <v>74</v>
      </c>
      <c r="I1110" s="2" t="s">
        <v>75</v>
      </c>
      <c r="J1110" s="2" t="s">
        <v>189</v>
      </c>
      <c r="K1110" s="2" t="s">
        <v>77</v>
      </c>
      <c r="L1110" s="2" t="s">
        <v>98</v>
      </c>
      <c r="M1110" s="2" t="s">
        <v>99</v>
      </c>
      <c r="N1110" s="2" t="s">
        <v>330</v>
      </c>
      <c r="O1110" s="2" t="s">
        <v>81</v>
      </c>
      <c r="P1110" s="2" t="str">
        <f>"2170528423                    "</f>
        <v xml:space="preserve">2170528423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23.06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2</v>
      </c>
      <c r="BI1110" s="2">
        <v>48.2</v>
      </c>
      <c r="BJ1110" s="2">
        <v>70.099999999999994</v>
      </c>
      <c r="BK1110" s="2">
        <v>71</v>
      </c>
      <c r="BL1110" s="2">
        <v>288.38</v>
      </c>
      <c r="BM1110" s="2">
        <v>40.369999999999997</v>
      </c>
      <c r="BN1110" s="2">
        <v>328.75</v>
      </c>
      <c r="BO1110" s="2">
        <v>328.75</v>
      </c>
      <c r="BP1110" s="2" t="s">
        <v>1070</v>
      </c>
      <c r="BQ1110" s="2" t="s">
        <v>331</v>
      </c>
      <c r="BR1110" s="2" t="s">
        <v>194</v>
      </c>
      <c r="BS1110" s="3">
        <v>42650</v>
      </c>
      <c r="BT1110" s="4">
        <v>0.41666666666666669</v>
      </c>
      <c r="BU1110" s="2" t="s">
        <v>431</v>
      </c>
      <c r="BV1110" s="2" t="s">
        <v>85</v>
      </c>
      <c r="BW1110" s="2"/>
      <c r="BX1110" s="2"/>
      <c r="BY1110" s="2">
        <v>350571.33</v>
      </c>
      <c r="BZ1110" s="2"/>
      <c r="CA1110" s="2"/>
      <c r="CB1110" s="2"/>
      <c r="CC1110" s="2" t="s">
        <v>99</v>
      </c>
      <c r="CD1110" s="2">
        <v>6070</v>
      </c>
      <c r="CE1110" s="2" t="s">
        <v>257</v>
      </c>
      <c r="CF1110" s="5">
        <v>42653</v>
      </c>
      <c r="CG1110" s="2"/>
      <c r="CH1110" s="2"/>
      <c r="CI1110" s="2">
        <v>2</v>
      </c>
      <c r="CJ1110" s="2">
        <v>2</v>
      </c>
      <c r="CK1110" s="2" t="s">
        <v>1063</v>
      </c>
      <c r="CL1110" s="2" t="s">
        <v>88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"080001458748"</f>
        <v>080001458748</v>
      </c>
      <c r="F1111" s="3">
        <v>42656</v>
      </c>
      <c r="G1111" s="2">
        <v>201704</v>
      </c>
      <c r="H1111" s="2" t="s">
        <v>137</v>
      </c>
      <c r="I1111" s="2" t="s">
        <v>138</v>
      </c>
      <c r="J1111" s="2" t="s">
        <v>1489</v>
      </c>
      <c r="K1111" s="2" t="s">
        <v>77</v>
      </c>
      <c r="L1111" s="2" t="s">
        <v>74</v>
      </c>
      <c r="M1111" s="2" t="s">
        <v>75</v>
      </c>
      <c r="N1111" s="2" t="s">
        <v>189</v>
      </c>
      <c r="O1111" s="2" t="s">
        <v>96</v>
      </c>
      <c r="P1111" s="2" t="str">
        <f>"ZA1000598292/JUNGES GARAGE    "</f>
        <v xml:space="preserve">ZA1000598292/JUNGES GARAGE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3.32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1</v>
      </c>
      <c r="BJ1111" s="2">
        <v>1.2</v>
      </c>
      <c r="BK1111" s="2">
        <v>1.5</v>
      </c>
      <c r="BL1111" s="2">
        <v>40.76</v>
      </c>
      <c r="BM1111" s="2">
        <v>5.71</v>
      </c>
      <c r="BN1111" s="2">
        <v>46.47</v>
      </c>
      <c r="BO1111" s="2">
        <v>46.47</v>
      </c>
      <c r="BP1111" s="2" t="s">
        <v>1217</v>
      </c>
      <c r="BQ1111" s="2" t="s">
        <v>381</v>
      </c>
      <c r="BR1111" s="2" t="s">
        <v>225</v>
      </c>
      <c r="BS1111" s="3">
        <v>42657</v>
      </c>
      <c r="BT1111" s="4">
        <v>0.36805555555555558</v>
      </c>
      <c r="BU1111" s="2" t="s">
        <v>777</v>
      </c>
      <c r="BV1111" s="2" t="s">
        <v>85</v>
      </c>
      <c r="BW1111" s="2"/>
      <c r="BX1111" s="2"/>
      <c r="BY1111" s="2">
        <v>5888</v>
      </c>
      <c r="BZ1111" s="2"/>
      <c r="CA1111" s="2" t="s">
        <v>129</v>
      </c>
      <c r="CB1111" s="2"/>
      <c r="CC1111" s="2" t="s">
        <v>75</v>
      </c>
      <c r="CD1111" s="2">
        <v>1601</v>
      </c>
      <c r="CE1111" s="2" t="s">
        <v>86</v>
      </c>
      <c r="CF1111" s="5">
        <v>42660</v>
      </c>
      <c r="CG1111" s="2"/>
      <c r="CH1111" s="2"/>
      <c r="CI1111" s="2">
        <v>1</v>
      </c>
      <c r="CJ1111" s="2">
        <v>1</v>
      </c>
      <c r="CK1111" s="2">
        <v>21</v>
      </c>
      <c r="CL1111" s="2" t="s">
        <v>88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"080001458710"</f>
        <v>080001458710</v>
      </c>
      <c r="F1112" s="3">
        <v>42656</v>
      </c>
      <c r="G1112" s="2">
        <v>201704</v>
      </c>
      <c r="H1112" s="2" t="s">
        <v>269</v>
      </c>
      <c r="I1112" s="2" t="s">
        <v>270</v>
      </c>
      <c r="J1112" s="2" t="s">
        <v>496</v>
      </c>
      <c r="K1112" s="2" t="s">
        <v>77</v>
      </c>
      <c r="L1112" s="2" t="s">
        <v>74</v>
      </c>
      <c r="M1112" s="2" t="s">
        <v>75</v>
      </c>
      <c r="N1112" s="2" t="s">
        <v>189</v>
      </c>
      <c r="O1112" s="2" t="s">
        <v>96</v>
      </c>
      <c r="P1112" s="2" t="str">
        <f>"ZA1000598357/598189           "</f>
        <v xml:space="preserve">ZA1000598357/598189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4.9800000000000004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2</v>
      </c>
      <c r="BJ1112" s="2">
        <v>2.9</v>
      </c>
      <c r="BK1112" s="2">
        <v>3</v>
      </c>
      <c r="BL1112" s="2">
        <v>61.14</v>
      </c>
      <c r="BM1112" s="2">
        <v>8.56</v>
      </c>
      <c r="BN1112" s="2">
        <v>69.7</v>
      </c>
      <c r="BO1112" s="2">
        <v>69.7</v>
      </c>
      <c r="BP1112" s="2" t="s">
        <v>1490</v>
      </c>
      <c r="BQ1112" s="2" t="s">
        <v>381</v>
      </c>
      <c r="BR1112" s="2" t="s">
        <v>1491</v>
      </c>
      <c r="BS1112" s="3">
        <v>42657</v>
      </c>
      <c r="BT1112" s="4">
        <v>0.36805555555555558</v>
      </c>
      <c r="BU1112" s="2" t="s">
        <v>777</v>
      </c>
      <c r="BV1112" s="2" t="s">
        <v>85</v>
      </c>
      <c r="BW1112" s="2"/>
      <c r="BX1112" s="2"/>
      <c r="BY1112" s="2">
        <v>14400</v>
      </c>
      <c r="BZ1112" s="2"/>
      <c r="CA1112" s="2" t="s">
        <v>129</v>
      </c>
      <c r="CB1112" s="2"/>
      <c r="CC1112" s="2" t="s">
        <v>75</v>
      </c>
      <c r="CD1112" s="2">
        <v>1601</v>
      </c>
      <c r="CE1112" s="2" t="s">
        <v>86</v>
      </c>
      <c r="CF1112" s="5">
        <v>42660</v>
      </c>
      <c r="CG1112" s="2"/>
      <c r="CH1112" s="2"/>
      <c r="CI1112" s="2">
        <v>1</v>
      </c>
      <c r="CJ1112" s="2">
        <v>1</v>
      </c>
      <c r="CK1112" s="2">
        <v>21</v>
      </c>
      <c r="CL1112" s="2" t="s">
        <v>88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"FES1162506713"</f>
        <v>FES1162506713</v>
      </c>
      <c r="F1113" s="3">
        <v>42656</v>
      </c>
      <c r="G1113" s="2">
        <v>201704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153</v>
      </c>
      <c r="M1113" s="2" t="s">
        <v>153</v>
      </c>
      <c r="N1113" s="2" t="s">
        <v>343</v>
      </c>
      <c r="O1113" s="2" t="s">
        <v>96</v>
      </c>
      <c r="P1113" s="2" t="str">
        <f>"2170530216                    "</f>
        <v xml:space="preserve">2170530216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3.32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1.6</v>
      </c>
      <c r="BJ1113" s="2">
        <v>0.9</v>
      </c>
      <c r="BK1113" s="2">
        <v>2</v>
      </c>
      <c r="BL1113" s="2">
        <v>40.76</v>
      </c>
      <c r="BM1113" s="2">
        <v>5.71</v>
      </c>
      <c r="BN1113" s="2">
        <v>46.47</v>
      </c>
      <c r="BO1113" s="2">
        <v>46.47</v>
      </c>
      <c r="BP1113" s="2"/>
      <c r="BQ1113" s="2" t="s">
        <v>344</v>
      </c>
      <c r="BR1113" s="2" t="s">
        <v>83</v>
      </c>
      <c r="BS1113" s="3">
        <v>42657</v>
      </c>
      <c r="BT1113" s="4">
        <v>0.53125</v>
      </c>
      <c r="BU1113" s="2" t="s">
        <v>345</v>
      </c>
      <c r="BV1113" s="2" t="s">
        <v>85</v>
      </c>
      <c r="BW1113" s="2"/>
      <c r="BX1113" s="2"/>
      <c r="BY1113" s="2">
        <v>4264.26</v>
      </c>
      <c r="BZ1113" s="2"/>
      <c r="CA1113" s="2"/>
      <c r="CB1113" s="2"/>
      <c r="CC1113" s="2" t="s">
        <v>153</v>
      </c>
      <c r="CD1113" s="2">
        <v>7646</v>
      </c>
      <c r="CE1113" s="2" t="s">
        <v>86</v>
      </c>
      <c r="CF1113" s="5">
        <v>42660</v>
      </c>
      <c r="CG1113" s="2"/>
      <c r="CH1113" s="2"/>
      <c r="CI1113" s="2">
        <v>1</v>
      </c>
      <c r="CJ1113" s="2">
        <v>1</v>
      </c>
      <c r="CK1113" s="2">
        <v>21</v>
      </c>
      <c r="CL1113" s="2" t="s">
        <v>88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"FES1162506660"</f>
        <v>FES1162506660</v>
      </c>
      <c r="F1114" s="3">
        <v>42656</v>
      </c>
      <c r="G1114" s="2">
        <v>201704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137</v>
      </c>
      <c r="M1114" s="2" t="s">
        <v>138</v>
      </c>
      <c r="N1114" s="2" t="s">
        <v>203</v>
      </c>
      <c r="O1114" s="2" t="s">
        <v>96</v>
      </c>
      <c r="P1114" s="2" t="str">
        <f>"2170530167                    "</f>
        <v xml:space="preserve">2170530167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3.32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1</v>
      </c>
      <c r="BJ1114" s="2">
        <v>0.2</v>
      </c>
      <c r="BK1114" s="2">
        <v>1</v>
      </c>
      <c r="BL1114" s="2">
        <v>40.76</v>
      </c>
      <c r="BM1114" s="2">
        <v>5.71</v>
      </c>
      <c r="BN1114" s="2">
        <v>46.47</v>
      </c>
      <c r="BO1114" s="2">
        <v>46.47</v>
      </c>
      <c r="BP1114" s="2"/>
      <c r="BQ1114" s="2" t="s">
        <v>168</v>
      </c>
      <c r="BR1114" s="2" t="s">
        <v>83</v>
      </c>
      <c r="BS1114" s="3">
        <v>42657</v>
      </c>
      <c r="BT1114" s="4">
        <v>0.43124999999999997</v>
      </c>
      <c r="BU1114" s="2" t="s">
        <v>204</v>
      </c>
      <c r="BV1114" s="2"/>
      <c r="BW1114" s="2"/>
      <c r="BX1114" s="2"/>
      <c r="BY1114" s="2">
        <v>1200</v>
      </c>
      <c r="BZ1114" s="2"/>
      <c r="CA1114" s="2" t="s">
        <v>205</v>
      </c>
      <c r="CB1114" s="2"/>
      <c r="CC1114" s="2" t="s">
        <v>138</v>
      </c>
      <c r="CD1114" s="2">
        <v>3201</v>
      </c>
      <c r="CE1114" s="2" t="s">
        <v>108</v>
      </c>
      <c r="CF1114" s="5">
        <v>42657</v>
      </c>
      <c r="CG1114" s="2"/>
      <c r="CH1114" s="2"/>
      <c r="CI1114" s="2">
        <v>0</v>
      </c>
      <c r="CJ1114" s="2">
        <v>0</v>
      </c>
      <c r="CK1114" s="2">
        <v>21</v>
      </c>
      <c r="CL1114" s="2" t="s">
        <v>88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"FES1162506629"</f>
        <v>FES1162506629</v>
      </c>
      <c r="F1115" s="3">
        <v>42656</v>
      </c>
      <c r="G1115" s="2">
        <v>201704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898</v>
      </c>
      <c r="M1115" s="2" t="s">
        <v>899</v>
      </c>
      <c r="N1115" s="2" t="s">
        <v>1492</v>
      </c>
      <c r="O1115" s="2" t="s">
        <v>96</v>
      </c>
      <c r="P1115" s="2" t="str">
        <f>"2170530139                    "</f>
        <v xml:space="preserve">2170530139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3.32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0.6</v>
      </c>
      <c r="BJ1115" s="2">
        <v>1.8</v>
      </c>
      <c r="BK1115" s="2">
        <v>2</v>
      </c>
      <c r="BL1115" s="2">
        <v>40.76</v>
      </c>
      <c r="BM1115" s="2">
        <v>5.71</v>
      </c>
      <c r="BN1115" s="2">
        <v>46.47</v>
      </c>
      <c r="BO1115" s="2">
        <v>46.47</v>
      </c>
      <c r="BP1115" s="2"/>
      <c r="BQ1115" s="2" t="s">
        <v>117</v>
      </c>
      <c r="BR1115" s="2" t="s">
        <v>83</v>
      </c>
      <c r="BS1115" s="3">
        <v>42657</v>
      </c>
      <c r="BT1115" s="4">
        <v>0.53125</v>
      </c>
      <c r="BU1115" s="2" t="s">
        <v>238</v>
      </c>
      <c r="BV1115" s="2" t="s">
        <v>85</v>
      </c>
      <c r="BW1115" s="2"/>
      <c r="BX1115" s="2"/>
      <c r="BY1115" s="2">
        <v>8890.56</v>
      </c>
      <c r="BZ1115" s="2"/>
      <c r="CA1115" s="2"/>
      <c r="CB1115" s="2"/>
      <c r="CC1115" s="2" t="s">
        <v>899</v>
      </c>
      <c r="CD1115" s="2">
        <v>7654</v>
      </c>
      <c r="CE1115" s="2" t="s">
        <v>108</v>
      </c>
      <c r="CF1115" s="5">
        <v>42660</v>
      </c>
      <c r="CG1115" s="2"/>
      <c r="CH1115" s="2"/>
      <c r="CI1115" s="2">
        <v>1</v>
      </c>
      <c r="CJ1115" s="2">
        <v>1</v>
      </c>
      <c r="CK1115" s="2">
        <v>21</v>
      </c>
      <c r="CL1115" s="2" t="s">
        <v>88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"FES1162506614"</f>
        <v>FES1162506614</v>
      </c>
      <c r="F1116" s="3">
        <v>42656</v>
      </c>
      <c r="G1116" s="2">
        <v>201704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160</v>
      </c>
      <c r="M1116" s="2" t="s">
        <v>161</v>
      </c>
      <c r="N1116" s="2" t="s">
        <v>643</v>
      </c>
      <c r="O1116" s="2" t="s">
        <v>96</v>
      </c>
      <c r="P1116" s="2" t="str">
        <f>"2170530119                    "</f>
        <v xml:space="preserve">2170530119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6.63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1.9</v>
      </c>
      <c r="BJ1116" s="2">
        <v>3.8</v>
      </c>
      <c r="BK1116" s="2">
        <v>4</v>
      </c>
      <c r="BL1116" s="2">
        <v>81.510000000000005</v>
      </c>
      <c r="BM1116" s="2">
        <v>11.41</v>
      </c>
      <c r="BN1116" s="2">
        <v>92.92</v>
      </c>
      <c r="BO1116" s="2">
        <v>92.92</v>
      </c>
      <c r="BP1116" s="2"/>
      <c r="BQ1116" s="2" t="s">
        <v>644</v>
      </c>
      <c r="BR1116" s="2" t="s">
        <v>83</v>
      </c>
      <c r="BS1116" s="3">
        <v>42657</v>
      </c>
      <c r="BT1116" s="4">
        <v>0.41666666666666669</v>
      </c>
      <c r="BU1116" s="2" t="s">
        <v>645</v>
      </c>
      <c r="BV1116" s="2" t="s">
        <v>85</v>
      </c>
      <c r="BW1116" s="2"/>
      <c r="BX1116" s="2"/>
      <c r="BY1116" s="2">
        <v>19037.28</v>
      </c>
      <c r="BZ1116" s="2"/>
      <c r="CA1116" s="2" t="s">
        <v>129</v>
      </c>
      <c r="CB1116" s="2"/>
      <c r="CC1116" s="2" t="s">
        <v>161</v>
      </c>
      <c r="CD1116" s="2">
        <v>7925</v>
      </c>
      <c r="CE1116" s="2" t="s">
        <v>86</v>
      </c>
      <c r="CF1116" s="5">
        <v>42660</v>
      </c>
      <c r="CG1116" s="2"/>
      <c r="CH1116" s="2"/>
      <c r="CI1116" s="2">
        <v>1</v>
      </c>
      <c r="CJ1116" s="2">
        <v>1</v>
      </c>
      <c r="CK1116" s="2">
        <v>21</v>
      </c>
      <c r="CL1116" s="2" t="s">
        <v>88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"FES1162506674"</f>
        <v>FES1162506674</v>
      </c>
      <c r="F1117" s="3">
        <v>42656</v>
      </c>
      <c r="G1117" s="2">
        <v>201704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98</v>
      </c>
      <c r="M1117" s="2" t="s">
        <v>99</v>
      </c>
      <c r="N1117" s="2" t="s">
        <v>1493</v>
      </c>
      <c r="O1117" s="2" t="s">
        <v>96</v>
      </c>
      <c r="P1117" s="2" t="str">
        <f>"2170530188                    "</f>
        <v xml:space="preserve">2170530188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3.32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0.5</v>
      </c>
      <c r="BJ1117" s="2">
        <v>0.2</v>
      </c>
      <c r="BK1117" s="2">
        <v>0.5</v>
      </c>
      <c r="BL1117" s="2">
        <v>40.76</v>
      </c>
      <c r="BM1117" s="2">
        <v>5.71</v>
      </c>
      <c r="BN1117" s="2">
        <v>46.47</v>
      </c>
      <c r="BO1117" s="2">
        <v>46.47</v>
      </c>
      <c r="BP1117" s="2"/>
      <c r="BQ1117" s="2" t="s">
        <v>168</v>
      </c>
      <c r="BR1117" s="2" t="s">
        <v>83</v>
      </c>
      <c r="BS1117" s="3">
        <v>42657</v>
      </c>
      <c r="BT1117" s="4">
        <v>0.40763888888888888</v>
      </c>
      <c r="BU1117" s="2" t="s">
        <v>1494</v>
      </c>
      <c r="BV1117" s="2" t="s">
        <v>85</v>
      </c>
      <c r="BW1117" s="2"/>
      <c r="BX1117" s="2"/>
      <c r="BY1117" s="2">
        <v>1200</v>
      </c>
      <c r="BZ1117" s="2"/>
      <c r="CA1117" s="2" t="s">
        <v>468</v>
      </c>
      <c r="CB1117" s="2"/>
      <c r="CC1117" s="2" t="s">
        <v>99</v>
      </c>
      <c r="CD1117" s="2">
        <v>6070</v>
      </c>
      <c r="CE1117" s="2" t="s">
        <v>108</v>
      </c>
      <c r="CF1117" s="5">
        <v>42660</v>
      </c>
      <c r="CG1117" s="2"/>
      <c r="CH1117" s="2"/>
      <c r="CI1117" s="2">
        <v>1</v>
      </c>
      <c r="CJ1117" s="2">
        <v>1</v>
      </c>
      <c r="CK1117" s="2">
        <v>21</v>
      </c>
      <c r="CL1117" s="2" t="s">
        <v>88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"FES1162506676"</f>
        <v>FES1162506676</v>
      </c>
      <c r="F1118" s="3">
        <v>42656</v>
      </c>
      <c r="G1118" s="2">
        <v>201704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93</v>
      </c>
      <c r="M1118" s="2" t="s">
        <v>94</v>
      </c>
      <c r="N1118" s="2" t="s">
        <v>130</v>
      </c>
      <c r="O1118" s="2" t="s">
        <v>96</v>
      </c>
      <c r="P1118" s="2" t="str">
        <f>"2170529141                    "</f>
        <v xml:space="preserve">2170529141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8.2899999999999991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4.7</v>
      </c>
      <c r="BJ1118" s="2">
        <v>1.7</v>
      </c>
      <c r="BK1118" s="2">
        <v>5</v>
      </c>
      <c r="BL1118" s="2">
        <v>101.89</v>
      </c>
      <c r="BM1118" s="2">
        <v>14.26</v>
      </c>
      <c r="BN1118" s="2">
        <v>116.15</v>
      </c>
      <c r="BO1118" s="2">
        <v>116.15</v>
      </c>
      <c r="BP1118" s="2"/>
      <c r="BQ1118" s="2" t="s">
        <v>131</v>
      </c>
      <c r="BR1118" s="2" t="s">
        <v>83</v>
      </c>
      <c r="BS1118" s="3">
        <v>42657</v>
      </c>
      <c r="BT1118" s="4">
        <v>0.34027777777777773</v>
      </c>
      <c r="BU1118" s="2" t="s">
        <v>132</v>
      </c>
      <c r="BV1118" s="2" t="s">
        <v>85</v>
      </c>
      <c r="BW1118" s="2"/>
      <c r="BX1118" s="2"/>
      <c r="BY1118" s="2">
        <v>8566.98</v>
      </c>
      <c r="BZ1118" s="2"/>
      <c r="CA1118" s="2"/>
      <c r="CB1118" s="2"/>
      <c r="CC1118" s="2" t="s">
        <v>94</v>
      </c>
      <c r="CD1118" s="2">
        <v>4302</v>
      </c>
      <c r="CE1118" s="2" t="s">
        <v>368</v>
      </c>
      <c r="CF1118" s="5">
        <v>42660</v>
      </c>
      <c r="CG1118" s="2"/>
      <c r="CH1118" s="2"/>
      <c r="CI1118" s="2">
        <v>1</v>
      </c>
      <c r="CJ1118" s="2">
        <v>1</v>
      </c>
      <c r="CK1118" s="2">
        <v>21</v>
      </c>
      <c r="CL1118" s="2" t="s">
        <v>88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"FES1162506554"</f>
        <v>FES1162506554</v>
      </c>
      <c r="F1119" s="3">
        <v>42656</v>
      </c>
      <c r="G1119" s="2">
        <v>201704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93</v>
      </c>
      <c r="M1119" s="2" t="s">
        <v>94</v>
      </c>
      <c r="N1119" s="2" t="s">
        <v>536</v>
      </c>
      <c r="O1119" s="2" t="s">
        <v>96</v>
      </c>
      <c r="P1119" s="2" t="str">
        <f>"2170530045                    "</f>
        <v xml:space="preserve">2170530045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3.32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0.5</v>
      </c>
      <c r="BJ1119" s="2">
        <v>0.2</v>
      </c>
      <c r="BK1119" s="2">
        <v>0.5</v>
      </c>
      <c r="BL1119" s="2">
        <v>40.76</v>
      </c>
      <c r="BM1119" s="2">
        <v>5.71</v>
      </c>
      <c r="BN1119" s="2">
        <v>46.47</v>
      </c>
      <c r="BO1119" s="2">
        <v>46.47</v>
      </c>
      <c r="BP1119" s="2"/>
      <c r="BQ1119" s="2" t="s">
        <v>537</v>
      </c>
      <c r="BR1119" s="2" t="s">
        <v>83</v>
      </c>
      <c r="BS1119" s="3">
        <v>42657</v>
      </c>
      <c r="BT1119" s="4">
        <v>0.41319444444444442</v>
      </c>
      <c r="BU1119" s="2" t="s">
        <v>852</v>
      </c>
      <c r="BV1119" s="2" t="s">
        <v>85</v>
      </c>
      <c r="BW1119" s="2"/>
      <c r="BX1119" s="2"/>
      <c r="BY1119" s="2">
        <v>1200</v>
      </c>
      <c r="BZ1119" s="2"/>
      <c r="CA1119" s="2"/>
      <c r="CB1119" s="2"/>
      <c r="CC1119" s="2" t="s">
        <v>94</v>
      </c>
      <c r="CD1119" s="2">
        <v>4300</v>
      </c>
      <c r="CE1119" s="2" t="s">
        <v>108</v>
      </c>
      <c r="CF1119" s="5">
        <v>42660</v>
      </c>
      <c r="CG1119" s="2"/>
      <c r="CH1119" s="2"/>
      <c r="CI1119" s="2">
        <v>1</v>
      </c>
      <c r="CJ1119" s="2">
        <v>1</v>
      </c>
      <c r="CK1119" s="2">
        <v>21</v>
      </c>
      <c r="CL1119" s="2" t="s">
        <v>88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"FES1162506566"</f>
        <v>FES1162506566</v>
      </c>
      <c r="F1120" s="3">
        <v>42656</v>
      </c>
      <c r="G1120" s="2">
        <v>201704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160</v>
      </c>
      <c r="M1120" s="2" t="s">
        <v>161</v>
      </c>
      <c r="N1120" s="2" t="s">
        <v>244</v>
      </c>
      <c r="O1120" s="2" t="s">
        <v>96</v>
      </c>
      <c r="P1120" s="2" t="str">
        <f>"2170527198                    "</f>
        <v xml:space="preserve">2170527198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3.32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0.5</v>
      </c>
      <c r="BJ1120" s="2">
        <v>0.2</v>
      </c>
      <c r="BK1120" s="2">
        <v>0.5</v>
      </c>
      <c r="BL1120" s="2">
        <v>40.76</v>
      </c>
      <c r="BM1120" s="2">
        <v>5.71</v>
      </c>
      <c r="BN1120" s="2">
        <v>46.47</v>
      </c>
      <c r="BO1120" s="2">
        <v>46.47</v>
      </c>
      <c r="BP1120" s="2"/>
      <c r="BQ1120" s="2" t="s">
        <v>117</v>
      </c>
      <c r="BR1120" s="2" t="s">
        <v>83</v>
      </c>
      <c r="BS1120" s="3">
        <v>42657</v>
      </c>
      <c r="BT1120" s="4">
        <v>0.42569444444444443</v>
      </c>
      <c r="BU1120" s="2" t="s">
        <v>245</v>
      </c>
      <c r="BV1120" s="2" t="s">
        <v>85</v>
      </c>
      <c r="BW1120" s="2"/>
      <c r="BX1120" s="2"/>
      <c r="BY1120" s="2">
        <v>1200</v>
      </c>
      <c r="BZ1120" s="2"/>
      <c r="CA1120" s="2"/>
      <c r="CB1120" s="2"/>
      <c r="CC1120" s="2" t="s">
        <v>161</v>
      </c>
      <c r="CD1120" s="2">
        <v>7800</v>
      </c>
      <c r="CE1120" s="2" t="s">
        <v>108</v>
      </c>
      <c r="CF1120" s="5">
        <v>42660</v>
      </c>
      <c r="CG1120" s="2"/>
      <c r="CH1120" s="2"/>
      <c r="CI1120" s="2">
        <v>1</v>
      </c>
      <c r="CJ1120" s="2">
        <v>1</v>
      </c>
      <c r="CK1120" s="2">
        <v>21</v>
      </c>
      <c r="CL1120" s="2" t="s">
        <v>88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"FES1162506542"</f>
        <v>FES1162506542</v>
      </c>
      <c r="F1121" s="3">
        <v>42656</v>
      </c>
      <c r="G1121" s="2">
        <v>201704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510</v>
      </c>
      <c r="M1121" s="2" t="s">
        <v>511</v>
      </c>
      <c r="N1121" s="2" t="s">
        <v>1495</v>
      </c>
      <c r="O1121" s="2" t="s">
        <v>96</v>
      </c>
      <c r="P1121" s="2" t="str">
        <f>"2170530030                    "</f>
        <v xml:space="preserve">2170530030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3.32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0.5</v>
      </c>
      <c r="BJ1121" s="2">
        <v>0.2</v>
      </c>
      <c r="BK1121" s="2">
        <v>0.5</v>
      </c>
      <c r="BL1121" s="2">
        <v>40.76</v>
      </c>
      <c r="BM1121" s="2">
        <v>5.71</v>
      </c>
      <c r="BN1121" s="2">
        <v>46.47</v>
      </c>
      <c r="BO1121" s="2">
        <v>46.47</v>
      </c>
      <c r="BP1121" s="2"/>
      <c r="BQ1121" s="2" t="s">
        <v>82</v>
      </c>
      <c r="BR1121" s="2" t="s">
        <v>83</v>
      </c>
      <c r="BS1121" s="3">
        <v>42657</v>
      </c>
      <c r="BT1121" s="4">
        <v>0.5</v>
      </c>
      <c r="BU1121" s="2" t="s">
        <v>1000</v>
      </c>
      <c r="BV1121" s="2" t="s">
        <v>85</v>
      </c>
      <c r="BW1121" s="2"/>
      <c r="BX1121" s="2"/>
      <c r="BY1121" s="2">
        <v>1200</v>
      </c>
      <c r="BZ1121" s="2"/>
      <c r="CA1121" s="2"/>
      <c r="CB1121" s="2"/>
      <c r="CC1121" s="2" t="s">
        <v>511</v>
      </c>
      <c r="CD1121" s="2">
        <v>3280</v>
      </c>
      <c r="CE1121" s="2" t="s">
        <v>108</v>
      </c>
      <c r="CF1121" s="5">
        <v>42660</v>
      </c>
      <c r="CG1121" s="2"/>
      <c r="CH1121" s="2"/>
      <c r="CI1121" s="2">
        <v>1</v>
      </c>
      <c r="CJ1121" s="2">
        <v>1</v>
      </c>
      <c r="CK1121" s="2">
        <v>21</v>
      </c>
      <c r="CL1121" s="2" t="s">
        <v>88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"FES1162506559"</f>
        <v>FES1162506559</v>
      </c>
      <c r="F1122" s="3">
        <v>42656</v>
      </c>
      <c r="G1122" s="2">
        <v>201704</v>
      </c>
      <c r="H1122" s="2" t="s">
        <v>74</v>
      </c>
      <c r="I1122" s="2" t="s">
        <v>75</v>
      </c>
      <c r="J1122" s="2" t="s">
        <v>76</v>
      </c>
      <c r="K1122" s="2" t="s">
        <v>77</v>
      </c>
      <c r="L1122" s="2" t="s">
        <v>148</v>
      </c>
      <c r="M1122" s="2" t="s">
        <v>149</v>
      </c>
      <c r="N1122" s="2" t="s">
        <v>422</v>
      </c>
      <c r="O1122" s="2" t="s">
        <v>96</v>
      </c>
      <c r="P1122" s="2" t="str">
        <f>"2170529981                    "</f>
        <v xml:space="preserve">2170529981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3.32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0.5</v>
      </c>
      <c r="BJ1122" s="2">
        <v>0.2</v>
      </c>
      <c r="BK1122" s="2">
        <v>0.5</v>
      </c>
      <c r="BL1122" s="2">
        <v>40.76</v>
      </c>
      <c r="BM1122" s="2">
        <v>5.71</v>
      </c>
      <c r="BN1122" s="2">
        <v>46.47</v>
      </c>
      <c r="BO1122" s="2">
        <v>46.47</v>
      </c>
      <c r="BP1122" s="2"/>
      <c r="BQ1122" s="2" t="s">
        <v>423</v>
      </c>
      <c r="BR1122" s="2" t="s">
        <v>83</v>
      </c>
      <c r="BS1122" s="3">
        <v>42657</v>
      </c>
      <c r="BT1122" s="4">
        <v>0.4375</v>
      </c>
      <c r="BU1122" s="2" t="s">
        <v>238</v>
      </c>
      <c r="BV1122" s="2" t="s">
        <v>85</v>
      </c>
      <c r="BW1122" s="2"/>
      <c r="BX1122" s="2"/>
      <c r="BY1122" s="2">
        <v>1200</v>
      </c>
      <c r="BZ1122" s="2"/>
      <c r="CA1122" s="2"/>
      <c r="CB1122" s="2"/>
      <c r="CC1122" s="2" t="s">
        <v>149</v>
      </c>
      <c r="CD1122" s="2">
        <v>4052</v>
      </c>
      <c r="CE1122" s="2" t="s">
        <v>108</v>
      </c>
      <c r="CF1122" s="5">
        <v>42660</v>
      </c>
      <c r="CG1122" s="2"/>
      <c r="CH1122" s="2"/>
      <c r="CI1122" s="2">
        <v>1</v>
      </c>
      <c r="CJ1122" s="2">
        <v>1</v>
      </c>
      <c r="CK1122" s="2">
        <v>21</v>
      </c>
      <c r="CL1122" s="2" t="s">
        <v>88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"FES1162506648"</f>
        <v>FES1162506648</v>
      </c>
      <c r="F1123" s="3">
        <v>42656</v>
      </c>
      <c r="G1123" s="2">
        <v>201704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614</v>
      </c>
      <c r="M1123" s="2" t="s">
        <v>615</v>
      </c>
      <c r="N1123" s="2" t="s">
        <v>1496</v>
      </c>
      <c r="O1123" s="2" t="s">
        <v>96</v>
      </c>
      <c r="P1123" s="2" t="str">
        <f>"2170530154                    "</f>
        <v xml:space="preserve">2170530154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3.32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0.5</v>
      </c>
      <c r="BJ1123" s="2">
        <v>0.2</v>
      </c>
      <c r="BK1123" s="2">
        <v>0.5</v>
      </c>
      <c r="BL1123" s="2">
        <v>40.76</v>
      </c>
      <c r="BM1123" s="2">
        <v>5.71</v>
      </c>
      <c r="BN1123" s="2">
        <v>46.47</v>
      </c>
      <c r="BO1123" s="2">
        <v>46.47</v>
      </c>
      <c r="BP1123" s="2"/>
      <c r="BQ1123" s="2" t="s">
        <v>1497</v>
      </c>
      <c r="BR1123" s="2" t="s">
        <v>83</v>
      </c>
      <c r="BS1123" s="3">
        <v>42657</v>
      </c>
      <c r="BT1123" s="4">
        <v>0.4375</v>
      </c>
      <c r="BU1123" s="2" t="s">
        <v>1498</v>
      </c>
      <c r="BV1123" s="2" t="s">
        <v>85</v>
      </c>
      <c r="BW1123" s="2"/>
      <c r="BX1123" s="2"/>
      <c r="BY1123" s="2">
        <v>1200</v>
      </c>
      <c r="BZ1123" s="2"/>
      <c r="CA1123" s="2"/>
      <c r="CB1123" s="2"/>
      <c r="CC1123" s="2" t="s">
        <v>615</v>
      </c>
      <c r="CD1123" s="2">
        <v>4026</v>
      </c>
      <c r="CE1123" s="2" t="s">
        <v>108</v>
      </c>
      <c r="CF1123" s="5">
        <v>42660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88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"FES1162506659"</f>
        <v>FES1162506659</v>
      </c>
      <c r="F1124" s="3">
        <v>42656</v>
      </c>
      <c r="G1124" s="2">
        <v>201704</v>
      </c>
      <c r="H1124" s="2" t="s">
        <v>74</v>
      </c>
      <c r="I1124" s="2" t="s">
        <v>75</v>
      </c>
      <c r="J1124" s="2" t="s">
        <v>76</v>
      </c>
      <c r="K1124" s="2" t="s">
        <v>77</v>
      </c>
      <c r="L1124" s="2" t="s">
        <v>98</v>
      </c>
      <c r="M1124" s="2" t="s">
        <v>99</v>
      </c>
      <c r="N1124" s="2" t="s">
        <v>265</v>
      </c>
      <c r="O1124" s="2" t="s">
        <v>96</v>
      </c>
      <c r="P1124" s="2" t="str">
        <f>"2170530166                    "</f>
        <v xml:space="preserve">2170530166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3.32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0.5</v>
      </c>
      <c r="BJ1124" s="2">
        <v>0.2</v>
      </c>
      <c r="BK1124" s="2">
        <v>0.5</v>
      </c>
      <c r="BL1124" s="2">
        <v>40.76</v>
      </c>
      <c r="BM1124" s="2">
        <v>5.71</v>
      </c>
      <c r="BN1124" s="2">
        <v>46.47</v>
      </c>
      <c r="BO1124" s="2">
        <v>46.47</v>
      </c>
      <c r="BP1124" s="2"/>
      <c r="BQ1124" s="2" t="s">
        <v>1499</v>
      </c>
      <c r="BR1124" s="2" t="s">
        <v>83</v>
      </c>
      <c r="BS1124" s="3">
        <v>42657</v>
      </c>
      <c r="BT1124" s="4">
        <v>0.2951388888888889</v>
      </c>
      <c r="BU1124" s="2" t="s">
        <v>1500</v>
      </c>
      <c r="BV1124" s="2" t="s">
        <v>85</v>
      </c>
      <c r="BW1124" s="2"/>
      <c r="BX1124" s="2"/>
      <c r="BY1124" s="2">
        <v>1200</v>
      </c>
      <c r="BZ1124" s="2"/>
      <c r="CA1124" s="2" t="s">
        <v>107</v>
      </c>
      <c r="CB1124" s="2"/>
      <c r="CC1124" s="2" t="s">
        <v>99</v>
      </c>
      <c r="CD1124" s="2">
        <v>6012</v>
      </c>
      <c r="CE1124" s="2" t="s">
        <v>108</v>
      </c>
      <c r="CF1124" s="5">
        <v>42657</v>
      </c>
      <c r="CG1124" s="2"/>
      <c r="CH1124" s="2"/>
      <c r="CI1124" s="2">
        <v>1</v>
      </c>
      <c r="CJ1124" s="2">
        <v>1</v>
      </c>
      <c r="CK1124" s="2">
        <v>21</v>
      </c>
      <c r="CL1124" s="2" t="s">
        <v>88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"FES1162506645"</f>
        <v>FES1162506645</v>
      </c>
      <c r="F1125" s="3">
        <v>42656</v>
      </c>
      <c r="G1125" s="2">
        <v>201704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98</v>
      </c>
      <c r="M1125" s="2" t="s">
        <v>99</v>
      </c>
      <c r="N1125" s="2" t="s">
        <v>894</v>
      </c>
      <c r="O1125" s="2" t="s">
        <v>96</v>
      </c>
      <c r="P1125" s="2" t="str">
        <f>"2170529989                    "</f>
        <v xml:space="preserve">2170529989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3.32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0.5</v>
      </c>
      <c r="BJ1125" s="2">
        <v>0.2</v>
      </c>
      <c r="BK1125" s="2">
        <v>0.5</v>
      </c>
      <c r="BL1125" s="2">
        <v>40.76</v>
      </c>
      <c r="BM1125" s="2">
        <v>5.71</v>
      </c>
      <c r="BN1125" s="2">
        <v>46.47</v>
      </c>
      <c r="BO1125" s="2">
        <v>46.47</v>
      </c>
      <c r="BP1125" s="2"/>
      <c r="BQ1125" s="2" t="s">
        <v>895</v>
      </c>
      <c r="BR1125" s="2" t="s">
        <v>83</v>
      </c>
      <c r="BS1125" s="3">
        <v>42657</v>
      </c>
      <c r="BT1125" s="4">
        <v>0.29722222222222222</v>
      </c>
      <c r="BU1125" s="2" t="s">
        <v>1143</v>
      </c>
      <c r="BV1125" s="2" t="s">
        <v>85</v>
      </c>
      <c r="BW1125" s="2"/>
      <c r="BX1125" s="2"/>
      <c r="BY1125" s="2">
        <v>1200</v>
      </c>
      <c r="BZ1125" s="2"/>
      <c r="CA1125" s="2" t="s">
        <v>107</v>
      </c>
      <c r="CB1125" s="2"/>
      <c r="CC1125" s="2" t="s">
        <v>99</v>
      </c>
      <c r="CD1125" s="2">
        <v>6012</v>
      </c>
      <c r="CE1125" s="2" t="s">
        <v>108</v>
      </c>
      <c r="CF1125" s="5">
        <v>42657</v>
      </c>
      <c r="CG1125" s="2"/>
      <c r="CH1125" s="2"/>
      <c r="CI1125" s="2">
        <v>1</v>
      </c>
      <c r="CJ1125" s="2">
        <v>1</v>
      </c>
      <c r="CK1125" s="2">
        <v>21</v>
      </c>
      <c r="CL1125" s="2" t="s">
        <v>88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"FES1162506578"</f>
        <v>FES1162506578</v>
      </c>
      <c r="F1126" s="3">
        <v>42656</v>
      </c>
      <c r="G1126" s="2">
        <v>201704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253</v>
      </c>
      <c r="M1126" s="2" t="s">
        <v>254</v>
      </c>
      <c r="N1126" s="2" t="s">
        <v>255</v>
      </c>
      <c r="O1126" s="2" t="s">
        <v>96</v>
      </c>
      <c r="P1126" s="2" t="str">
        <f>"2170529474                    "</f>
        <v xml:space="preserve">2170529474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9.33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3</v>
      </c>
      <c r="BJ1126" s="2">
        <v>2</v>
      </c>
      <c r="BK1126" s="2">
        <v>3</v>
      </c>
      <c r="BL1126" s="2">
        <v>114.63</v>
      </c>
      <c r="BM1126" s="2">
        <v>16.05</v>
      </c>
      <c r="BN1126" s="2">
        <v>130.68</v>
      </c>
      <c r="BO1126" s="2">
        <v>130.68</v>
      </c>
      <c r="BP1126" s="2"/>
      <c r="BQ1126" s="2" t="s">
        <v>117</v>
      </c>
      <c r="BR1126" s="2" t="s">
        <v>83</v>
      </c>
      <c r="BS1126" s="3">
        <v>42657</v>
      </c>
      <c r="BT1126" s="4">
        <v>0.59722222222222221</v>
      </c>
      <c r="BU1126" s="2" t="s">
        <v>974</v>
      </c>
      <c r="BV1126" s="2" t="s">
        <v>85</v>
      </c>
      <c r="BW1126" s="2"/>
      <c r="BX1126" s="2"/>
      <c r="BY1126" s="2">
        <v>10142.51</v>
      </c>
      <c r="BZ1126" s="2"/>
      <c r="CA1126" s="2"/>
      <c r="CB1126" s="2"/>
      <c r="CC1126" s="2" t="s">
        <v>254</v>
      </c>
      <c r="CD1126" s="2">
        <v>3370</v>
      </c>
      <c r="CE1126" s="2" t="s">
        <v>86</v>
      </c>
      <c r="CF1126" s="5">
        <v>42661</v>
      </c>
      <c r="CG1126" s="2"/>
      <c r="CH1126" s="2"/>
      <c r="CI1126" s="2">
        <v>3</v>
      </c>
      <c r="CJ1126" s="2">
        <v>1</v>
      </c>
      <c r="CK1126" s="2">
        <v>23</v>
      </c>
      <c r="CL1126" s="2" t="s">
        <v>88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"FES1162506642"</f>
        <v>FES1162506642</v>
      </c>
      <c r="F1127" s="3">
        <v>42656</v>
      </c>
      <c r="G1127" s="2">
        <v>201704</v>
      </c>
      <c r="H1127" s="2" t="s">
        <v>74</v>
      </c>
      <c r="I1127" s="2" t="s">
        <v>75</v>
      </c>
      <c r="J1127" s="2" t="s">
        <v>76</v>
      </c>
      <c r="K1127" s="2" t="s">
        <v>77</v>
      </c>
      <c r="L1127" s="2" t="s">
        <v>872</v>
      </c>
      <c r="M1127" s="2" t="s">
        <v>873</v>
      </c>
      <c r="N1127" s="2" t="s">
        <v>1342</v>
      </c>
      <c r="O1127" s="2" t="s">
        <v>96</v>
      </c>
      <c r="P1127" s="2" t="str">
        <f>"2170530151                    "</f>
        <v xml:space="preserve">2170530151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3.32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1</v>
      </c>
      <c r="BK1127" s="2">
        <v>1</v>
      </c>
      <c r="BL1127" s="2">
        <v>40.76</v>
      </c>
      <c r="BM1127" s="2">
        <v>5.71</v>
      </c>
      <c r="BN1127" s="2">
        <v>46.47</v>
      </c>
      <c r="BO1127" s="2">
        <v>46.47</v>
      </c>
      <c r="BP1127" s="2"/>
      <c r="BQ1127" s="2" t="s">
        <v>1343</v>
      </c>
      <c r="BR1127" s="2" t="s">
        <v>83</v>
      </c>
      <c r="BS1127" s="3">
        <v>42657</v>
      </c>
      <c r="BT1127" s="4">
        <v>0.35416666666666669</v>
      </c>
      <c r="BU1127" s="2" t="s">
        <v>478</v>
      </c>
      <c r="BV1127" s="2" t="s">
        <v>85</v>
      </c>
      <c r="BW1127" s="2"/>
      <c r="BX1127" s="2"/>
      <c r="BY1127" s="2">
        <v>5005.46</v>
      </c>
      <c r="BZ1127" s="2"/>
      <c r="CA1127" s="2"/>
      <c r="CB1127" s="2"/>
      <c r="CC1127" s="2" t="s">
        <v>873</v>
      </c>
      <c r="CD1127" s="2">
        <v>4126</v>
      </c>
      <c r="CE1127" s="2" t="s">
        <v>86</v>
      </c>
      <c r="CF1127" s="5">
        <v>42657</v>
      </c>
      <c r="CG1127" s="2"/>
      <c r="CH1127" s="2"/>
      <c r="CI1127" s="2">
        <v>1</v>
      </c>
      <c r="CJ1127" s="2">
        <v>1</v>
      </c>
      <c r="CK1127" s="2">
        <v>21</v>
      </c>
      <c r="CL1127" s="2" t="s">
        <v>88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"FES1162506693"</f>
        <v>FES1162506693</v>
      </c>
      <c r="F1128" s="3">
        <v>42656</v>
      </c>
      <c r="G1128" s="2">
        <v>201704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160</v>
      </c>
      <c r="M1128" s="2" t="s">
        <v>161</v>
      </c>
      <c r="N1128" s="2" t="s">
        <v>420</v>
      </c>
      <c r="O1128" s="2" t="s">
        <v>96</v>
      </c>
      <c r="P1128" s="2" t="str">
        <f>"2170530169                    "</f>
        <v xml:space="preserve">2170530169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4.1500000000000004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1.3</v>
      </c>
      <c r="BJ1128" s="2">
        <v>2.2999999999999998</v>
      </c>
      <c r="BK1128" s="2">
        <v>2.5</v>
      </c>
      <c r="BL1128" s="2">
        <v>50.95</v>
      </c>
      <c r="BM1128" s="2">
        <v>7.13</v>
      </c>
      <c r="BN1128" s="2">
        <v>58.08</v>
      </c>
      <c r="BO1128" s="2">
        <v>58.08</v>
      </c>
      <c r="BP1128" s="2"/>
      <c r="BQ1128" s="2" t="s">
        <v>1501</v>
      </c>
      <c r="BR1128" s="2" t="s">
        <v>83</v>
      </c>
      <c r="BS1128" s="3">
        <v>42657</v>
      </c>
      <c r="BT1128" s="4">
        <v>0.41319444444444442</v>
      </c>
      <c r="BU1128" s="2" t="s">
        <v>1502</v>
      </c>
      <c r="BV1128" s="2" t="s">
        <v>85</v>
      </c>
      <c r="BW1128" s="2"/>
      <c r="BX1128" s="2"/>
      <c r="BY1128" s="2">
        <v>11449.2</v>
      </c>
      <c r="BZ1128" s="2"/>
      <c r="CA1128" s="2"/>
      <c r="CB1128" s="2"/>
      <c r="CC1128" s="2" t="s">
        <v>161</v>
      </c>
      <c r="CD1128" s="2">
        <v>7560</v>
      </c>
      <c r="CE1128" s="2" t="s">
        <v>86</v>
      </c>
      <c r="CF1128" s="5">
        <v>42660</v>
      </c>
      <c r="CG1128" s="2"/>
      <c r="CH1128" s="2"/>
      <c r="CI1128" s="2">
        <v>1</v>
      </c>
      <c r="CJ1128" s="2">
        <v>1</v>
      </c>
      <c r="CK1128" s="2">
        <v>21</v>
      </c>
      <c r="CL1128" s="2" t="s">
        <v>88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"FES1162506695"</f>
        <v>FES1162506695</v>
      </c>
      <c r="F1129" s="3">
        <v>42656</v>
      </c>
      <c r="G1129" s="2">
        <v>201704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160</v>
      </c>
      <c r="M1129" s="2" t="s">
        <v>161</v>
      </c>
      <c r="N1129" s="2" t="s">
        <v>420</v>
      </c>
      <c r="O1129" s="2" t="s">
        <v>96</v>
      </c>
      <c r="P1129" s="2" t="str">
        <f>"2170530184                    "</f>
        <v xml:space="preserve">2170530184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3.32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1.1000000000000001</v>
      </c>
      <c r="BJ1129" s="2">
        <v>1.9</v>
      </c>
      <c r="BK1129" s="2">
        <v>2</v>
      </c>
      <c r="BL1129" s="2">
        <v>40.76</v>
      </c>
      <c r="BM1129" s="2">
        <v>5.71</v>
      </c>
      <c r="BN1129" s="2">
        <v>46.47</v>
      </c>
      <c r="BO1129" s="2">
        <v>46.47</v>
      </c>
      <c r="BP1129" s="2"/>
      <c r="BQ1129" s="2" t="s">
        <v>1501</v>
      </c>
      <c r="BR1129" s="2" t="s">
        <v>83</v>
      </c>
      <c r="BS1129" s="3">
        <v>42657</v>
      </c>
      <c r="BT1129" s="4">
        <v>0.41319444444444442</v>
      </c>
      <c r="BU1129" s="2" t="s">
        <v>1503</v>
      </c>
      <c r="BV1129" s="2" t="s">
        <v>85</v>
      </c>
      <c r="BW1129" s="2"/>
      <c r="BX1129" s="2"/>
      <c r="BY1129" s="2">
        <v>9664.7000000000007</v>
      </c>
      <c r="BZ1129" s="2"/>
      <c r="CA1129" s="2"/>
      <c r="CB1129" s="2"/>
      <c r="CC1129" s="2" t="s">
        <v>161</v>
      </c>
      <c r="CD1129" s="2">
        <v>7560</v>
      </c>
      <c r="CE1129" s="2" t="s">
        <v>108</v>
      </c>
      <c r="CF1129" s="5">
        <v>42660</v>
      </c>
      <c r="CG1129" s="2"/>
      <c r="CH1129" s="2"/>
      <c r="CI1129" s="2">
        <v>1</v>
      </c>
      <c r="CJ1129" s="2">
        <v>1</v>
      </c>
      <c r="CK1129" s="2">
        <v>21</v>
      </c>
      <c r="CL1129" s="2" t="s">
        <v>88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"FES1162506720"</f>
        <v>FES1162506720</v>
      </c>
      <c r="F1130" s="3">
        <v>42656</v>
      </c>
      <c r="G1130" s="2">
        <v>201704</v>
      </c>
      <c r="H1130" s="2" t="s">
        <v>74</v>
      </c>
      <c r="I1130" s="2" t="s">
        <v>75</v>
      </c>
      <c r="J1130" s="2" t="s">
        <v>76</v>
      </c>
      <c r="K1130" s="2" t="s">
        <v>77</v>
      </c>
      <c r="L1130" s="2" t="s">
        <v>269</v>
      </c>
      <c r="M1130" s="2" t="s">
        <v>270</v>
      </c>
      <c r="N1130" s="2" t="s">
        <v>1504</v>
      </c>
      <c r="O1130" s="2" t="s">
        <v>96</v>
      </c>
      <c r="P1130" s="2" t="str">
        <f>"2170530227                    "</f>
        <v xml:space="preserve">2170530227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3.32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0.5</v>
      </c>
      <c r="BJ1130" s="2">
        <v>0.2</v>
      </c>
      <c r="BK1130" s="2">
        <v>0.5</v>
      </c>
      <c r="BL1130" s="2">
        <v>40.76</v>
      </c>
      <c r="BM1130" s="2">
        <v>5.71</v>
      </c>
      <c r="BN1130" s="2">
        <v>46.47</v>
      </c>
      <c r="BO1130" s="2">
        <v>46.47</v>
      </c>
      <c r="BP1130" s="2"/>
      <c r="BQ1130" s="2" t="s">
        <v>168</v>
      </c>
      <c r="BR1130" s="2" t="s">
        <v>83</v>
      </c>
      <c r="BS1130" s="3">
        <v>42657</v>
      </c>
      <c r="BT1130" s="4">
        <v>0.30069444444444443</v>
      </c>
      <c r="BU1130" s="2" t="s">
        <v>1505</v>
      </c>
      <c r="BV1130" s="2" t="s">
        <v>85</v>
      </c>
      <c r="BW1130" s="2"/>
      <c r="BX1130" s="2"/>
      <c r="BY1130" s="2">
        <v>1200</v>
      </c>
      <c r="BZ1130" s="2"/>
      <c r="CA1130" s="2"/>
      <c r="CB1130" s="2"/>
      <c r="CC1130" s="2" t="s">
        <v>270</v>
      </c>
      <c r="CD1130" s="2">
        <v>3610</v>
      </c>
      <c r="CE1130" s="2" t="s">
        <v>108</v>
      </c>
      <c r="CF1130" s="5">
        <v>42657</v>
      </c>
      <c r="CG1130" s="2"/>
      <c r="CH1130" s="2"/>
      <c r="CI1130" s="2">
        <v>1</v>
      </c>
      <c r="CJ1130" s="2">
        <v>1</v>
      </c>
      <c r="CK1130" s="2">
        <v>21</v>
      </c>
      <c r="CL1130" s="2" t="s">
        <v>88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"FES1162506588"</f>
        <v>FES1162506588</v>
      </c>
      <c r="F1131" s="3">
        <v>42656</v>
      </c>
      <c r="G1131" s="2">
        <v>201704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269</v>
      </c>
      <c r="M1131" s="2" t="s">
        <v>270</v>
      </c>
      <c r="N1131" s="2" t="s">
        <v>565</v>
      </c>
      <c r="O1131" s="2" t="s">
        <v>96</v>
      </c>
      <c r="P1131" s="2" t="str">
        <f>"2170530085                    "</f>
        <v xml:space="preserve">2170530085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3.32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1</v>
      </c>
      <c r="BK1131" s="2">
        <v>1</v>
      </c>
      <c r="BL1131" s="2">
        <v>40.76</v>
      </c>
      <c r="BM1131" s="2">
        <v>5.71</v>
      </c>
      <c r="BN1131" s="2">
        <v>46.47</v>
      </c>
      <c r="BO1131" s="2">
        <v>46.47</v>
      </c>
      <c r="BP1131" s="2"/>
      <c r="BQ1131" s="2" t="s">
        <v>566</v>
      </c>
      <c r="BR1131" s="2" t="s">
        <v>83</v>
      </c>
      <c r="BS1131" s="3">
        <v>42657</v>
      </c>
      <c r="BT1131" s="4">
        <v>0.43055555555555558</v>
      </c>
      <c r="BU1131" s="2" t="s">
        <v>1237</v>
      </c>
      <c r="BV1131" s="2" t="s">
        <v>85</v>
      </c>
      <c r="BW1131" s="2"/>
      <c r="BX1131" s="2"/>
      <c r="BY1131" s="2">
        <v>4929.18</v>
      </c>
      <c r="BZ1131" s="2"/>
      <c r="CA1131" s="2"/>
      <c r="CB1131" s="2"/>
      <c r="CC1131" s="2" t="s">
        <v>270</v>
      </c>
      <c r="CD1131" s="2">
        <v>3620</v>
      </c>
      <c r="CE1131" s="2" t="s">
        <v>108</v>
      </c>
      <c r="CF1131" s="5">
        <v>42660</v>
      </c>
      <c r="CG1131" s="2"/>
      <c r="CH1131" s="2"/>
      <c r="CI1131" s="2">
        <v>1</v>
      </c>
      <c r="CJ1131" s="2">
        <v>1</v>
      </c>
      <c r="CK1131" s="2">
        <v>21</v>
      </c>
      <c r="CL1131" s="2" t="s">
        <v>88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"FES1162506580"</f>
        <v>FES1162506580</v>
      </c>
      <c r="F1132" s="3">
        <v>42656</v>
      </c>
      <c r="G1132" s="2">
        <v>201704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1122</v>
      </c>
      <c r="M1132" s="2" t="s">
        <v>1123</v>
      </c>
      <c r="N1132" s="2" t="s">
        <v>422</v>
      </c>
      <c r="O1132" s="2" t="s">
        <v>96</v>
      </c>
      <c r="P1132" s="2" t="str">
        <f>"2170529725                    "</f>
        <v xml:space="preserve">2170529725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3.32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2</v>
      </c>
      <c r="BJ1132" s="2">
        <v>1.7</v>
      </c>
      <c r="BK1132" s="2">
        <v>2</v>
      </c>
      <c r="BL1132" s="2">
        <v>40.76</v>
      </c>
      <c r="BM1132" s="2">
        <v>5.71</v>
      </c>
      <c r="BN1132" s="2">
        <v>46.47</v>
      </c>
      <c r="BO1132" s="2">
        <v>46.47</v>
      </c>
      <c r="BP1132" s="2"/>
      <c r="BQ1132" s="2" t="s">
        <v>91</v>
      </c>
      <c r="BR1132" s="2" t="s">
        <v>83</v>
      </c>
      <c r="BS1132" s="3">
        <v>42657</v>
      </c>
      <c r="BT1132" s="4">
        <v>0.41666666666666669</v>
      </c>
      <c r="BU1132" s="2" t="s">
        <v>84</v>
      </c>
      <c r="BV1132" s="2" t="s">
        <v>85</v>
      </c>
      <c r="BW1132" s="2"/>
      <c r="BX1132" s="2"/>
      <c r="BY1132" s="2">
        <v>8375.81</v>
      </c>
      <c r="BZ1132" s="2"/>
      <c r="CA1132" s="2"/>
      <c r="CB1132" s="2"/>
      <c r="CC1132" s="2" t="s">
        <v>1123</v>
      </c>
      <c r="CD1132" s="2">
        <v>1911</v>
      </c>
      <c r="CE1132" s="2" t="s">
        <v>368</v>
      </c>
      <c r="CF1132" s="5">
        <v>42661</v>
      </c>
      <c r="CG1132" s="2"/>
      <c r="CH1132" s="2"/>
      <c r="CI1132" s="2">
        <v>1</v>
      </c>
      <c r="CJ1132" s="2">
        <v>1</v>
      </c>
      <c r="CK1132" s="2">
        <v>21</v>
      </c>
      <c r="CL1132" s="2" t="s">
        <v>88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"FES1162506470"</f>
        <v>FES1162506470</v>
      </c>
      <c r="F1133" s="3">
        <v>42656</v>
      </c>
      <c r="G1133" s="2">
        <v>201704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160</v>
      </c>
      <c r="M1133" s="2" t="s">
        <v>161</v>
      </c>
      <c r="N1133" s="2" t="s">
        <v>1506</v>
      </c>
      <c r="O1133" s="2" t="s">
        <v>96</v>
      </c>
      <c r="P1133" s="2" t="str">
        <f>"2170529942                    "</f>
        <v xml:space="preserve">2170529942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3.32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0.5</v>
      </c>
      <c r="BJ1133" s="2">
        <v>0.2</v>
      </c>
      <c r="BK1133" s="2">
        <v>0.5</v>
      </c>
      <c r="BL1133" s="2">
        <v>40.76</v>
      </c>
      <c r="BM1133" s="2">
        <v>5.71</v>
      </c>
      <c r="BN1133" s="2">
        <v>46.47</v>
      </c>
      <c r="BO1133" s="2">
        <v>46.47</v>
      </c>
      <c r="BP1133" s="2"/>
      <c r="BQ1133" s="2" t="s">
        <v>1507</v>
      </c>
      <c r="BR1133" s="2" t="s">
        <v>83</v>
      </c>
      <c r="BS1133" s="3">
        <v>42657</v>
      </c>
      <c r="BT1133" s="4">
        <v>0.4597222222222222</v>
      </c>
      <c r="BU1133" s="2" t="s">
        <v>1508</v>
      </c>
      <c r="BV1133" s="2" t="s">
        <v>88</v>
      </c>
      <c r="BW1133" s="2" t="s">
        <v>222</v>
      </c>
      <c r="BX1133" s="2" t="s">
        <v>356</v>
      </c>
      <c r="BY1133" s="2">
        <v>1200</v>
      </c>
      <c r="BZ1133" s="2"/>
      <c r="CA1133" s="2"/>
      <c r="CB1133" s="2"/>
      <c r="CC1133" s="2" t="s">
        <v>161</v>
      </c>
      <c r="CD1133" s="2">
        <v>7530</v>
      </c>
      <c r="CE1133" s="2" t="s">
        <v>108</v>
      </c>
      <c r="CF1133" s="5">
        <v>42657</v>
      </c>
      <c r="CG1133" s="2"/>
      <c r="CH1133" s="2"/>
      <c r="CI1133" s="2">
        <v>1</v>
      </c>
      <c r="CJ1133" s="2">
        <v>1</v>
      </c>
      <c r="CK1133" s="2">
        <v>21</v>
      </c>
      <c r="CL1133" s="2" t="s">
        <v>88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"FES1162506477"</f>
        <v>FES1162506477</v>
      </c>
      <c r="F1134" s="3">
        <v>42656</v>
      </c>
      <c r="G1134" s="2">
        <v>201704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160</v>
      </c>
      <c r="M1134" s="2" t="s">
        <v>161</v>
      </c>
      <c r="N1134" s="2" t="s">
        <v>1018</v>
      </c>
      <c r="O1134" s="2" t="s">
        <v>96</v>
      </c>
      <c r="P1134" s="2" t="str">
        <f>"2170529950                    "</f>
        <v xml:space="preserve">2170529950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3.32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0.5</v>
      </c>
      <c r="BJ1134" s="2">
        <v>0.2</v>
      </c>
      <c r="BK1134" s="2">
        <v>0.5</v>
      </c>
      <c r="BL1134" s="2">
        <v>40.76</v>
      </c>
      <c r="BM1134" s="2">
        <v>5.71</v>
      </c>
      <c r="BN1134" s="2">
        <v>46.47</v>
      </c>
      <c r="BO1134" s="2">
        <v>46.47</v>
      </c>
      <c r="BP1134" s="2"/>
      <c r="BQ1134" s="2" t="s">
        <v>1093</v>
      </c>
      <c r="BR1134" s="2" t="s">
        <v>83</v>
      </c>
      <c r="BS1134" s="3">
        <v>42657</v>
      </c>
      <c r="BT1134" s="4">
        <v>0.42152777777777778</v>
      </c>
      <c r="BU1134" s="2" t="s">
        <v>1509</v>
      </c>
      <c r="BV1134" s="2" t="s">
        <v>85</v>
      </c>
      <c r="BW1134" s="2"/>
      <c r="BX1134" s="2"/>
      <c r="BY1134" s="2">
        <v>1200</v>
      </c>
      <c r="BZ1134" s="2"/>
      <c r="CA1134" s="2"/>
      <c r="CB1134" s="2"/>
      <c r="CC1134" s="2" t="s">
        <v>161</v>
      </c>
      <c r="CD1134" s="2">
        <v>7800</v>
      </c>
      <c r="CE1134" s="2" t="s">
        <v>108</v>
      </c>
      <c r="CF1134" s="5">
        <v>42660</v>
      </c>
      <c r="CG1134" s="2"/>
      <c r="CH1134" s="2"/>
      <c r="CI1134" s="2">
        <v>1</v>
      </c>
      <c r="CJ1134" s="2">
        <v>1</v>
      </c>
      <c r="CK1134" s="2">
        <v>21</v>
      </c>
      <c r="CL1134" s="2" t="s">
        <v>88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"FES1162505491"</f>
        <v>FES1162505491</v>
      </c>
      <c r="F1135" s="3">
        <v>42656</v>
      </c>
      <c r="G1135" s="2">
        <v>201704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160</v>
      </c>
      <c r="M1135" s="2" t="s">
        <v>161</v>
      </c>
      <c r="N1135" s="2" t="s">
        <v>1510</v>
      </c>
      <c r="O1135" s="2" t="s">
        <v>96</v>
      </c>
      <c r="P1135" s="2" t="str">
        <f>"2170529139                    "</f>
        <v xml:space="preserve">2170529139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3.32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0.5</v>
      </c>
      <c r="BJ1135" s="2">
        <v>0.2</v>
      </c>
      <c r="BK1135" s="2">
        <v>0.5</v>
      </c>
      <c r="BL1135" s="2">
        <v>40.76</v>
      </c>
      <c r="BM1135" s="2">
        <v>5.71</v>
      </c>
      <c r="BN1135" s="2">
        <v>46.47</v>
      </c>
      <c r="BO1135" s="2">
        <v>46.47</v>
      </c>
      <c r="BP1135" s="2"/>
      <c r="BQ1135" s="2" t="s">
        <v>168</v>
      </c>
      <c r="BR1135" s="2" t="s">
        <v>83</v>
      </c>
      <c r="BS1135" s="3">
        <v>42657</v>
      </c>
      <c r="BT1135" s="4">
        <v>0.40833333333333338</v>
      </c>
      <c r="BU1135" s="2" t="s">
        <v>1511</v>
      </c>
      <c r="BV1135" s="2" t="s">
        <v>85</v>
      </c>
      <c r="BW1135" s="2"/>
      <c r="BX1135" s="2"/>
      <c r="BY1135" s="2">
        <v>1200</v>
      </c>
      <c r="BZ1135" s="2"/>
      <c r="CA1135" s="2" t="s">
        <v>625</v>
      </c>
      <c r="CB1135" s="2"/>
      <c r="CC1135" s="2" t="s">
        <v>161</v>
      </c>
      <c r="CD1135" s="2">
        <v>7500</v>
      </c>
      <c r="CE1135" s="2" t="s">
        <v>108</v>
      </c>
      <c r="CF1135" s="5">
        <v>42657</v>
      </c>
      <c r="CG1135" s="2"/>
      <c r="CH1135" s="2"/>
      <c r="CI1135" s="2">
        <v>1</v>
      </c>
      <c r="CJ1135" s="2">
        <v>1</v>
      </c>
      <c r="CK1135" s="2">
        <v>21</v>
      </c>
      <c r="CL1135" s="2" t="s">
        <v>88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"FES1162506621"</f>
        <v>FES1162506621</v>
      </c>
      <c r="F1136" s="3">
        <v>42656</v>
      </c>
      <c r="G1136" s="2">
        <v>201704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98</v>
      </c>
      <c r="M1136" s="2" t="s">
        <v>99</v>
      </c>
      <c r="N1136" s="2" t="s">
        <v>1512</v>
      </c>
      <c r="O1136" s="2" t="s">
        <v>96</v>
      </c>
      <c r="P1136" s="2" t="str">
        <f>"21705030131                   "</f>
        <v xml:space="preserve">21705030131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15.76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9.1</v>
      </c>
      <c r="BJ1136" s="2">
        <v>9.1</v>
      </c>
      <c r="BK1136" s="2">
        <v>9.5</v>
      </c>
      <c r="BL1136" s="2">
        <v>193.6</v>
      </c>
      <c r="BM1136" s="2">
        <v>27.1</v>
      </c>
      <c r="BN1136" s="2">
        <v>220.7</v>
      </c>
      <c r="BO1136" s="2">
        <v>220.7</v>
      </c>
      <c r="BP1136" s="2"/>
      <c r="BQ1136" s="2"/>
      <c r="BR1136" s="2" t="s">
        <v>83</v>
      </c>
      <c r="BS1136" s="3">
        <v>42657</v>
      </c>
      <c r="BT1136" s="4">
        <v>0.41666666666666669</v>
      </c>
      <c r="BU1136" s="2" t="s">
        <v>813</v>
      </c>
      <c r="BV1136" s="2" t="s">
        <v>85</v>
      </c>
      <c r="BW1136" s="2"/>
      <c r="BX1136" s="2"/>
      <c r="BY1136" s="2">
        <v>45731.4</v>
      </c>
      <c r="BZ1136" s="2"/>
      <c r="CA1136" s="2" t="s">
        <v>437</v>
      </c>
      <c r="CB1136" s="2"/>
      <c r="CC1136" s="2" t="s">
        <v>99</v>
      </c>
      <c r="CD1136" s="2">
        <v>6014</v>
      </c>
      <c r="CE1136" s="2" t="s">
        <v>86</v>
      </c>
      <c r="CF1136" s="5">
        <v>42657</v>
      </c>
      <c r="CG1136" s="2"/>
      <c r="CH1136" s="2"/>
      <c r="CI1136" s="2">
        <v>1</v>
      </c>
      <c r="CJ1136" s="2">
        <v>1</v>
      </c>
      <c r="CK1136" s="2">
        <v>21</v>
      </c>
      <c r="CL1136" s="2" t="s">
        <v>88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"FES1162506567"</f>
        <v>FES1162506567</v>
      </c>
      <c r="F1137" s="3">
        <v>42656</v>
      </c>
      <c r="G1137" s="2">
        <v>201704</v>
      </c>
      <c r="H1137" s="2" t="s">
        <v>74</v>
      </c>
      <c r="I1137" s="2" t="s">
        <v>75</v>
      </c>
      <c r="J1137" s="2" t="s">
        <v>76</v>
      </c>
      <c r="K1137" s="2" t="s">
        <v>77</v>
      </c>
      <c r="L1137" s="2" t="s">
        <v>160</v>
      </c>
      <c r="M1137" s="2" t="s">
        <v>161</v>
      </c>
      <c r="N1137" s="2" t="s">
        <v>1457</v>
      </c>
      <c r="O1137" s="2" t="s">
        <v>96</v>
      </c>
      <c r="P1137" s="2" t="str">
        <f>"2170529764                    "</f>
        <v xml:space="preserve">2170529764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9.9499999999999993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6</v>
      </c>
      <c r="BJ1137" s="2">
        <v>2</v>
      </c>
      <c r="BK1137" s="2">
        <v>6</v>
      </c>
      <c r="BL1137" s="2">
        <v>122.27</v>
      </c>
      <c r="BM1137" s="2">
        <v>17.12</v>
      </c>
      <c r="BN1137" s="2">
        <v>139.38999999999999</v>
      </c>
      <c r="BO1137" s="2">
        <v>139.38999999999999</v>
      </c>
      <c r="BP1137" s="2"/>
      <c r="BQ1137" s="2" t="s">
        <v>1458</v>
      </c>
      <c r="BR1137" s="2" t="s">
        <v>83</v>
      </c>
      <c r="BS1137" s="3">
        <v>42657</v>
      </c>
      <c r="BT1137" s="4">
        <v>0.41666666666666669</v>
      </c>
      <c r="BU1137" s="2" t="s">
        <v>1513</v>
      </c>
      <c r="BV1137" s="2" t="s">
        <v>85</v>
      </c>
      <c r="BW1137" s="2"/>
      <c r="BX1137" s="2"/>
      <c r="BY1137" s="2">
        <v>10140</v>
      </c>
      <c r="BZ1137" s="2"/>
      <c r="CA1137" s="2"/>
      <c r="CB1137" s="2"/>
      <c r="CC1137" s="2" t="s">
        <v>161</v>
      </c>
      <c r="CD1137" s="2">
        <v>7441</v>
      </c>
      <c r="CE1137" s="2" t="s">
        <v>86</v>
      </c>
      <c r="CF1137" s="5">
        <v>42660</v>
      </c>
      <c r="CG1137" s="2"/>
      <c r="CH1137" s="2"/>
      <c r="CI1137" s="2">
        <v>1</v>
      </c>
      <c r="CJ1137" s="2">
        <v>1</v>
      </c>
      <c r="CK1137" s="2">
        <v>21</v>
      </c>
      <c r="CL1137" s="2" t="s">
        <v>88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"FES1162506584"</f>
        <v>FES1162506584</v>
      </c>
      <c r="F1138" s="3">
        <v>42656</v>
      </c>
      <c r="G1138" s="2">
        <v>201704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160</v>
      </c>
      <c r="M1138" s="2" t="s">
        <v>161</v>
      </c>
      <c r="N1138" s="2" t="s">
        <v>411</v>
      </c>
      <c r="O1138" s="2" t="s">
        <v>96</v>
      </c>
      <c r="P1138" s="2" t="str">
        <f>"2170530084                    "</f>
        <v xml:space="preserve">2170530084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3.32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1</v>
      </c>
      <c r="BJ1138" s="2">
        <v>0.2</v>
      </c>
      <c r="BK1138" s="2">
        <v>1</v>
      </c>
      <c r="BL1138" s="2">
        <v>40.76</v>
      </c>
      <c r="BM1138" s="2">
        <v>5.71</v>
      </c>
      <c r="BN1138" s="2">
        <v>46.47</v>
      </c>
      <c r="BO1138" s="2">
        <v>46.47</v>
      </c>
      <c r="BP1138" s="2"/>
      <c r="BQ1138" s="2" t="s">
        <v>412</v>
      </c>
      <c r="BR1138" s="2" t="s">
        <v>83</v>
      </c>
      <c r="BS1138" s="3">
        <v>42657</v>
      </c>
      <c r="BT1138" s="4">
        <v>0.45833333333333331</v>
      </c>
      <c r="BU1138" s="2" t="s">
        <v>1514</v>
      </c>
      <c r="BV1138" s="2" t="s">
        <v>85</v>
      </c>
      <c r="BW1138" s="2"/>
      <c r="BX1138" s="2"/>
      <c r="BY1138" s="2">
        <v>1200</v>
      </c>
      <c r="BZ1138" s="2"/>
      <c r="CA1138" s="2"/>
      <c r="CB1138" s="2"/>
      <c r="CC1138" s="2" t="s">
        <v>161</v>
      </c>
      <c r="CD1138" s="2">
        <v>7945</v>
      </c>
      <c r="CE1138" s="2" t="s">
        <v>108</v>
      </c>
      <c r="CF1138" s="5">
        <v>42660</v>
      </c>
      <c r="CG1138" s="2"/>
      <c r="CH1138" s="2"/>
      <c r="CI1138" s="2">
        <v>1</v>
      </c>
      <c r="CJ1138" s="2">
        <v>1</v>
      </c>
      <c r="CK1138" s="2">
        <v>21</v>
      </c>
      <c r="CL1138" s="2" t="s">
        <v>88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"FES1162506593"</f>
        <v>FES1162506593</v>
      </c>
      <c r="F1139" s="3">
        <v>42656</v>
      </c>
      <c r="G1139" s="2">
        <v>201704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98</v>
      </c>
      <c r="M1139" s="2" t="s">
        <v>99</v>
      </c>
      <c r="N1139" s="2" t="s">
        <v>133</v>
      </c>
      <c r="O1139" s="2" t="s">
        <v>96</v>
      </c>
      <c r="P1139" s="2" t="str">
        <f>"2170530101                    "</f>
        <v xml:space="preserve">2170530101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3.32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1</v>
      </c>
      <c r="BJ1139" s="2">
        <v>0.2</v>
      </c>
      <c r="BK1139" s="2">
        <v>1</v>
      </c>
      <c r="BL1139" s="2">
        <v>40.76</v>
      </c>
      <c r="BM1139" s="2">
        <v>5.71</v>
      </c>
      <c r="BN1139" s="2">
        <v>46.47</v>
      </c>
      <c r="BO1139" s="2">
        <v>46.47</v>
      </c>
      <c r="BP1139" s="2"/>
      <c r="BQ1139" s="2" t="s">
        <v>134</v>
      </c>
      <c r="BR1139" s="2" t="s">
        <v>83</v>
      </c>
      <c r="BS1139" s="3">
        <v>42657</v>
      </c>
      <c r="BT1139" s="4">
        <v>0.30972222222222223</v>
      </c>
      <c r="BU1139" s="2" t="s">
        <v>562</v>
      </c>
      <c r="BV1139" s="2" t="s">
        <v>85</v>
      </c>
      <c r="BW1139" s="2"/>
      <c r="BX1139" s="2"/>
      <c r="BY1139" s="2">
        <v>1200</v>
      </c>
      <c r="BZ1139" s="2"/>
      <c r="CA1139" s="2" t="s">
        <v>437</v>
      </c>
      <c r="CB1139" s="2"/>
      <c r="CC1139" s="2" t="s">
        <v>99</v>
      </c>
      <c r="CD1139" s="2">
        <v>6001</v>
      </c>
      <c r="CE1139" s="2" t="s">
        <v>108</v>
      </c>
      <c r="CF1139" s="5">
        <v>42657</v>
      </c>
      <c r="CG1139" s="2"/>
      <c r="CH1139" s="2"/>
      <c r="CI1139" s="2">
        <v>1</v>
      </c>
      <c r="CJ1139" s="2">
        <v>1</v>
      </c>
      <c r="CK1139" s="2">
        <v>21</v>
      </c>
      <c r="CL1139" s="2" t="s">
        <v>88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"FES1162506539"</f>
        <v>FES1162506539</v>
      </c>
      <c r="F1140" s="3">
        <v>42656</v>
      </c>
      <c r="G1140" s="2">
        <v>201704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269</v>
      </c>
      <c r="M1140" s="2" t="s">
        <v>270</v>
      </c>
      <c r="N1140" s="2" t="s">
        <v>284</v>
      </c>
      <c r="O1140" s="2" t="s">
        <v>96</v>
      </c>
      <c r="P1140" s="2" t="str">
        <f>"2170530024                    "</f>
        <v xml:space="preserve">2170530024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5.81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3.1</v>
      </c>
      <c r="BJ1140" s="2">
        <v>1.7</v>
      </c>
      <c r="BK1140" s="2">
        <v>3.5</v>
      </c>
      <c r="BL1140" s="2">
        <v>71.33</v>
      </c>
      <c r="BM1140" s="2">
        <v>9.99</v>
      </c>
      <c r="BN1140" s="2">
        <v>81.319999999999993</v>
      </c>
      <c r="BO1140" s="2">
        <v>81.319999999999993</v>
      </c>
      <c r="BP1140" s="2"/>
      <c r="BQ1140" s="2" t="s">
        <v>117</v>
      </c>
      <c r="BR1140" s="2" t="s">
        <v>83</v>
      </c>
      <c r="BS1140" s="3">
        <v>42657</v>
      </c>
      <c r="BT1140" s="4">
        <v>0.43124999999999997</v>
      </c>
      <c r="BU1140" s="2" t="s">
        <v>1515</v>
      </c>
      <c r="BV1140" s="2" t="s">
        <v>85</v>
      </c>
      <c r="BW1140" s="2"/>
      <c r="BX1140" s="2"/>
      <c r="BY1140" s="2">
        <v>8590.19</v>
      </c>
      <c r="BZ1140" s="2"/>
      <c r="CA1140" s="2"/>
      <c r="CB1140" s="2"/>
      <c r="CC1140" s="2" t="s">
        <v>270</v>
      </c>
      <c r="CD1140" s="2">
        <v>3610</v>
      </c>
      <c r="CE1140" s="2" t="s">
        <v>86</v>
      </c>
      <c r="CF1140" s="5">
        <v>42660</v>
      </c>
      <c r="CG1140" s="2"/>
      <c r="CH1140" s="2"/>
      <c r="CI1140" s="2">
        <v>1</v>
      </c>
      <c r="CJ1140" s="2">
        <v>1</v>
      </c>
      <c r="CK1140" s="2">
        <v>21</v>
      </c>
      <c r="CL1140" s="2" t="s">
        <v>88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"FES1162506606"</f>
        <v>FES1162506606</v>
      </c>
      <c r="F1141" s="3">
        <v>42656</v>
      </c>
      <c r="G1141" s="2">
        <v>201704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153</v>
      </c>
      <c r="M1141" s="2" t="s">
        <v>153</v>
      </c>
      <c r="N1141" s="2" t="s">
        <v>501</v>
      </c>
      <c r="O1141" s="2" t="s">
        <v>96</v>
      </c>
      <c r="P1141" s="2" t="str">
        <f>"2170529948                    "</f>
        <v xml:space="preserve">2170529948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3.32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0.2</v>
      </c>
      <c r="BK1141" s="2">
        <v>1</v>
      </c>
      <c r="BL1141" s="2">
        <v>40.76</v>
      </c>
      <c r="BM1141" s="2">
        <v>5.71</v>
      </c>
      <c r="BN1141" s="2">
        <v>46.47</v>
      </c>
      <c r="BO1141" s="2">
        <v>46.47</v>
      </c>
      <c r="BP1141" s="2"/>
      <c r="BQ1141" s="2" t="s">
        <v>82</v>
      </c>
      <c r="BR1141" s="2" t="s">
        <v>83</v>
      </c>
      <c r="BS1141" s="3">
        <v>42657</v>
      </c>
      <c r="BT1141" s="4">
        <v>0.41666666666666669</v>
      </c>
      <c r="BU1141" s="2" t="s">
        <v>1486</v>
      </c>
      <c r="BV1141" s="2" t="s">
        <v>85</v>
      </c>
      <c r="BW1141" s="2"/>
      <c r="BX1141" s="2"/>
      <c r="BY1141" s="2">
        <v>1200</v>
      </c>
      <c r="BZ1141" s="2"/>
      <c r="CA1141" s="2"/>
      <c r="CB1141" s="2"/>
      <c r="CC1141" s="2" t="s">
        <v>153</v>
      </c>
      <c r="CD1141" s="2">
        <v>7620</v>
      </c>
      <c r="CE1141" s="2" t="s">
        <v>108</v>
      </c>
      <c r="CF1141" s="5">
        <v>42660</v>
      </c>
      <c r="CG1141" s="2"/>
      <c r="CH1141" s="2"/>
      <c r="CI1141" s="2">
        <v>1</v>
      </c>
      <c r="CJ1141" s="2">
        <v>1</v>
      </c>
      <c r="CK1141" s="2">
        <v>21</v>
      </c>
      <c r="CL1141" s="2" t="s">
        <v>88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"FES1162506639"</f>
        <v>FES1162506639</v>
      </c>
      <c r="F1142" s="3">
        <v>42656</v>
      </c>
      <c r="G1142" s="2">
        <v>201704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510</v>
      </c>
      <c r="M1142" s="2" t="s">
        <v>511</v>
      </c>
      <c r="N1142" s="2" t="s">
        <v>1495</v>
      </c>
      <c r="O1142" s="2" t="s">
        <v>96</v>
      </c>
      <c r="P1142" s="2" t="str">
        <f>"2170530148                    "</f>
        <v xml:space="preserve">2170530148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3.32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</v>
      </c>
      <c r="BJ1142" s="2">
        <v>0.2</v>
      </c>
      <c r="BK1142" s="2">
        <v>1</v>
      </c>
      <c r="BL1142" s="2">
        <v>40.76</v>
      </c>
      <c r="BM1142" s="2">
        <v>5.71</v>
      </c>
      <c r="BN1142" s="2">
        <v>46.47</v>
      </c>
      <c r="BO1142" s="2">
        <v>46.47</v>
      </c>
      <c r="BP1142" s="2"/>
      <c r="BQ1142" s="2" t="s">
        <v>82</v>
      </c>
      <c r="BR1142" s="2" t="s">
        <v>83</v>
      </c>
      <c r="BS1142" s="3">
        <v>42657</v>
      </c>
      <c r="BT1142" s="4">
        <v>0.5</v>
      </c>
      <c r="BU1142" s="2" t="s">
        <v>1000</v>
      </c>
      <c r="BV1142" s="2" t="s">
        <v>85</v>
      </c>
      <c r="BW1142" s="2"/>
      <c r="BX1142" s="2"/>
      <c r="BY1142" s="2">
        <v>1200</v>
      </c>
      <c r="BZ1142" s="2"/>
      <c r="CA1142" s="2"/>
      <c r="CB1142" s="2"/>
      <c r="CC1142" s="2" t="s">
        <v>511</v>
      </c>
      <c r="CD1142" s="2">
        <v>3280</v>
      </c>
      <c r="CE1142" s="2" t="s">
        <v>108</v>
      </c>
      <c r="CF1142" s="5">
        <v>42660</v>
      </c>
      <c r="CG1142" s="2"/>
      <c r="CH1142" s="2"/>
      <c r="CI1142" s="2">
        <v>1</v>
      </c>
      <c r="CJ1142" s="2">
        <v>1</v>
      </c>
      <c r="CK1142" s="2">
        <v>21</v>
      </c>
      <c r="CL1142" s="2" t="s">
        <v>88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"FES1162506610"</f>
        <v>FES1162506610</v>
      </c>
      <c r="F1143" s="3">
        <v>42656</v>
      </c>
      <c r="G1143" s="2">
        <v>201704</v>
      </c>
      <c r="H1143" s="2" t="s">
        <v>74</v>
      </c>
      <c r="I1143" s="2" t="s">
        <v>75</v>
      </c>
      <c r="J1143" s="2" t="s">
        <v>76</v>
      </c>
      <c r="K1143" s="2" t="s">
        <v>77</v>
      </c>
      <c r="L1143" s="2" t="s">
        <v>137</v>
      </c>
      <c r="M1143" s="2" t="s">
        <v>138</v>
      </c>
      <c r="N1143" s="2" t="s">
        <v>167</v>
      </c>
      <c r="O1143" s="2" t="s">
        <v>96</v>
      </c>
      <c r="P1143" s="2" t="str">
        <f>"2170530114                    "</f>
        <v xml:space="preserve">2170530114 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3.32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0.5</v>
      </c>
      <c r="BJ1143" s="2">
        <v>0.2</v>
      </c>
      <c r="BK1143" s="2">
        <v>0.5</v>
      </c>
      <c r="BL1143" s="2">
        <v>40.76</v>
      </c>
      <c r="BM1143" s="2">
        <v>5.71</v>
      </c>
      <c r="BN1143" s="2">
        <v>46.47</v>
      </c>
      <c r="BO1143" s="2">
        <v>46.47</v>
      </c>
      <c r="BP1143" s="2"/>
      <c r="BQ1143" s="2" t="s">
        <v>168</v>
      </c>
      <c r="BR1143" s="2" t="s">
        <v>83</v>
      </c>
      <c r="BS1143" s="3">
        <v>42657</v>
      </c>
      <c r="BT1143" s="4">
        <v>0.38611111111111113</v>
      </c>
      <c r="BU1143" s="2" t="s">
        <v>1516</v>
      </c>
      <c r="BV1143" s="2" t="s">
        <v>85</v>
      </c>
      <c r="BW1143" s="2"/>
      <c r="BX1143" s="2"/>
      <c r="BY1143" s="2">
        <v>1200</v>
      </c>
      <c r="BZ1143" s="2"/>
      <c r="CA1143" s="2" t="s">
        <v>170</v>
      </c>
      <c r="CB1143" s="2"/>
      <c r="CC1143" s="2" t="s">
        <v>138</v>
      </c>
      <c r="CD1143" s="2">
        <v>3201</v>
      </c>
      <c r="CE1143" s="2" t="s">
        <v>108</v>
      </c>
      <c r="CF1143" s="5">
        <v>42657</v>
      </c>
      <c r="CG1143" s="2"/>
      <c r="CH1143" s="2"/>
      <c r="CI1143" s="2">
        <v>1</v>
      </c>
      <c r="CJ1143" s="2">
        <v>1</v>
      </c>
      <c r="CK1143" s="2">
        <v>21</v>
      </c>
      <c r="CL1143" s="2" t="s">
        <v>88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"FES1162506651"</f>
        <v>FES1162506651</v>
      </c>
      <c r="F1144" s="3">
        <v>42656</v>
      </c>
      <c r="G1144" s="2">
        <v>201704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119</v>
      </c>
      <c r="M1144" s="2" t="s">
        <v>120</v>
      </c>
      <c r="N1144" s="2" t="s">
        <v>1517</v>
      </c>
      <c r="O1144" s="2" t="s">
        <v>96</v>
      </c>
      <c r="P1144" s="2" t="str">
        <f>"2170530161                    "</f>
        <v xml:space="preserve">2170530161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3.32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0.5</v>
      </c>
      <c r="BJ1144" s="2">
        <v>0.2</v>
      </c>
      <c r="BK1144" s="2">
        <v>0.5</v>
      </c>
      <c r="BL1144" s="2">
        <v>40.76</v>
      </c>
      <c r="BM1144" s="2">
        <v>5.71</v>
      </c>
      <c r="BN1144" s="2">
        <v>46.47</v>
      </c>
      <c r="BO1144" s="2">
        <v>46.47</v>
      </c>
      <c r="BP1144" s="2"/>
      <c r="BQ1144" s="2" t="s">
        <v>1518</v>
      </c>
      <c r="BR1144" s="2" t="s">
        <v>83</v>
      </c>
      <c r="BS1144" s="3">
        <v>42657</v>
      </c>
      <c r="BT1144" s="4">
        <v>0.40763888888888888</v>
      </c>
      <c r="BU1144" s="2" t="s">
        <v>1519</v>
      </c>
      <c r="BV1144" s="2" t="s">
        <v>85</v>
      </c>
      <c r="BW1144" s="2"/>
      <c r="BX1144" s="2"/>
      <c r="BY1144" s="2">
        <v>1200</v>
      </c>
      <c r="BZ1144" s="2"/>
      <c r="CA1144" s="2"/>
      <c r="CB1144" s="2"/>
      <c r="CC1144" s="2" t="s">
        <v>120</v>
      </c>
      <c r="CD1144" s="2">
        <v>6229</v>
      </c>
      <c r="CE1144" s="2" t="s">
        <v>108</v>
      </c>
      <c r="CF1144" s="5">
        <v>42660</v>
      </c>
      <c r="CG1144" s="2"/>
      <c r="CH1144" s="2"/>
      <c r="CI1144" s="2">
        <v>1</v>
      </c>
      <c r="CJ1144" s="2">
        <v>1</v>
      </c>
      <c r="CK1144" s="2">
        <v>21</v>
      </c>
      <c r="CL1144" s="2" t="s">
        <v>88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"FES1162506541"</f>
        <v>FES1162506541</v>
      </c>
      <c r="F1145" s="3">
        <v>42656</v>
      </c>
      <c r="G1145" s="2">
        <v>201704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377</v>
      </c>
      <c r="M1145" s="2" t="s">
        <v>378</v>
      </c>
      <c r="N1145" s="2" t="s">
        <v>379</v>
      </c>
      <c r="O1145" s="2" t="s">
        <v>96</v>
      </c>
      <c r="P1145" s="2" t="str">
        <f>"2170530029                    "</f>
        <v xml:space="preserve">2170530029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3.32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1.5</v>
      </c>
      <c r="BJ1145" s="2">
        <v>0.2</v>
      </c>
      <c r="BK1145" s="2">
        <v>1.5</v>
      </c>
      <c r="BL1145" s="2">
        <v>40.76</v>
      </c>
      <c r="BM1145" s="2">
        <v>5.71</v>
      </c>
      <c r="BN1145" s="2">
        <v>46.47</v>
      </c>
      <c r="BO1145" s="2">
        <v>46.47</v>
      </c>
      <c r="BP1145" s="2"/>
      <c r="BQ1145" s="2" t="s">
        <v>382</v>
      </c>
      <c r="BR1145" s="2" t="s">
        <v>83</v>
      </c>
      <c r="BS1145" s="3">
        <v>42657</v>
      </c>
      <c r="BT1145" s="4">
        <v>0.3923611111111111</v>
      </c>
      <c r="BU1145" s="2" t="s">
        <v>1520</v>
      </c>
      <c r="BV1145" s="2" t="s">
        <v>85</v>
      </c>
      <c r="BW1145" s="2"/>
      <c r="BX1145" s="2"/>
      <c r="BY1145" s="2">
        <v>1200</v>
      </c>
      <c r="BZ1145" s="2"/>
      <c r="CA1145" s="2" t="s">
        <v>1521</v>
      </c>
      <c r="CB1145" s="2"/>
      <c r="CC1145" s="2" t="s">
        <v>378</v>
      </c>
      <c r="CD1145" s="2">
        <v>6536</v>
      </c>
      <c r="CE1145" s="2" t="s">
        <v>108</v>
      </c>
      <c r="CF1145" s="5">
        <v>42657</v>
      </c>
      <c r="CG1145" s="2"/>
      <c r="CH1145" s="2"/>
      <c r="CI1145" s="2">
        <v>1</v>
      </c>
      <c r="CJ1145" s="2">
        <v>1</v>
      </c>
      <c r="CK1145" s="2">
        <v>21</v>
      </c>
      <c r="CL1145" s="2" t="s">
        <v>88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"FES1162506569"</f>
        <v>FES1162506569</v>
      </c>
      <c r="F1146" s="3">
        <v>42656</v>
      </c>
      <c r="G1146" s="2">
        <v>201704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160</v>
      </c>
      <c r="M1146" s="2" t="s">
        <v>161</v>
      </c>
      <c r="N1146" s="2" t="s">
        <v>455</v>
      </c>
      <c r="O1146" s="2" t="s">
        <v>96</v>
      </c>
      <c r="P1146" s="2" t="str">
        <f>"2170530059                    "</f>
        <v xml:space="preserve">2170530059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9.9499999999999993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3.9</v>
      </c>
      <c r="BJ1146" s="2">
        <v>5.9</v>
      </c>
      <c r="BK1146" s="2">
        <v>6</v>
      </c>
      <c r="BL1146" s="2">
        <v>122.27</v>
      </c>
      <c r="BM1146" s="2">
        <v>17.12</v>
      </c>
      <c r="BN1146" s="2">
        <v>139.38999999999999</v>
      </c>
      <c r="BO1146" s="2">
        <v>139.38999999999999</v>
      </c>
      <c r="BP1146" s="2"/>
      <c r="BQ1146" s="2" t="s">
        <v>82</v>
      </c>
      <c r="BR1146" s="2" t="s">
        <v>83</v>
      </c>
      <c r="BS1146" s="3">
        <v>42657</v>
      </c>
      <c r="BT1146" s="4">
        <v>0.3611111111111111</v>
      </c>
      <c r="BU1146" s="2" t="s">
        <v>1522</v>
      </c>
      <c r="BV1146" s="2" t="s">
        <v>85</v>
      </c>
      <c r="BW1146" s="2"/>
      <c r="BX1146" s="2"/>
      <c r="BY1146" s="2">
        <v>29625.75</v>
      </c>
      <c r="BZ1146" s="2"/>
      <c r="CA1146" s="2" t="s">
        <v>229</v>
      </c>
      <c r="CB1146" s="2"/>
      <c r="CC1146" s="2" t="s">
        <v>161</v>
      </c>
      <c r="CD1146" s="2">
        <v>7460</v>
      </c>
      <c r="CE1146" s="2" t="s">
        <v>86</v>
      </c>
      <c r="CF1146" s="5">
        <v>42657</v>
      </c>
      <c r="CG1146" s="2"/>
      <c r="CH1146" s="2"/>
      <c r="CI1146" s="2">
        <v>1</v>
      </c>
      <c r="CJ1146" s="2">
        <v>1</v>
      </c>
      <c r="CK1146" s="2">
        <v>21</v>
      </c>
      <c r="CL1146" s="2" t="s">
        <v>88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"FES1162506605"</f>
        <v>FES1162506605</v>
      </c>
      <c r="F1147" s="3">
        <v>42656</v>
      </c>
      <c r="G1147" s="2">
        <v>201704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160</v>
      </c>
      <c r="M1147" s="2" t="s">
        <v>161</v>
      </c>
      <c r="N1147" s="2" t="s">
        <v>1523</v>
      </c>
      <c r="O1147" s="2" t="s">
        <v>96</v>
      </c>
      <c r="P1147" s="2" t="str">
        <f>"2170527889                    "</f>
        <v xml:space="preserve">2170527889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3.32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0.5</v>
      </c>
      <c r="BJ1147" s="2">
        <v>0.2</v>
      </c>
      <c r="BK1147" s="2">
        <v>0.5</v>
      </c>
      <c r="BL1147" s="2">
        <v>40.76</v>
      </c>
      <c r="BM1147" s="2">
        <v>5.71</v>
      </c>
      <c r="BN1147" s="2">
        <v>46.47</v>
      </c>
      <c r="BO1147" s="2">
        <v>46.47</v>
      </c>
      <c r="BP1147" s="2"/>
      <c r="BQ1147" s="2" t="s">
        <v>91</v>
      </c>
      <c r="BR1147" s="2" t="s">
        <v>83</v>
      </c>
      <c r="BS1147" s="3">
        <v>42657</v>
      </c>
      <c r="BT1147" s="4">
        <v>0.40902777777777777</v>
      </c>
      <c r="BU1147" s="2" t="s">
        <v>1524</v>
      </c>
      <c r="BV1147" s="2" t="s">
        <v>85</v>
      </c>
      <c r="BW1147" s="2"/>
      <c r="BX1147" s="2"/>
      <c r="BY1147" s="2">
        <v>1200</v>
      </c>
      <c r="BZ1147" s="2"/>
      <c r="CA1147" s="2"/>
      <c r="CB1147" s="2"/>
      <c r="CC1147" s="2" t="s">
        <v>161</v>
      </c>
      <c r="CD1147" s="2">
        <v>7560</v>
      </c>
      <c r="CE1147" s="2" t="s">
        <v>108</v>
      </c>
      <c r="CF1147" s="5">
        <v>42660</v>
      </c>
      <c r="CG1147" s="2"/>
      <c r="CH1147" s="2"/>
      <c r="CI1147" s="2">
        <v>1</v>
      </c>
      <c r="CJ1147" s="2">
        <v>1</v>
      </c>
      <c r="CK1147" s="2">
        <v>21</v>
      </c>
      <c r="CL1147" s="2" t="s">
        <v>88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"FES1162506620"</f>
        <v>FES1162506620</v>
      </c>
      <c r="F1148" s="3">
        <v>42656</v>
      </c>
      <c r="G1148" s="2">
        <v>201704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98</v>
      </c>
      <c r="M1148" s="2" t="s">
        <v>99</v>
      </c>
      <c r="N1148" s="2" t="s">
        <v>104</v>
      </c>
      <c r="O1148" s="2" t="s">
        <v>96</v>
      </c>
      <c r="P1148" s="2" t="str">
        <f>"2170530128                    "</f>
        <v xml:space="preserve">2170530128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4.9800000000000004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1.8</v>
      </c>
      <c r="BJ1148" s="2">
        <v>2.6</v>
      </c>
      <c r="BK1148" s="2">
        <v>3</v>
      </c>
      <c r="BL1148" s="2">
        <v>61.14</v>
      </c>
      <c r="BM1148" s="2">
        <v>8.56</v>
      </c>
      <c r="BN1148" s="2">
        <v>69.7</v>
      </c>
      <c r="BO1148" s="2">
        <v>69.7</v>
      </c>
      <c r="BP1148" s="2"/>
      <c r="BQ1148" s="2" t="s">
        <v>105</v>
      </c>
      <c r="BR1148" s="2" t="s">
        <v>83</v>
      </c>
      <c r="BS1148" s="3">
        <v>42657</v>
      </c>
      <c r="BT1148" s="4">
        <v>0.42708333333333331</v>
      </c>
      <c r="BU1148" s="2" t="s">
        <v>106</v>
      </c>
      <c r="BV1148" s="2" t="s">
        <v>85</v>
      </c>
      <c r="BW1148" s="2"/>
      <c r="BX1148" s="2"/>
      <c r="BY1148" s="2">
        <v>12920.42</v>
      </c>
      <c r="BZ1148" s="2"/>
      <c r="CA1148" s="2" t="s">
        <v>107</v>
      </c>
      <c r="CB1148" s="2"/>
      <c r="CC1148" s="2" t="s">
        <v>99</v>
      </c>
      <c r="CD1148" s="2">
        <v>6001</v>
      </c>
      <c r="CE1148" s="2" t="s">
        <v>108</v>
      </c>
      <c r="CF1148" s="5">
        <v>42657</v>
      </c>
      <c r="CG1148" s="2"/>
      <c r="CH1148" s="2"/>
      <c r="CI1148" s="2">
        <v>1</v>
      </c>
      <c r="CJ1148" s="2">
        <v>1</v>
      </c>
      <c r="CK1148" s="2">
        <v>21</v>
      </c>
      <c r="CL1148" s="2" t="s">
        <v>88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"FES1162506609"</f>
        <v>FES1162506609</v>
      </c>
      <c r="F1149" s="3">
        <v>42656</v>
      </c>
      <c r="G1149" s="2">
        <v>201704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1525</v>
      </c>
      <c r="M1149" s="2" t="s">
        <v>1526</v>
      </c>
      <c r="N1149" s="2" t="s">
        <v>1527</v>
      </c>
      <c r="O1149" s="2" t="s">
        <v>96</v>
      </c>
      <c r="P1149" s="2" t="str">
        <f>"2170530113                    "</f>
        <v xml:space="preserve">2170530113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6.43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0.2</v>
      </c>
      <c r="BK1149" s="2">
        <v>1</v>
      </c>
      <c r="BL1149" s="2">
        <v>78.97</v>
      </c>
      <c r="BM1149" s="2">
        <v>11.06</v>
      </c>
      <c r="BN1149" s="2">
        <v>90.03</v>
      </c>
      <c r="BO1149" s="2">
        <v>90.03</v>
      </c>
      <c r="BP1149" s="2"/>
      <c r="BQ1149" s="2" t="s">
        <v>123</v>
      </c>
      <c r="BR1149" s="2" t="s">
        <v>83</v>
      </c>
      <c r="BS1149" s="3">
        <v>42657</v>
      </c>
      <c r="BT1149" s="4">
        <v>0.4375</v>
      </c>
      <c r="BU1149" s="2" t="s">
        <v>1528</v>
      </c>
      <c r="BV1149" s="2" t="s">
        <v>85</v>
      </c>
      <c r="BW1149" s="2"/>
      <c r="BX1149" s="2"/>
      <c r="BY1149" s="2">
        <v>1200</v>
      </c>
      <c r="BZ1149" s="2"/>
      <c r="CA1149" s="2"/>
      <c r="CB1149" s="2"/>
      <c r="CC1149" s="2" t="s">
        <v>1526</v>
      </c>
      <c r="CD1149" s="2">
        <v>4399</v>
      </c>
      <c r="CE1149" s="2" t="s">
        <v>108</v>
      </c>
      <c r="CF1149" s="5">
        <v>42660</v>
      </c>
      <c r="CG1149" s="2"/>
      <c r="CH1149" s="2"/>
      <c r="CI1149" s="2">
        <v>1</v>
      </c>
      <c r="CJ1149" s="2">
        <v>1</v>
      </c>
      <c r="CK1149" s="2">
        <v>23</v>
      </c>
      <c r="CL1149" s="2" t="s">
        <v>88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"FES1162506582"</f>
        <v>FES1162506582</v>
      </c>
      <c r="F1150" s="3">
        <v>42656</v>
      </c>
      <c r="G1150" s="2">
        <v>201704</v>
      </c>
      <c r="H1150" s="2" t="s">
        <v>74</v>
      </c>
      <c r="I1150" s="2" t="s">
        <v>75</v>
      </c>
      <c r="J1150" s="2" t="s">
        <v>76</v>
      </c>
      <c r="K1150" s="2" t="s">
        <v>77</v>
      </c>
      <c r="L1150" s="2" t="s">
        <v>269</v>
      </c>
      <c r="M1150" s="2" t="s">
        <v>270</v>
      </c>
      <c r="N1150" s="2" t="s">
        <v>299</v>
      </c>
      <c r="O1150" s="2" t="s">
        <v>96</v>
      </c>
      <c r="P1150" s="2" t="str">
        <f>"2170529763                    "</f>
        <v xml:space="preserve">2170529763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5.81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3.5</v>
      </c>
      <c r="BJ1150" s="2">
        <v>2</v>
      </c>
      <c r="BK1150" s="2">
        <v>3.5</v>
      </c>
      <c r="BL1150" s="2">
        <v>71.33</v>
      </c>
      <c r="BM1150" s="2">
        <v>9.99</v>
      </c>
      <c r="BN1150" s="2">
        <v>81.319999999999993</v>
      </c>
      <c r="BO1150" s="2">
        <v>81.319999999999993</v>
      </c>
      <c r="BP1150" s="2"/>
      <c r="BQ1150" s="2" t="s">
        <v>300</v>
      </c>
      <c r="BR1150" s="2" t="s">
        <v>83</v>
      </c>
      <c r="BS1150" s="3">
        <v>42657</v>
      </c>
      <c r="BT1150" s="4">
        <v>0.4375</v>
      </c>
      <c r="BU1150" s="2" t="s">
        <v>1529</v>
      </c>
      <c r="BV1150" s="2" t="s">
        <v>85</v>
      </c>
      <c r="BW1150" s="2"/>
      <c r="BX1150" s="2"/>
      <c r="BY1150" s="2">
        <v>9938.27</v>
      </c>
      <c r="BZ1150" s="2"/>
      <c r="CA1150" s="2" t="s">
        <v>129</v>
      </c>
      <c r="CB1150" s="2"/>
      <c r="CC1150" s="2" t="s">
        <v>270</v>
      </c>
      <c r="CD1150" s="2">
        <v>3610</v>
      </c>
      <c r="CE1150" s="2" t="s">
        <v>86</v>
      </c>
      <c r="CF1150" s="5">
        <v>42660</v>
      </c>
      <c r="CG1150" s="2"/>
      <c r="CH1150" s="2"/>
      <c r="CI1150" s="2">
        <v>1</v>
      </c>
      <c r="CJ1150" s="2">
        <v>1</v>
      </c>
      <c r="CK1150" s="2">
        <v>21</v>
      </c>
      <c r="CL1150" s="2" t="s">
        <v>88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"FES1162506512"</f>
        <v>FES1162506512</v>
      </c>
      <c r="F1151" s="3">
        <v>42656</v>
      </c>
      <c r="G1151" s="2">
        <v>201704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160</v>
      </c>
      <c r="M1151" s="2" t="s">
        <v>161</v>
      </c>
      <c r="N1151" s="2" t="s">
        <v>179</v>
      </c>
      <c r="O1151" s="2" t="s">
        <v>96</v>
      </c>
      <c r="P1151" s="2" t="str">
        <f>"2170529994                    "</f>
        <v xml:space="preserve">2170529994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3.32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0.5</v>
      </c>
      <c r="BJ1151" s="2">
        <v>0.2</v>
      </c>
      <c r="BK1151" s="2">
        <v>0.5</v>
      </c>
      <c r="BL1151" s="2">
        <v>40.76</v>
      </c>
      <c r="BM1151" s="2">
        <v>5.71</v>
      </c>
      <c r="BN1151" s="2">
        <v>46.47</v>
      </c>
      <c r="BO1151" s="2">
        <v>46.47</v>
      </c>
      <c r="BP1151" s="2"/>
      <c r="BQ1151" s="2" t="s">
        <v>180</v>
      </c>
      <c r="BR1151" s="2" t="s">
        <v>83</v>
      </c>
      <c r="BS1151" s="3">
        <v>42657</v>
      </c>
      <c r="BT1151" s="4">
        <v>0.41666666666666669</v>
      </c>
      <c r="BU1151" s="2" t="s">
        <v>238</v>
      </c>
      <c r="BV1151" s="2" t="s">
        <v>85</v>
      </c>
      <c r="BW1151" s="2"/>
      <c r="BX1151" s="2"/>
      <c r="BY1151" s="2">
        <v>1200</v>
      </c>
      <c r="BZ1151" s="2"/>
      <c r="CA1151" s="2"/>
      <c r="CB1151" s="2"/>
      <c r="CC1151" s="2" t="s">
        <v>161</v>
      </c>
      <c r="CD1151" s="2">
        <v>7405</v>
      </c>
      <c r="CE1151" s="2" t="s">
        <v>108</v>
      </c>
      <c r="CF1151" s="5">
        <v>42660</v>
      </c>
      <c r="CG1151" s="2"/>
      <c r="CH1151" s="2"/>
      <c r="CI1151" s="2">
        <v>1</v>
      </c>
      <c r="CJ1151" s="2">
        <v>1</v>
      </c>
      <c r="CK1151" s="2">
        <v>21</v>
      </c>
      <c r="CL1151" s="2" t="s">
        <v>88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"FES1162506466"</f>
        <v>FES1162506466</v>
      </c>
      <c r="F1152" s="3">
        <v>42656</v>
      </c>
      <c r="G1152" s="2">
        <v>201704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160</v>
      </c>
      <c r="M1152" s="2" t="s">
        <v>161</v>
      </c>
      <c r="N1152" s="2" t="s">
        <v>176</v>
      </c>
      <c r="O1152" s="2" t="s">
        <v>96</v>
      </c>
      <c r="P1152" s="2" t="str">
        <f>"2170529936                    "</f>
        <v xml:space="preserve">2170529936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3.32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0.5</v>
      </c>
      <c r="BJ1152" s="2">
        <v>0.2</v>
      </c>
      <c r="BK1152" s="2">
        <v>0.5</v>
      </c>
      <c r="BL1152" s="2">
        <v>40.76</v>
      </c>
      <c r="BM1152" s="2">
        <v>5.71</v>
      </c>
      <c r="BN1152" s="2">
        <v>46.47</v>
      </c>
      <c r="BO1152" s="2">
        <v>46.47</v>
      </c>
      <c r="BP1152" s="2"/>
      <c r="BQ1152" s="2" t="s">
        <v>177</v>
      </c>
      <c r="BR1152" s="2" t="s">
        <v>83</v>
      </c>
      <c r="BS1152" s="3">
        <v>42657</v>
      </c>
      <c r="BT1152" s="4">
        <v>0.39583333333333331</v>
      </c>
      <c r="BU1152" s="2" t="s">
        <v>178</v>
      </c>
      <c r="BV1152" s="2" t="s">
        <v>85</v>
      </c>
      <c r="BW1152" s="2"/>
      <c r="BX1152" s="2"/>
      <c r="BY1152" s="2">
        <v>1200</v>
      </c>
      <c r="BZ1152" s="2"/>
      <c r="CA1152" s="2"/>
      <c r="CB1152" s="2"/>
      <c r="CC1152" s="2" t="s">
        <v>161</v>
      </c>
      <c r="CD1152" s="2">
        <v>7530</v>
      </c>
      <c r="CE1152" s="2" t="s">
        <v>108</v>
      </c>
      <c r="CF1152" s="5">
        <v>42660</v>
      </c>
      <c r="CG1152" s="2"/>
      <c r="CH1152" s="2"/>
      <c r="CI1152" s="2">
        <v>1</v>
      </c>
      <c r="CJ1152" s="2">
        <v>1</v>
      </c>
      <c r="CK1152" s="2">
        <v>21</v>
      </c>
      <c r="CL1152" s="2" t="s">
        <v>88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"FES1162506385"</f>
        <v>FES1162506385</v>
      </c>
      <c r="F1153" s="3">
        <v>42656</v>
      </c>
      <c r="G1153" s="2">
        <v>201704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160</v>
      </c>
      <c r="M1153" s="2" t="s">
        <v>161</v>
      </c>
      <c r="N1153" s="2" t="s">
        <v>999</v>
      </c>
      <c r="O1153" s="2" t="s">
        <v>96</v>
      </c>
      <c r="P1153" s="2" t="str">
        <f>"2170526270                    "</f>
        <v xml:space="preserve">2170526270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4.9800000000000004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0.4</v>
      </c>
      <c r="BJ1153" s="2">
        <v>2.8</v>
      </c>
      <c r="BK1153" s="2">
        <v>3</v>
      </c>
      <c r="BL1153" s="2">
        <v>61.14</v>
      </c>
      <c r="BM1153" s="2">
        <v>8.56</v>
      </c>
      <c r="BN1153" s="2">
        <v>69.7</v>
      </c>
      <c r="BO1153" s="2">
        <v>69.7</v>
      </c>
      <c r="BP1153" s="2"/>
      <c r="BQ1153" s="2" t="s">
        <v>168</v>
      </c>
      <c r="BR1153" s="2" t="s">
        <v>83</v>
      </c>
      <c r="BS1153" s="3">
        <v>42657</v>
      </c>
      <c r="BT1153" s="4">
        <v>0.41666666666666669</v>
      </c>
      <c r="BU1153" s="2" t="s">
        <v>431</v>
      </c>
      <c r="BV1153" s="2" t="s">
        <v>85</v>
      </c>
      <c r="BW1153" s="2"/>
      <c r="BX1153" s="2"/>
      <c r="BY1153" s="2">
        <v>14165.2</v>
      </c>
      <c r="BZ1153" s="2"/>
      <c r="CA1153" s="2"/>
      <c r="CB1153" s="2"/>
      <c r="CC1153" s="2" t="s">
        <v>161</v>
      </c>
      <c r="CD1153" s="2">
        <v>7441</v>
      </c>
      <c r="CE1153" s="2" t="s">
        <v>108</v>
      </c>
      <c r="CF1153" s="5">
        <v>42660</v>
      </c>
      <c r="CG1153" s="2"/>
      <c r="CH1153" s="2"/>
      <c r="CI1153" s="2">
        <v>1</v>
      </c>
      <c r="CJ1153" s="2">
        <v>1</v>
      </c>
      <c r="CK1153" s="2">
        <v>21</v>
      </c>
      <c r="CL1153" s="2" t="s">
        <v>88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"FES1162506630"</f>
        <v>FES1162506630</v>
      </c>
      <c r="F1154" s="3">
        <v>42656</v>
      </c>
      <c r="G1154" s="2">
        <v>201704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98</v>
      </c>
      <c r="M1154" s="2" t="s">
        <v>99</v>
      </c>
      <c r="N1154" s="2" t="s">
        <v>1098</v>
      </c>
      <c r="O1154" s="2" t="s">
        <v>96</v>
      </c>
      <c r="P1154" s="2" t="str">
        <f>"2170530140                    "</f>
        <v xml:space="preserve">2170530140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3.32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0.3</v>
      </c>
      <c r="BJ1154" s="2">
        <v>1.2</v>
      </c>
      <c r="BK1154" s="2">
        <v>1.5</v>
      </c>
      <c r="BL1154" s="2">
        <v>40.76</v>
      </c>
      <c r="BM1154" s="2">
        <v>5.71</v>
      </c>
      <c r="BN1154" s="2">
        <v>46.47</v>
      </c>
      <c r="BO1154" s="2">
        <v>46.47</v>
      </c>
      <c r="BP1154" s="2"/>
      <c r="BQ1154" s="2" t="s">
        <v>1099</v>
      </c>
      <c r="BR1154" s="2" t="s">
        <v>83</v>
      </c>
      <c r="BS1154" s="3">
        <v>42657</v>
      </c>
      <c r="BT1154" s="4">
        <v>0.3125</v>
      </c>
      <c r="BU1154" s="2" t="s">
        <v>603</v>
      </c>
      <c r="BV1154" s="2" t="s">
        <v>85</v>
      </c>
      <c r="BW1154" s="2"/>
      <c r="BX1154" s="2"/>
      <c r="BY1154" s="2">
        <v>5963.31</v>
      </c>
      <c r="BZ1154" s="2"/>
      <c r="CA1154" s="2" t="s">
        <v>107</v>
      </c>
      <c r="CB1154" s="2"/>
      <c r="CC1154" s="2" t="s">
        <v>99</v>
      </c>
      <c r="CD1154" s="2">
        <v>6012</v>
      </c>
      <c r="CE1154" s="2" t="s">
        <v>108</v>
      </c>
      <c r="CF1154" s="5">
        <v>42657</v>
      </c>
      <c r="CG1154" s="2"/>
      <c r="CH1154" s="2"/>
      <c r="CI1154" s="2">
        <v>1</v>
      </c>
      <c r="CJ1154" s="2">
        <v>1</v>
      </c>
      <c r="CK1154" s="2">
        <v>21</v>
      </c>
      <c r="CL1154" s="2" t="s">
        <v>88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"FES1162506446"</f>
        <v>FES1162506446</v>
      </c>
      <c r="F1155" s="3">
        <v>42656</v>
      </c>
      <c r="G1155" s="2">
        <v>201704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160</v>
      </c>
      <c r="M1155" s="2" t="s">
        <v>161</v>
      </c>
      <c r="N1155" s="2" t="s">
        <v>267</v>
      </c>
      <c r="O1155" s="2" t="s">
        <v>96</v>
      </c>
      <c r="P1155" s="2" t="str">
        <f>"2170529053                    "</f>
        <v xml:space="preserve">2170529053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3.32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1.9</v>
      </c>
      <c r="BK1155" s="2">
        <v>2</v>
      </c>
      <c r="BL1155" s="2">
        <v>40.76</v>
      </c>
      <c r="BM1155" s="2">
        <v>5.71</v>
      </c>
      <c r="BN1155" s="2">
        <v>46.47</v>
      </c>
      <c r="BO1155" s="2">
        <v>46.47</v>
      </c>
      <c r="BP1155" s="2"/>
      <c r="BQ1155" s="2" t="s">
        <v>117</v>
      </c>
      <c r="BR1155" s="2" t="s">
        <v>83</v>
      </c>
      <c r="BS1155" s="3">
        <v>42657</v>
      </c>
      <c r="BT1155" s="4">
        <v>0.42708333333333331</v>
      </c>
      <c r="BU1155" s="2" t="s">
        <v>1530</v>
      </c>
      <c r="BV1155" s="2" t="s">
        <v>85</v>
      </c>
      <c r="BW1155" s="2"/>
      <c r="BX1155" s="2"/>
      <c r="BY1155" s="2">
        <v>9556.91</v>
      </c>
      <c r="BZ1155" s="2"/>
      <c r="CA1155" s="2"/>
      <c r="CB1155" s="2"/>
      <c r="CC1155" s="2" t="s">
        <v>161</v>
      </c>
      <c r="CD1155" s="2">
        <v>7441</v>
      </c>
      <c r="CE1155" s="2" t="s">
        <v>86</v>
      </c>
      <c r="CF1155" s="5">
        <v>42660</v>
      </c>
      <c r="CG1155" s="2"/>
      <c r="CH1155" s="2"/>
      <c r="CI1155" s="2">
        <v>1</v>
      </c>
      <c r="CJ1155" s="2">
        <v>1</v>
      </c>
      <c r="CK1155" s="2">
        <v>21</v>
      </c>
      <c r="CL1155" s="2" t="s">
        <v>88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"FES1162506599"</f>
        <v>FES1162506599</v>
      </c>
      <c r="F1156" s="3">
        <v>42656</v>
      </c>
      <c r="G1156" s="2">
        <v>201704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160</v>
      </c>
      <c r="M1156" s="2" t="s">
        <v>161</v>
      </c>
      <c r="N1156" s="2" t="s">
        <v>420</v>
      </c>
      <c r="O1156" s="2" t="s">
        <v>96</v>
      </c>
      <c r="P1156" s="2" t="str">
        <f>"2170530095                    "</f>
        <v xml:space="preserve">2170530095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3.32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0.5</v>
      </c>
      <c r="BJ1156" s="2">
        <v>0.2</v>
      </c>
      <c r="BK1156" s="2">
        <v>0.5</v>
      </c>
      <c r="BL1156" s="2">
        <v>40.76</v>
      </c>
      <c r="BM1156" s="2">
        <v>5.71</v>
      </c>
      <c r="BN1156" s="2">
        <v>46.47</v>
      </c>
      <c r="BO1156" s="2">
        <v>46.47</v>
      </c>
      <c r="BP1156" s="2"/>
      <c r="BQ1156" s="2" t="s">
        <v>1501</v>
      </c>
      <c r="BR1156" s="2" t="s">
        <v>83</v>
      </c>
      <c r="BS1156" s="3">
        <v>42657</v>
      </c>
      <c r="BT1156" s="4">
        <v>0.41319444444444442</v>
      </c>
      <c r="BU1156" s="2" t="s">
        <v>1503</v>
      </c>
      <c r="BV1156" s="2" t="s">
        <v>85</v>
      </c>
      <c r="BW1156" s="2"/>
      <c r="BX1156" s="2"/>
      <c r="BY1156" s="2">
        <v>1200</v>
      </c>
      <c r="BZ1156" s="2"/>
      <c r="CA1156" s="2"/>
      <c r="CB1156" s="2"/>
      <c r="CC1156" s="2" t="s">
        <v>161</v>
      </c>
      <c r="CD1156" s="2">
        <v>7560</v>
      </c>
      <c r="CE1156" s="2" t="s">
        <v>108</v>
      </c>
      <c r="CF1156" s="5">
        <v>42660</v>
      </c>
      <c r="CG1156" s="2"/>
      <c r="CH1156" s="2"/>
      <c r="CI1156" s="2">
        <v>1</v>
      </c>
      <c r="CJ1156" s="2">
        <v>1</v>
      </c>
      <c r="CK1156" s="2">
        <v>21</v>
      </c>
      <c r="CL1156" s="2" t="s">
        <v>88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"FES1162506454"</f>
        <v>FES1162506454</v>
      </c>
      <c r="F1157" s="3">
        <v>42656</v>
      </c>
      <c r="G1157" s="2">
        <v>201704</v>
      </c>
      <c r="H1157" s="2" t="s">
        <v>74</v>
      </c>
      <c r="I1157" s="2" t="s">
        <v>75</v>
      </c>
      <c r="J1157" s="2" t="s">
        <v>76</v>
      </c>
      <c r="K1157" s="2" t="s">
        <v>77</v>
      </c>
      <c r="L1157" s="2" t="s">
        <v>286</v>
      </c>
      <c r="M1157" s="2" t="s">
        <v>287</v>
      </c>
      <c r="N1157" s="2" t="s">
        <v>1531</v>
      </c>
      <c r="O1157" s="2" t="s">
        <v>96</v>
      </c>
      <c r="P1157" s="2" t="str">
        <f>"2170529532                    "</f>
        <v xml:space="preserve">2170529532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5.81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1.3</v>
      </c>
      <c r="BJ1157" s="2">
        <v>3.3</v>
      </c>
      <c r="BK1157" s="2">
        <v>3.5</v>
      </c>
      <c r="BL1157" s="2">
        <v>71.33</v>
      </c>
      <c r="BM1157" s="2">
        <v>9.99</v>
      </c>
      <c r="BN1157" s="2">
        <v>81.319999999999993</v>
      </c>
      <c r="BO1157" s="2">
        <v>81.319999999999993</v>
      </c>
      <c r="BP1157" s="2"/>
      <c r="BQ1157" s="2" t="s">
        <v>91</v>
      </c>
      <c r="BR1157" s="2" t="s">
        <v>83</v>
      </c>
      <c r="BS1157" s="3">
        <v>42660</v>
      </c>
      <c r="BT1157" s="4">
        <v>0.41666666666666669</v>
      </c>
      <c r="BU1157" s="2" t="s">
        <v>1532</v>
      </c>
      <c r="BV1157" s="2" t="s">
        <v>88</v>
      </c>
      <c r="BW1157" s="2"/>
      <c r="BX1157" s="2"/>
      <c r="BY1157" s="2">
        <v>16314.62</v>
      </c>
      <c r="BZ1157" s="2"/>
      <c r="CA1157" s="2" t="s">
        <v>129</v>
      </c>
      <c r="CB1157" s="2"/>
      <c r="CC1157" s="2" t="s">
        <v>287</v>
      </c>
      <c r="CD1157" s="2">
        <v>1947</v>
      </c>
      <c r="CE1157" s="2" t="s">
        <v>108</v>
      </c>
      <c r="CF1157" s="5">
        <v>42662</v>
      </c>
      <c r="CG1157" s="2"/>
      <c r="CH1157" s="2"/>
      <c r="CI1157" s="2">
        <v>1</v>
      </c>
      <c r="CJ1157" s="2">
        <v>2</v>
      </c>
      <c r="CK1157" s="2">
        <v>21</v>
      </c>
      <c r="CL1157" s="2" t="s">
        <v>88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"FES1162506382"</f>
        <v>FES1162506382</v>
      </c>
      <c r="F1158" s="3">
        <v>42656</v>
      </c>
      <c r="G1158" s="2">
        <v>201704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153</v>
      </c>
      <c r="M1158" s="2" t="s">
        <v>153</v>
      </c>
      <c r="N1158" s="2" t="s">
        <v>200</v>
      </c>
      <c r="O1158" s="2" t="s">
        <v>96</v>
      </c>
      <c r="P1158" s="2" t="str">
        <f>"2170526156                    "</f>
        <v xml:space="preserve">2170526156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5.81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0.8</v>
      </c>
      <c r="BJ1158" s="2">
        <v>3.3</v>
      </c>
      <c r="BK1158" s="2">
        <v>3.5</v>
      </c>
      <c r="BL1158" s="2">
        <v>71.33</v>
      </c>
      <c r="BM1158" s="2">
        <v>9.99</v>
      </c>
      <c r="BN1158" s="2">
        <v>81.319999999999993</v>
      </c>
      <c r="BO1158" s="2">
        <v>81.319999999999993</v>
      </c>
      <c r="BP1158" s="2"/>
      <c r="BQ1158" s="2" t="s">
        <v>201</v>
      </c>
      <c r="BR1158" s="2" t="s">
        <v>83</v>
      </c>
      <c r="BS1158" s="3">
        <v>42657</v>
      </c>
      <c r="BT1158" s="4">
        <v>0.50416666666666665</v>
      </c>
      <c r="BU1158" s="2" t="s">
        <v>448</v>
      </c>
      <c r="BV1158" s="2" t="s">
        <v>85</v>
      </c>
      <c r="BW1158" s="2"/>
      <c r="BX1158" s="2"/>
      <c r="BY1158" s="2">
        <v>16524.2</v>
      </c>
      <c r="BZ1158" s="2"/>
      <c r="CA1158" s="2"/>
      <c r="CB1158" s="2"/>
      <c r="CC1158" s="2" t="s">
        <v>153</v>
      </c>
      <c r="CD1158" s="2">
        <v>7646</v>
      </c>
      <c r="CE1158" s="2" t="s">
        <v>86</v>
      </c>
      <c r="CF1158" s="5">
        <v>42660</v>
      </c>
      <c r="CG1158" s="2"/>
      <c r="CH1158" s="2"/>
      <c r="CI1158" s="2">
        <v>1</v>
      </c>
      <c r="CJ1158" s="2">
        <v>1</v>
      </c>
      <c r="CK1158" s="2">
        <v>21</v>
      </c>
      <c r="CL1158" s="2" t="s">
        <v>88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"FES1162506383"</f>
        <v>FES1162506383</v>
      </c>
      <c r="F1159" s="3">
        <v>42656</v>
      </c>
      <c r="G1159" s="2">
        <v>201704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160</v>
      </c>
      <c r="M1159" s="2" t="s">
        <v>161</v>
      </c>
      <c r="N1159" s="2" t="s">
        <v>244</v>
      </c>
      <c r="O1159" s="2" t="s">
        <v>96</v>
      </c>
      <c r="P1159" s="2" t="str">
        <f>"2170526188                    "</f>
        <v xml:space="preserve">2170526188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3.32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2</v>
      </c>
      <c r="BJ1159" s="2">
        <v>1</v>
      </c>
      <c r="BK1159" s="2">
        <v>2</v>
      </c>
      <c r="BL1159" s="2">
        <v>40.76</v>
      </c>
      <c r="BM1159" s="2">
        <v>5.71</v>
      </c>
      <c r="BN1159" s="2">
        <v>46.47</v>
      </c>
      <c r="BO1159" s="2">
        <v>46.47</v>
      </c>
      <c r="BP1159" s="2"/>
      <c r="BQ1159" s="2" t="s">
        <v>117</v>
      </c>
      <c r="BR1159" s="2" t="s">
        <v>83</v>
      </c>
      <c r="BS1159" s="3">
        <v>42657</v>
      </c>
      <c r="BT1159" s="4">
        <v>0.42569444444444443</v>
      </c>
      <c r="BU1159" s="2" t="s">
        <v>245</v>
      </c>
      <c r="BV1159" s="2" t="s">
        <v>85</v>
      </c>
      <c r="BW1159" s="2"/>
      <c r="BX1159" s="2"/>
      <c r="BY1159" s="2">
        <v>5129.49</v>
      </c>
      <c r="BZ1159" s="2"/>
      <c r="CA1159" s="2"/>
      <c r="CB1159" s="2"/>
      <c r="CC1159" s="2" t="s">
        <v>161</v>
      </c>
      <c r="CD1159" s="2">
        <v>7800</v>
      </c>
      <c r="CE1159" s="2" t="s">
        <v>86</v>
      </c>
      <c r="CF1159" s="5">
        <v>42660</v>
      </c>
      <c r="CG1159" s="2"/>
      <c r="CH1159" s="2"/>
      <c r="CI1159" s="2">
        <v>1</v>
      </c>
      <c r="CJ1159" s="2">
        <v>1</v>
      </c>
      <c r="CK1159" s="2">
        <v>21</v>
      </c>
      <c r="CL1159" s="2" t="s">
        <v>88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"FES1162506587"</f>
        <v>FES1162506587</v>
      </c>
      <c r="F1160" s="3">
        <v>42656</v>
      </c>
      <c r="G1160" s="2">
        <v>201704</v>
      </c>
      <c r="H1160" s="2" t="s">
        <v>74</v>
      </c>
      <c r="I1160" s="2" t="s">
        <v>75</v>
      </c>
      <c r="J1160" s="2" t="s">
        <v>76</v>
      </c>
      <c r="K1160" s="2" t="s">
        <v>77</v>
      </c>
      <c r="L1160" s="2" t="s">
        <v>137</v>
      </c>
      <c r="M1160" s="2" t="s">
        <v>138</v>
      </c>
      <c r="N1160" s="2" t="s">
        <v>964</v>
      </c>
      <c r="O1160" s="2" t="s">
        <v>96</v>
      </c>
      <c r="P1160" s="2" t="str">
        <f>"2170530034                    "</f>
        <v xml:space="preserve">2170530034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3.32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0.4</v>
      </c>
      <c r="BJ1160" s="2">
        <v>1.4</v>
      </c>
      <c r="BK1160" s="2">
        <v>1.5</v>
      </c>
      <c r="BL1160" s="2">
        <v>40.76</v>
      </c>
      <c r="BM1160" s="2">
        <v>5.71</v>
      </c>
      <c r="BN1160" s="2">
        <v>46.47</v>
      </c>
      <c r="BO1160" s="2">
        <v>46.47</v>
      </c>
      <c r="BP1160" s="2"/>
      <c r="BQ1160" s="2" t="s">
        <v>965</v>
      </c>
      <c r="BR1160" s="2" t="s">
        <v>83</v>
      </c>
      <c r="BS1160" s="3">
        <v>42657</v>
      </c>
      <c r="BT1160" s="4">
        <v>0.3611111111111111</v>
      </c>
      <c r="BU1160" s="2" t="s">
        <v>1533</v>
      </c>
      <c r="BV1160" s="2"/>
      <c r="BW1160" s="2"/>
      <c r="BX1160" s="2"/>
      <c r="BY1160" s="2">
        <v>6845.66</v>
      </c>
      <c r="BZ1160" s="2"/>
      <c r="CA1160" s="2" t="s">
        <v>170</v>
      </c>
      <c r="CB1160" s="2"/>
      <c r="CC1160" s="2" t="s">
        <v>138</v>
      </c>
      <c r="CD1160" s="2">
        <v>3201</v>
      </c>
      <c r="CE1160" s="2" t="s">
        <v>108</v>
      </c>
      <c r="CF1160" s="5">
        <v>42657</v>
      </c>
      <c r="CG1160" s="2"/>
      <c r="CH1160" s="2"/>
      <c r="CI1160" s="2">
        <v>0</v>
      </c>
      <c r="CJ1160" s="2">
        <v>0</v>
      </c>
      <c r="CK1160" s="2">
        <v>21</v>
      </c>
      <c r="CL1160" s="2" t="s">
        <v>88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"FES1162506723"</f>
        <v>FES1162506723</v>
      </c>
      <c r="F1161" s="3">
        <v>42656</v>
      </c>
      <c r="G1161" s="2">
        <v>201704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160</v>
      </c>
      <c r="M1161" s="2" t="s">
        <v>161</v>
      </c>
      <c r="N1161" s="2" t="s">
        <v>420</v>
      </c>
      <c r="O1161" s="2" t="s">
        <v>96</v>
      </c>
      <c r="P1161" s="2" t="str">
        <f>"2170530215                    "</f>
        <v xml:space="preserve">2170530215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3.32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0.4</v>
      </c>
      <c r="BJ1161" s="2">
        <v>1.6</v>
      </c>
      <c r="BK1161" s="2">
        <v>2</v>
      </c>
      <c r="BL1161" s="2">
        <v>40.76</v>
      </c>
      <c r="BM1161" s="2">
        <v>5.71</v>
      </c>
      <c r="BN1161" s="2">
        <v>46.47</v>
      </c>
      <c r="BO1161" s="2">
        <v>46.47</v>
      </c>
      <c r="BP1161" s="2"/>
      <c r="BQ1161" s="2" t="s">
        <v>1501</v>
      </c>
      <c r="BR1161" s="2" t="s">
        <v>83</v>
      </c>
      <c r="BS1161" s="3">
        <v>42657</v>
      </c>
      <c r="BT1161" s="4">
        <v>0.41319444444444442</v>
      </c>
      <c r="BU1161" s="2" t="s">
        <v>1503</v>
      </c>
      <c r="BV1161" s="2" t="s">
        <v>85</v>
      </c>
      <c r="BW1161" s="2"/>
      <c r="BX1161" s="2"/>
      <c r="BY1161" s="2">
        <v>7791</v>
      </c>
      <c r="BZ1161" s="2"/>
      <c r="CA1161" s="2"/>
      <c r="CB1161" s="2"/>
      <c r="CC1161" s="2" t="s">
        <v>161</v>
      </c>
      <c r="CD1161" s="2">
        <v>7560</v>
      </c>
      <c r="CE1161" s="2" t="s">
        <v>108</v>
      </c>
      <c r="CF1161" s="5">
        <v>42660</v>
      </c>
      <c r="CG1161" s="2"/>
      <c r="CH1161" s="2"/>
      <c r="CI1161" s="2">
        <v>1</v>
      </c>
      <c r="CJ1161" s="2">
        <v>1</v>
      </c>
      <c r="CK1161" s="2">
        <v>21</v>
      </c>
      <c r="CL1161" s="2" t="s">
        <v>88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"FES1162506377"</f>
        <v>FES1162506377</v>
      </c>
      <c r="F1162" s="3">
        <v>42656</v>
      </c>
      <c r="G1162" s="2">
        <v>201704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148</v>
      </c>
      <c r="M1162" s="2" t="s">
        <v>149</v>
      </c>
      <c r="N1162" s="2" t="s">
        <v>809</v>
      </c>
      <c r="O1162" s="2" t="s">
        <v>96</v>
      </c>
      <c r="P1162" s="2" t="str">
        <f>"2170529887                    "</f>
        <v xml:space="preserve">2170529887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3.32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0.7</v>
      </c>
      <c r="BJ1162" s="2">
        <v>1</v>
      </c>
      <c r="BK1162" s="2">
        <v>1</v>
      </c>
      <c r="BL1162" s="2">
        <v>40.76</v>
      </c>
      <c r="BM1162" s="2">
        <v>5.71</v>
      </c>
      <c r="BN1162" s="2">
        <v>46.47</v>
      </c>
      <c r="BO1162" s="2">
        <v>46.47</v>
      </c>
      <c r="BP1162" s="2"/>
      <c r="BQ1162" s="2" t="s">
        <v>91</v>
      </c>
      <c r="BR1162" s="2" t="s">
        <v>83</v>
      </c>
      <c r="BS1162" s="3">
        <v>42657</v>
      </c>
      <c r="BT1162" s="4">
        <v>0.33680555555555558</v>
      </c>
      <c r="BU1162" s="2" t="s">
        <v>412</v>
      </c>
      <c r="BV1162" s="2" t="s">
        <v>85</v>
      </c>
      <c r="BW1162" s="2"/>
      <c r="BX1162" s="2"/>
      <c r="BY1162" s="2">
        <v>5060.46</v>
      </c>
      <c r="BZ1162" s="2"/>
      <c r="CA1162" s="2"/>
      <c r="CB1162" s="2"/>
      <c r="CC1162" s="2" t="s">
        <v>149</v>
      </c>
      <c r="CD1162" s="2">
        <v>4094</v>
      </c>
      <c r="CE1162" s="2" t="s">
        <v>86</v>
      </c>
      <c r="CF1162" s="5">
        <v>42660</v>
      </c>
      <c r="CG1162" s="2"/>
      <c r="CH1162" s="2"/>
      <c r="CI1162" s="2">
        <v>1</v>
      </c>
      <c r="CJ1162" s="2">
        <v>1</v>
      </c>
      <c r="CK1162" s="2">
        <v>21</v>
      </c>
      <c r="CL1162" s="2" t="s">
        <v>88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"FES1162506669"</f>
        <v>FES1162506669</v>
      </c>
      <c r="F1163" s="3">
        <v>42656</v>
      </c>
      <c r="G1163" s="2">
        <v>201704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148</v>
      </c>
      <c r="M1163" s="2" t="s">
        <v>149</v>
      </c>
      <c r="N1163" s="2" t="s">
        <v>726</v>
      </c>
      <c r="O1163" s="2" t="s">
        <v>96</v>
      </c>
      <c r="P1163" s="2" t="str">
        <f>"2170530181                    "</f>
        <v xml:space="preserve">2170530181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3.32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</v>
      </c>
      <c r="BJ1163" s="2">
        <v>0.2</v>
      </c>
      <c r="BK1163" s="2">
        <v>1</v>
      </c>
      <c r="BL1163" s="2">
        <v>40.76</v>
      </c>
      <c r="BM1163" s="2">
        <v>5.71</v>
      </c>
      <c r="BN1163" s="2">
        <v>46.47</v>
      </c>
      <c r="BO1163" s="2">
        <v>46.47</v>
      </c>
      <c r="BP1163" s="2"/>
      <c r="BQ1163" s="2" t="s">
        <v>117</v>
      </c>
      <c r="BR1163" s="2" t="s">
        <v>83</v>
      </c>
      <c r="BS1163" s="3">
        <v>42657</v>
      </c>
      <c r="BT1163" s="4">
        <v>0.4375</v>
      </c>
      <c r="BU1163" s="2" t="s">
        <v>727</v>
      </c>
      <c r="BV1163" s="2" t="s">
        <v>85</v>
      </c>
      <c r="BW1163" s="2"/>
      <c r="BX1163" s="2"/>
      <c r="BY1163" s="2">
        <v>1200</v>
      </c>
      <c r="BZ1163" s="2"/>
      <c r="CA1163" s="2"/>
      <c r="CB1163" s="2"/>
      <c r="CC1163" s="2" t="s">
        <v>149</v>
      </c>
      <c r="CD1163" s="2">
        <v>4070</v>
      </c>
      <c r="CE1163" s="2" t="s">
        <v>108</v>
      </c>
      <c r="CF1163" s="5">
        <v>42660</v>
      </c>
      <c r="CG1163" s="2"/>
      <c r="CH1163" s="2"/>
      <c r="CI1163" s="2">
        <v>1</v>
      </c>
      <c r="CJ1163" s="2">
        <v>1</v>
      </c>
      <c r="CK1163" s="2">
        <v>21</v>
      </c>
      <c r="CL1163" s="2" t="s">
        <v>88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"FES1162506682"</f>
        <v>FES1162506682</v>
      </c>
      <c r="F1164" s="3">
        <v>42656</v>
      </c>
      <c r="G1164" s="2">
        <v>201704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614</v>
      </c>
      <c r="M1164" s="2" t="s">
        <v>615</v>
      </c>
      <c r="N1164" s="2" t="s">
        <v>616</v>
      </c>
      <c r="O1164" s="2" t="s">
        <v>96</v>
      </c>
      <c r="P1164" s="2" t="str">
        <f>"2170530129                    "</f>
        <v xml:space="preserve">2170530129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3.32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</v>
      </c>
      <c r="BJ1164" s="2">
        <v>0.8</v>
      </c>
      <c r="BK1164" s="2">
        <v>1</v>
      </c>
      <c r="BL1164" s="2">
        <v>40.76</v>
      </c>
      <c r="BM1164" s="2">
        <v>5.71</v>
      </c>
      <c r="BN1164" s="2">
        <v>46.47</v>
      </c>
      <c r="BO1164" s="2">
        <v>46.47</v>
      </c>
      <c r="BP1164" s="2"/>
      <c r="BQ1164" s="2" t="s">
        <v>617</v>
      </c>
      <c r="BR1164" s="2" t="s">
        <v>83</v>
      </c>
      <c r="BS1164" s="3">
        <v>42657</v>
      </c>
      <c r="BT1164" s="4">
        <v>0.4375</v>
      </c>
      <c r="BU1164" s="2" t="s">
        <v>1534</v>
      </c>
      <c r="BV1164" s="2" t="s">
        <v>85</v>
      </c>
      <c r="BW1164" s="2"/>
      <c r="BX1164" s="2"/>
      <c r="BY1164" s="2">
        <v>4207.28</v>
      </c>
      <c r="BZ1164" s="2"/>
      <c r="CA1164" s="2"/>
      <c r="CB1164" s="2"/>
      <c r="CC1164" s="2" t="s">
        <v>615</v>
      </c>
      <c r="CD1164" s="2">
        <v>4026</v>
      </c>
      <c r="CE1164" s="2" t="s">
        <v>368</v>
      </c>
      <c r="CF1164" s="5">
        <v>42660</v>
      </c>
      <c r="CG1164" s="2"/>
      <c r="CH1164" s="2"/>
      <c r="CI1164" s="2">
        <v>1</v>
      </c>
      <c r="CJ1164" s="2">
        <v>1</v>
      </c>
      <c r="CK1164" s="2">
        <v>21</v>
      </c>
      <c r="CL1164" s="2" t="s">
        <v>88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"FES1162506506"</f>
        <v>FES1162506506</v>
      </c>
      <c r="F1165" s="3">
        <v>42656</v>
      </c>
      <c r="G1165" s="2">
        <v>201704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160</v>
      </c>
      <c r="M1165" s="2" t="s">
        <v>161</v>
      </c>
      <c r="N1165" s="2" t="s">
        <v>236</v>
      </c>
      <c r="O1165" s="2" t="s">
        <v>96</v>
      </c>
      <c r="P1165" s="2" t="str">
        <f>"1162506501 1162506710         "</f>
        <v xml:space="preserve">1162506501 1162506710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5.81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3</v>
      </c>
      <c r="BJ1165" s="2">
        <v>3.4</v>
      </c>
      <c r="BK1165" s="2">
        <v>3.5</v>
      </c>
      <c r="BL1165" s="2">
        <v>71.33</v>
      </c>
      <c r="BM1165" s="2">
        <v>9.99</v>
      </c>
      <c r="BN1165" s="2">
        <v>81.319999999999993</v>
      </c>
      <c r="BO1165" s="2">
        <v>81.319999999999993</v>
      </c>
      <c r="BP1165" s="2"/>
      <c r="BQ1165" s="2" t="s">
        <v>180</v>
      </c>
      <c r="BR1165" s="2" t="s">
        <v>83</v>
      </c>
      <c r="BS1165" s="3">
        <v>42657</v>
      </c>
      <c r="BT1165" s="4">
        <v>0.41666666666666669</v>
      </c>
      <c r="BU1165" s="2" t="s">
        <v>1535</v>
      </c>
      <c r="BV1165" s="2" t="s">
        <v>85</v>
      </c>
      <c r="BW1165" s="2"/>
      <c r="BX1165" s="2"/>
      <c r="BY1165" s="2">
        <v>17052.599999999999</v>
      </c>
      <c r="BZ1165" s="2"/>
      <c r="CA1165" s="2"/>
      <c r="CB1165" s="2"/>
      <c r="CC1165" s="2" t="s">
        <v>161</v>
      </c>
      <c r="CD1165" s="2">
        <v>7405</v>
      </c>
      <c r="CE1165" s="2" t="s">
        <v>86</v>
      </c>
      <c r="CF1165" s="5">
        <v>42660</v>
      </c>
      <c r="CG1165" s="2"/>
      <c r="CH1165" s="2"/>
      <c r="CI1165" s="2">
        <v>1</v>
      </c>
      <c r="CJ1165" s="2">
        <v>1</v>
      </c>
      <c r="CK1165" s="2">
        <v>21</v>
      </c>
      <c r="CL1165" s="2" t="s">
        <v>88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"FES1162506696"</f>
        <v>FES1162506696</v>
      </c>
      <c r="F1166" s="3">
        <v>42656</v>
      </c>
      <c r="G1166" s="2">
        <v>201704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269</v>
      </c>
      <c r="M1166" s="2" t="s">
        <v>270</v>
      </c>
      <c r="N1166" s="2" t="s">
        <v>565</v>
      </c>
      <c r="O1166" s="2" t="s">
        <v>96</v>
      </c>
      <c r="P1166" s="2" t="str">
        <f>"2170530197                    "</f>
        <v xml:space="preserve">2170530197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6.63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3.7</v>
      </c>
      <c r="BJ1166" s="2">
        <v>1.2</v>
      </c>
      <c r="BK1166" s="2">
        <v>4</v>
      </c>
      <c r="BL1166" s="2">
        <v>81.510000000000005</v>
      </c>
      <c r="BM1166" s="2">
        <v>11.41</v>
      </c>
      <c r="BN1166" s="2">
        <v>92.92</v>
      </c>
      <c r="BO1166" s="2">
        <v>92.92</v>
      </c>
      <c r="BP1166" s="2"/>
      <c r="BQ1166" s="2" t="s">
        <v>566</v>
      </c>
      <c r="BR1166" s="2" t="s">
        <v>83</v>
      </c>
      <c r="BS1166" s="3">
        <v>42657</v>
      </c>
      <c r="BT1166" s="4">
        <v>0.43055555555555558</v>
      </c>
      <c r="BU1166" s="2" t="s">
        <v>1237</v>
      </c>
      <c r="BV1166" s="2" t="s">
        <v>85</v>
      </c>
      <c r="BW1166" s="2"/>
      <c r="BX1166" s="2"/>
      <c r="BY1166" s="2">
        <v>5786.8</v>
      </c>
      <c r="BZ1166" s="2"/>
      <c r="CA1166" s="2"/>
      <c r="CB1166" s="2"/>
      <c r="CC1166" s="2" t="s">
        <v>270</v>
      </c>
      <c r="CD1166" s="2">
        <v>3620</v>
      </c>
      <c r="CE1166" s="2" t="s">
        <v>86</v>
      </c>
      <c r="CF1166" s="5">
        <v>42660</v>
      </c>
      <c r="CG1166" s="2"/>
      <c r="CH1166" s="2"/>
      <c r="CI1166" s="2">
        <v>1</v>
      </c>
      <c r="CJ1166" s="2">
        <v>1</v>
      </c>
      <c r="CK1166" s="2">
        <v>21</v>
      </c>
      <c r="CL1166" s="2" t="s">
        <v>88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"FES1162506523"</f>
        <v>FES1162506523</v>
      </c>
      <c r="F1167" s="3">
        <v>42656</v>
      </c>
      <c r="G1167" s="2">
        <v>201704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98</v>
      </c>
      <c r="M1167" s="2" t="s">
        <v>99</v>
      </c>
      <c r="N1167" s="2" t="s">
        <v>1098</v>
      </c>
      <c r="O1167" s="2" t="s">
        <v>96</v>
      </c>
      <c r="P1167" s="2" t="str">
        <f>"2170530013                    "</f>
        <v xml:space="preserve">2170530013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7.46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4.3</v>
      </c>
      <c r="BJ1167" s="2">
        <v>1.8</v>
      </c>
      <c r="BK1167" s="2">
        <v>4.5</v>
      </c>
      <c r="BL1167" s="2">
        <v>91.7</v>
      </c>
      <c r="BM1167" s="2">
        <v>12.84</v>
      </c>
      <c r="BN1167" s="2">
        <v>104.54</v>
      </c>
      <c r="BO1167" s="2">
        <v>104.54</v>
      </c>
      <c r="BP1167" s="2"/>
      <c r="BQ1167" s="2" t="s">
        <v>1099</v>
      </c>
      <c r="BR1167" s="2" t="s">
        <v>83</v>
      </c>
      <c r="BS1167" s="3">
        <v>42657</v>
      </c>
      <c r="BT1167" s="4">
        <v>0.3125</v>
      </c>
      <c r="BU1167" s="2" t="s">
        <v>603</v>
      </c>
      <c r="BV1167" s="2" t="s">
        <v>85</v>
      </c>
      <c r="BW1167" s="2"/>
      <c r="BX1167" s="2"/>
      <c r="BY1167" s="2">
        <v>8999.2999999999993</v>
      </c>
      <c r="BZ1167" s="2"/>
      <c r="CA1167" s="2" t="s">
        <v>107</v>
      </c>
      <c r="CB1167" s="2"/>
      <c r="CC1167" s="2" t="s">
        <v>99</v>
      </c>
      <c r="CD1167" s="2">
        <v>6012</v>
      </c>
      <c r="CE1167" s="2" t="s">
        <v>86</v>
      </c>
      <c r="CF1167" s="5">
        <v>42657</v>
      </c>
      <c r="CG1167" s="2"/>
      <c r="CH1167" s="2"/>
      <c r="CI1167" s="2">
        <v>1</v>
      </c>
      <c r="CJ1167" s="2">
        <v>1</v>
      </c>
      <c r="CK1167" s="2">
        <v>21</v>
      </c>
      <c r="CL1167" s="2" t="s">
        <v>88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"FES1162506647"</f>
        <v>FES1162506647</v>
      </c>
      <c r="F1168" s="3">
        <v>42656</v>
      </c>
      <c r="G1168" s="2">
        <v>201704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98</v>
      </c>
      <c r="M1168" s="2" t="s">
        <v>99</v>
      </c>
      <c r="N1168" s="2" t="s">
        <v>1493</v>
      </c>
      <c r="O1168" s="2" t="s">
        <v>96</v>
      </c>
      <c r="P1168" s="2" t="str">
        <f>"2170530152                    "</f>
        <v xml:space="preserve">2170530152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3.32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0.5</v>
      </c>
      <c r="BJ1168" s="2">
        <v>0.2</v>
      </c>
      <c r="BK1168" s="2">
        <v>0.5</v>
      </c>
      <c r="BL1168" s="2">
        <v>40.76</v>
      </c>
      <c r="BM1168" s="2">
        <v>5.71</v>
      </c>
      <c r="BN1168" s="2">
        <v>46.47</v>
      </c>
      <c r="BO1168" s="2">
        <v>46.47</v>
      </c>
      <c r="BP1168" s="2"/>
      <c r="BQ1168" s="2" t="s">
        <v>168</v>
      </c>
      <c r="BR1168" s="2" t="s">
        <v>83</v>
      </c>
      <c r="BS1168" s="3">
        <v>42657</v>
      </c>
      <c r="BT1168" s="4">
        <v>0.40763888888888888</v>
      </c>
      <c r="BU1168" s="2" t="s">
        <v>1494</v>
      </c>
      <c r="BV1168" s="2" t="s">
        <v>85</v>
      </c>
      <c r="BW1168" s="2"/>
      <c r="BX1168" s="2"/>
      <c r="BY1168" s="2">
        <v>1200</v>
      </c>
      <c r="BZ1168" s="2"/>
      <c r="CA1168" s="2" t="s">
        <v>468</v>
      </c>
      <c r="CB1168" s="2"/>
      <c r="CC1168" s="2" t="s">
        <v>99</v>
      </c>
      <c r="CD1168" s="2">
        <v>6070</v>
      </c>
      <c r="CE1168" s="2" t="s">
        <v>108</v>
      </c>
      <c r="CF1168" s="5">
        <v>42660</v>
      </c>
      <c r="CG1168" s="2"/>
      <c r="CH1168" s="2"/>
      <c r="CI1168" s="2">
        <v>1</v>
      </c>
      <c r="CJ1168" s="2">
        <v>1</v>
      </c>
      <c r="CK1168" s="2">
        <v>21</v>
      </c>
      <c r="CL1168" s="2" t="s">
        <v>88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"FES1162506376"</f>
        <v>FES1162506376</v>
      </c>
      <c r="F1169" s="3">
        <v>42656</v>
      </c>
      <c r="G1169" s="2">
        <v>201704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137</v>
      </c>
      <c r="M1169" s="2" t="s">
        <v>138</v>
      </c>
      <c r="N1169" s="2" t="s">
        <v>514</v>
      </c>
      <c r="O1169" s="2" t="s">
        <v>96</v>
      </c>
      <c r="P1169" s="2" t="str">
        <f>"217052987                     "</f>
        <v xml:space="preserve">217052987 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3.32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40.76</v>
      </c>
      <c r="BM1169" s="2">
        <v>5.71</v>
      </c>
      <c r="BN1169" s="2">
        <v>46.47</v>
      </c>
      <c r="BO1169" s="2">
        <v>46.47</v>
      </c>
      <c r="BP1169" s="2"/>
      <c r="BQ1169" s="2" t="s">
        <v>515</v>
      </c>
      <c r="BR1169" s="2" t="s">
        <v>83</v>
      </c>
      <c r="BS1169" s="3">
        <v>42657</v>
      </c>
      <c r="BT1169" s="4">
        <v>0.35416666666666669</v>
      </c>
      <c r="BU1169" s="2" t="s">
        <v>1536</v>
      </c>
      <c r="BV1169" s="2"/>
      <c r="BW1169" s="2"/>
      <c r="BX1169" s="2"/>
      <c r="BY1169" s="2">
        <v>1200</v>
      </c>
      <c r="BZ1169" s="2"/>
      <c r="CA1169" s="2"/>
      <c r="CB1169" s="2"/>
      <c r="CC1169" s="2" t="s">
        <v>138</v>
      </c>
      <c r="CD1169" s="2">
        <v>3201</v>
      </c>
      <c r="CE1169" s="2" t="s">
        <v>108</v>
      </c>
      <c r="CF1169" s="5">
        <v>42660</v>
      </c>
      <c r="CG1169" s="2"/>
      <c r="CH1169" s="2"/>
      <c r="CI1169" s="2">
        <v>0</v>
      </c>
      <c r="CJ1169" s="2">
        <v>0</v>
      </c>
      <c r="CK1169" s="2">
        <v>21</v>
      </c>
      <c r="CL1169" s="2" t="s">
        <v>88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"FES1162506381"</f>
        <v>FES1162506381</v>
      </c>
      <c r="F1170" s="3">
        <v>42656</v>
      </c>
      <c r="G1170" s="2">
        <v>201704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160</v>
      </c>
      <c r="M1170" s="2" t="s">
        <v>161</v>
      </c>
      <c r="N1170" s="2" t="s">
        <v>619</v>
      </c>
      <c r="O1170" s="2" t="s">
        <v>96</v>
      </c>
      <c r="P1170" s="2" t="str">
        <f>"2170526149                    "</f>
        <v xml:space="preserve">2170526149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3.32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</v>
      </c>
      <c r="BJ1170" s="2">
        <v>0.2</v>
      </c>
      <c r="BK1170" s="2">
        <v>1</v>
      </c>
      <c r="BL1170" s="2">
        <v>40.76</v>
      </c>
      <c r="BM1170" s="2">
        <v>5.71</v>
      </c>
      <c r="BN1170" s="2">
        <v>46.47</v>
      </c>
      <c r="BO1170" s="2">
        <v>46.47</v>
      </c>
      <c r="BP1170" s="2"/>
      <c r="BQ1170" s="2" t="s">
        <v>91</v>
      </c>
      <c r="BR1170" s="2" t="s">
        <v>83</v>
      </c>
      <c r="BS1170" s="3">
        <v>42657</v>
      </c>
      <c r="BT1170" s="4">
        <v>0.34652777777777777</v>
      </c>
      <c r="BU1170" s="2" t="s">
        <v>975</v>
      </c>
      <c r="BV1170" s="2" t="s">
        <v>85</v>
      </c>
      <c r="BW1170" s="2"/>
      <c r="BX1170" s="2"/>
      <c r="BY1170" s="2">
        <v>1200</v>
      </c>
      <c r="BZ1170" s="2"/>
      <c r="CA1170" s="2"/>
      <c r="CB1170" s="2"/>
      <c r="CC1170" s="2" t="s">
        <v>161</v>
      </c>
      <c r="CD1170" s="2">
        <v>7499</v>
      </c>
      <c r="CE1170" s="2" t="s">
        <v>108</v>
      </c>
      <c r="CF1170" s="5">
        <v>42657</v>
      </c>
      <c r="CG1170" s="2"/>
      <c r="CH1170" s="2"/>
      <c r="CI1170" s="2">
        <v>1</v>
      </c>
      <c r="CJ1170" s="2">
        <v>1</v>
      </c>
      <c r="CK1170" s="2">
        <v>21</v>
      </c>
      <c r="CL1170" s="2" t="s">
        <v>88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"FES1162506636"</f>
        <v>FES1162506636</v>
      </c>
      <c r="F1171" s="3">
        <v>42656</v>
      </c>
      <c r="G1171" s="2">
        <v>201704</v>
      </c>
      <c r="H1171" s="2" t="s">
        <v>74</v>
      </c>
      <c r="I1171" s="2" t="s">
        <v>75</v>
      </c>
      <c r="J1171" s="2" t="s">
        <v>76</v>
      </c>
      <c r="K1171" s="2" t="s">
        <v>77</v>
      </c>
      <c r="L1171" s="2" t="s">
        <v>160</v>
      </c>
      <c r="M1171" s="2" t="s">
        <v>161</v>
      </c>
      <c r="N1171" s="2" t="s">
        <v>179</v>
      </c>
      <c r="O1171" s="2" t="s">
        <v>96</v>
      </c>
      <c r="P1171" s="2" t="str">
        <f>"2170530145                    "</f>
        <v xml:space="preserve">2170530145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4.9800000000000004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3</v>
      </c>
      <c r="BJ1171" s="2">
        <v>0.9</v>
      </c>
      <c r="BK1171" s="2">
        <v>3</v>
      </c>
      <c r="BL1171" s="2">
        <v>61.14</v>
      </c>
      <c r="BM1171" s="2">
        <v>8.56</v>
      </c>
      <c r="BN1171" s="2">
        <v>69.7</v>
      </c>
      <c r="BO1171" s="2">
        <v>69.7</v>
      </c>
      <c r="BP1171" s="2"/>
      <c r="BQ1171" s="2" t="s">
        <v>180</v>
      </c>
      <c r="BR1171" s="2" t="s">
        <v>83</v>
      </c>
      <c r="BS1171" s="3">
        <v>42657</v>
      </c>
      <c r="BT1171" s="4">
        <v>0.41666666666666669</v>
      </c>
      <c r="BU1171" s="2" t="s">
        <v>181</v>
      </c>
      <c r="BV1171" s="2" t="s">
        <v>85</v>
      </c>
      <c r="BW1171" s="2"/>
      <c r="BX1171" s="2"/>
      <c r="BY1171" s="2">
        <v>4537.05</v>
      </c>
      <c r="BZ1171" s="2"/>
      <c r="CA1171" s="2"/>
      <c r="CB1171" s="2"/>
      <c r="CC1171" s="2" t="s">
        <v>161</v>
      </c>
      <c r="CD1171" s="2">
        <v>7405</v>
      </c>
      <c r="CE1171" s="2" t="s">
        <v>86</v>
      </c>
      <c r="CF1171" s="5">
        <v>42660</v>
      </c>
      <c r="CG1171" s="2"/>
      <c r="CH1171" s="2"/>
      <c r="CI1171" s="2">
        <v>1</v>
      </c>
      <c r="CJ1171" s="2">
        <v>1</v>
      </c>
      <c r="CK1171" s="2">
        <v>21</v>
      </c>
      <c r="CL1171" s="2" t="s">
        <v>88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"FES1162506428"</f>
        <v>FES1162506428</v>
      </c>
      <c r="F1172" s="3">
        <v>42656</v>
      </c>
      <c r="G1172" s="2">
        <v>201704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148</v>
      </c>
      <c r="M1172" s="2" t="s">
        <v>149</v>
      </c>
      <c r="N1172" s="2" t="s">
        <v>815</v>
      </c>
      <c r="O1172" s="2" t="s">
        <v>96</v>
      </c>
      <c r="P1172" s="2" t="str">
        <f>"2170527869                    "</f>
        <v xml:space="preserve">2170527869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3.32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0.2</v>
      </c>
      <c r="BJ1172" s="2">
        <v>0.8</v>
      </c>
      <c r="BK1172" s="2">
        <v>1</v>
      </c>
      <c r="BL1172" s="2">
        <v>40.76</v>
      </c>
      <c r="BM1172" s="2">
        <v>5.71</v>
      </c>
      <c r="BN1172" s="2">
        <v>46.47</v>
      </c>
      <c r="BO1172" s="2">
        <v>46.47</v>
      </c>
      <c r="BP1172" s="2"/>
      <c r="BQ1172" s="2" t="s">
        <v>91</v>
      </c>
      <c r="BR1172" s="2" t="s">
        <v>83</v>
      </c>
      <c r="BS1172" s="3">
        <v>42657</v>
      </c>
      <c r="BT1172" s="4">
        <v>0.4375</v>
      </c>
      <c r="BU1172" s="2" t="s">
        <v>816</v>
      </c>
      <c r="BV1172" s="2" t="s">
        <v>85</v>
      </c>
      <c r="BW1172" s="2"/>
      <c r="BX1172" s="2"/>
      <c r="BY1172" s="2">
        <v>3754.92</v>
      </c>
      <c r="BZ1172" s="2"/>
      <c r="CA1172" s="2"/>
      <c r="CB1172" s="2"/>
      <c r="CC1172" s="2" t="s">
        <v>149</v>
      </c>
      <c r="CD1172" s="2">
        <v>4068</v>
      </c>
      <c r="CE1172" s="2" t="s">
        <v>86</v>
      </c>
      <c r="CF1172" s="5">
        <v>42660</v>
      </c>
      <c r="CG1172" s="2"/>
      <c r="CH1172" s="2"/>
      <c r="CI1172" s="2">
        <v>1</v>
      </c>
      <c r="CJ1172" s="2">
        <v>1</v>
      </c>
      <c r="CK1172" s="2">
        <v>21</v>
      </c>
      <c r="CL1172" s="2" t="s">
        <v>88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"FES1162506657"</f>
        <v>FES1162506657</v>
      </c>
      <c r="F1173" s="3">
        <v>42656</v>
      </c>
      <c r="G1173" s="2">
        <v>201704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414</v>
      </c>
      <c r="M1173" s="2" t="s">
        <v>414</v>
      </c>
      <c r="N1173" s="2" t="s">
        <v>415</v>
      </c>
      <c r="O1173" s="2" t="s">
        <v>96</v>
      </c>
      <c r="P1173" s="2" t="str">
        <f>"2170530157                    "</f>
        <v xml:space="preserve">2170530157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6.43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0.6</v>
      </c>
      <c r="BJ1173" s="2">
        <v>0.9</v>
      </c>
      <c r="BK1173" s="2">
        <v>1</v>
      </c>
      <c r="BL1173" s="2">
        <v>78.97</v>
      </c>
      <c r="BM1173" s="2">
        <v>11.06</v>
      </c>
      <c r="BN1173" s="2">
        <v>90.03</v>
      </c>
      <c r="BO1173" s="2">
        <v>90.03</v>
      </c>
      <c r="BP1173" s="2"/>
      <c r="BQ1173" s="2" t="s">
        <v>117</v>
      </c>
      <c r="BR1173" s="2" t="s">
        <v>83</v>
      </c>
      <c r="BS1173" s="3">
        <v>42660</v>
      </c>
      <c r="BT1173" s="4">
        <v>0.54166666666666663</v>
      </c>
      <c r="BU1173" s="2" t="s">
        <v>1535</v>
      </c>
      <c r="BV1173" s="2" t="s">
        <v>85</v>
      </c>
      <c r="BW1173" s="2"/>
      <c r="BX1173" s="2"/>
      <c r="BY1173" s="2">
        <v>4599</v>
      </c>
      <c r="BZ1173" s="2"/>
      <c r="CA1173" s="2"/>
      <c r="CB1173" s="2"/>
      <c r="CC1173" s="2" t="s">
        <v>414</v>
      </c>
      <c r="CD1173" s="2">
        <v>5470</v>
      </c>
      <c r="CE1173" s="2" t="s">
        <v>108</v>
      </c>
      <c r="CF1173" s="5">
        <v>42664</v>
      </c>
      <c r="CG1173" s="2"/>
      <c r="CH1173" s="2"/>
      <c r="CI1173" s="2">
        <v>4</v>
      </c>
      <c r="CJ1173" s="2">
        <v>2</v>
      </c>
      <c r="CK1173" s="2">
        <v>23</v>
      </c>
      <c r="CL1173" s="2" t="s">
        <v>88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"FES1162506662"</f>
        <v>FES1162506662</v>
      </c>
      <c r="F1174" s="3">
        <v>42656</v>
      </c>
      <c r="G1174" s="2">
        <v>201704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491</v>
      </c>
      <c r="M1174" s="2" t="s">
        <v>492</v>
      </c>
      <c r="N1174" s="2" t="s">
        <v>1160</v>
      </c>
      <c r="O1174" s="2" t="s">
        <v>96</v>
      </c>
      <c r="P1174" s="2" t="str">
        <f>"2170530171                    "</f>
        <v xml:space="preserve">2170530171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3.32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0.5</v>
      </c>
      <c r="BJ1174" s="2">
        <v>1.8</v>
      </c>
      <c r="BK1174" s="2">
        <v>2</v>
      </c>
      <c r="BL1174" s="2">
        <v>40.76</v>
      </c>
      <c r="BM1174" s="2">
        <v>5.71</v>
      </c>
      <c r="BN1174" s="2">
        <v>46.47</v>
      </c>
      <c r="BO1174" s="2">
        <v>46.47</v>
      </c>
      <c r="BP1174" s="2"/>
      <c r="BQ1174" s="2"/>
      <c r="BR1174" s="2" t="s">
        <v>83</v>
      </c>
      <c r="BS1174" s="3">
        <v>42657</v>
      </c>
      <c r="BT1174" s="4">
        <v>0.42708333333333331</v>
      </c>
      <c r="BU1174" s="2" t="s">
        <v>495</v>
      </c>
      <c r="BV1174" s="2" t="s">
        <v>85</v>
      </c>
      <c r="BW1174" s="2"/>
      <c r="BX1174" s="2"/>
      <c r="BY1174" s="2">
        <v>8835.24</v>
      </c>
      <c r="BZ1174" s="2"/>
      <c r="CA1174" s="2"/>
      <c r="CB1174" s="2"/>
      <c r="CC1174" s="2" t="s">
        <v>492</v>
      </c>
      <c r="CD1174" s="2">
        <v>3700</v>
      </c>
      <c r="CE1174" s="2" t="s">
        <v>108</v>
      </c>
      <c r="CF1174" s="5">
        <v>42660</v>
      </c>
      <c r="CG1174" s="2"/>
      <c r="CH1174" s="2"/>
      <c r="CI1174" s="2">
        <v>1</v>
      </c>
      <c r="CJ1174" s="2">
        <v>1</v>
      </c>
      <c r="CK1174" s="2">
        <v>21</v>
      </c>
      <c r="CL1174" s="2" t="s">
        <v>88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"FES1162506405"</f>
        <v>FES1162506405</v>
      </c>
      <c r="F1175" s="3">
        <v>42656</v>
      </c>
      <c r="G1175" s="2">
        <v>201704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269</v>
      </c>
      <c r="M1175" s="2" t="s">
        <v>270</v>
      </c>
      <c r="N1175" s="2" t="s">
        <v>804</v>
      </c>
      <c r="O1175" s="2" t="s">
        <v>96</v>
      </c>
      <c r="P1175" s="2" t="str">
        <f>"2170527392                    "</f>
        <v xml:space="preserve">2170527392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3.32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0.5</v>
      </c>
      <c r="BJ1175" s="2">
        <v>0.2</v>
      </c>
      <c r="BK1175" s="2">
        <v>0.5</v>
      </c>
      <c r="BL1175" s="2">
        <v>40.76</v>
      </c>
      <c r="BM1175" s="2">
        <v>5.71</v>
      </c>
      <c r="BN1175" s="2">
        <v>46.47</v>
      </c>
      <c r="BO1175" s="2">
        <v>46.47</v>
      </c>
      <c r="BP1175" s="2"/>
      <c r="BQ1175" s="2" t="s">
        <v>805</v>
      </c>
      <c r="BR1175" s="2" t="s">
        <v>83</v>
      </c>
      <c r="BS1175" s="3">
        <v>42657</v>
      </c>
      <c r="BT1175" s="4">
        <v>0.29722222222222222</v>
      </c>
      <c r="BU1175" s="2" t="s">
        <v>806</v>
      </c>
      <c r="BV1175" s="2" t="s">
        <v>85</v>
      </c>
      <c r="BW1175" s="2"/>
      <c r="BX1175" s="2"/>
      <c r="BY1175" s="2">
        <v>1200</v>
      </c>
      <c r="BZ1175" s="2"/>
      <c r="CA1175" s="2"/>
      <c r="CB1175" s="2"/>
      <c r="CC1175" s="2" t="s">
        <v>270</v>
      </c>
      <c r="CD1175" s="2">
        <v>3610</v>
      </c>
      <c r="CE1175" s="2" t="s">
        <v>108</v>
      </c>
      <c r="CF1175" s="5">
        <v>42657</v>
      </c>
      <c r="CG1175" s="2"/>
      <c r="CH1175" s="2"/>
      <c r="CI1175" s="2">
        <v>1</v>
      </c>
      <c r="CJ1175" s="2">
        <v>1</v>
      </c>
      <c r="CK1175" s="2">
        <v>21</v>
      </c>
      <c r="CL1175" s="2" t="s">
        <v>88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"FES1162506494"</f>
        <v>FES1162506494</v>
      </c>
      <c r="F1176" s="3">
        <v>42656</v>
      </c>
      <c r="G1176" s="2">
        <v>201704</v>
      </c>
      <c r="H1176" s="2" t="s">
        <v>74</v>
      </c>
      <c r="I1176" s="2" t="s">
        <v>75</v>
      </c>
      <c r="J1176" s="2" t="s">
        <v>76</v>
      </c>
      <c r="K1176" s="2" t="s">
        <v>77</v>
      </c>
      <c r="L1176" s="2" t="s">
        <v>260</v>
      </c>
      <c r="M1176" s="2" t="s">
        <v>261</v>
      </c>
      <c r="N1176" s="2" t="s">
        <v>347</v>
      </c>
      <c r="O1176" s="2" t="s">
        <v>96</v>
      </c>
      <c r="P1176" s="2" t="str">
        <f>"2170529970                    "</f>
        <v xml:space="preserve">2170529970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5.81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1</v>
      </c>
      <c r="BI1176" s="2">
        <v>3.1</v>
      </c>
      <c r="BJ1176" s="2">
        <v>1</v>
      </c>
      <c r="BK1176" s="2">
        <v>3.5</v>
      </c>
      <c r="BL1176" s="2">
        <v>71.33</v>
      </c>
      <c r="BM1176" s="2">
        <v>9.99</v>
      </c>
      <c r="BN1176" s="2">
        <v>81.319999999999993</v>
      </c>
      <c r="BO1176" s="2">
        <v>81.319999999999993</v>
      </c>
      <c r="BP1176" s="2"/>
      <c r="BQ1176" s="2" t="s">
        <v>91</v>
      </c>
      <c r="BR1176" s="2" t="s">
        <v>83</v>
      </c>
      <c r="BS1176" s="3">
        <v>42657</v>
      </c>
      <c r="BT1176" s="4">
        <v>0.39305555555555555</v>
      </c>
      <c r="BU1176" s="2" t="s">
        <v>1090</v>
      </c>
      <c r="BV1176" s="2" t="s">
        <v>85</v>
      </c>
      <c r="BW1176" s="2"/>
      <c r="BX1176" s="2"/>
      <c r="BY1176" s="2">
        <v>5103.45</v>
      </c>
      <c r="BZ1176" s="2"/>
      <c r="CA1176" s="2" t="s">
        <v>1537</v>
      </c>
      <c r="CB1176" s="2"/>
      <c r="CC1176" s="2" t="s">
        <v>261</v>
      </c>
      <c r="CD1176" s="2">
        <v>6850</v>
      </c>
      <c r="CE1176" s="2" t="s">
        <v>86</v>
      </c>
      <c r="CF1176" s="5">
        <v>42657</v>
      </c>
      <c r="CG1176" s="2"/>
      <c r="CH1176" s="2"/>
      <c r="CI1176" s="2">
        <v>3</v>
      </c>
      <c r="CJ1176" s="2">
        <v>1</v>
      </c>
      <c r="CK1176" s="2">
        <v>21</v>
      </c>
      <c r="CL1176" s="2" t="s">
        <v>88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"FES1162506598"</f>
        <v>FES1162506598</v>
      </c>
      <c r="F1177" s="3">
        <v>42656</v>
      </c>
      <c r="G1177" s="2">
        <v>201704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98</v>
      </c>
      <c r="M1177" s="2" t="s">
        <v>99</v>
      </c>
      <c r="N1177" s="2" t="s">
        <v>190</v>
      </c>
      <c r="O1177" s="2" t="s">
        <v>96</v>
      </c>
      <c r="P1177" s="2" t="str">
        <f>"2170529839                    "</f>
        <v xml:space="preserve">2170529839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14.93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2</v>
      </c>
      <c r="BI1177" s="2">
        <v>9</v>
      </c>
      <c r="BJ1177" s="2">
        <v>3.8</v>
      </c>
      <c r="BK1177" s="2">
        <v>9</v>
      </c>
      <c r="BL1177" s="2">
        <v>183.41</v>
      </c>
      <c r="BM1177" s="2">
        <v>25.68</v>
      </c>
      <c r="BN1177" s="2">
        <v>209.09</v>
      </c>
      <c r="BO1177" s="2">
        <v>209.09</v>
      </c>
      <c r="BP1177" s="2"/>
      <c r="BQ1177" s="2" t="s">
        <v>1034</v>
      </c>
      <c r="BR1177" s="2" t="s">
        <v>83</v>
      </c>
      <c r="BS1177" s="3">
        <v>42657</v>
      </c>
      <c r="BT1177" s="4">
        <v>0.44097222222222227</v>
      </c>
      <c r="BU1177" s="2" t="s">
        <v>1538</v>
      </c>
      <c r="BV1177" s="2" t="s">
        <v>85</v>
      </c>
      <c r="BW1177" s="2"/>
      <c r="BX1177" s="2"/>
      <c r="BY1177" s="2">
        <v>19031.689999999999</v>
      </c>
      <c r="BZ1177" s="2"/>
      <c r="CA1177" s="2"/>
      <c r="CB1177" s="2"/>
      <c r="CC1177" s="2" t="s">
        <v>99</v>
      </c>
      <c r="CD1177" s="2">
        <v>6001</v>
      </c>
      <c r="CE1177" s="2" t="s">
        <v>86</v>
      </c>
      <c r="CF1177" s="5">
        <v>42660</v>
      </c>
      <c r="CG1177" s="2"/>
      <c r="CH1177" s="2"/>
      <c r="CI1177" s="2">
        <v>1</v>
      </c>
      <c r="CJ1177" s="2">
        <v>1</v>
      </c>
      <c r="CK1177" s="2">
        <v>21</v>
      </c>
      <c r="CL1177" s="2" t="s">
        <v>88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"FES1162506663"</f>
        <v>FES1162506663</v>
      </c>
      <c r="F1178" s="3">
        <v>42656</v>
      </c>
      <c r="G1178" s="2">
        <v>201704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160</v>
      </c>
      <c r="M1178" s="2" t="s">
        <v>161</v>
      </c>
      <c r="N1178" s="2" t="s">
        <v>915</v>
      </c>
      <c r="O1178" s="2" t="s">
        <v>96</v>
      </c>
      <c r="P1178" s="2" t="str">
        <f>"2170530176                    "</f>
        <v xml:space="preserve">2170530176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3.32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</v>
      </c>
      <c r="BJ1178" s="2">
        <v>0.2</v>
      </c>
      <c r="BK1178" s="2">
        <v>1</v>
      </c>
      <c r="BL1178" s="2">
        <v>40.76</v>
      </c>
      <c r="BM1178" s="2">
        <v>5.71</v>
      </c>
      <c r="BN1178" s="2">
        <v>46.47</v>
      </c>
      <c r="BO1178" s="2">
        <v>46.47</v>
      </c>
      <c r="BP1178" s="2"/>
      <c r="BQ1178" s="2" t="s">
        <v>91</v>
      </c>
      <c r="BR1178" s="2" t="s">
        <v>83</v>
      </c>
      <c r="BS1178" s="3">
        <v>42657</v>
      </c>
      <c r="BT1178" s="4">
        <v>0.41666666666666669</v>
      </c>
      <c r="BU1178" s="2" t="s">
        <v>1539</v>
      </c>
      <c r="BV1178" s="2" t="s">
        <v>85</v>
      </c>
      <c r="BW1178" s="2"/>
      <c r="BX1178" s="2"/>
      <c r="BY1178" s="2">
        <v>1200</v>
      </c>
      <c r="BZ1178" s="2"/>
      <c r="CA1178" s="2"/>
      <c r="CB1178" s="2"/>
      <c r="CC1178" s="2" t="s">
        <v>161</v>
      </c>
      <c r="CD1178" s="2">
        <v>7441</v>
      </c>
      <c r="CE1178" s="2" t="s">
        <v>108</v>
      </c>
      <c r="CF1178" s="5">
        <v>42660</v>
      </c>
      <c r="CG1178" s="2"/>
      <c r="CH1178" s="2"/>
      <c r="CI1178" s="2">
        <v>1</v>
      </c>
      <c r="CJ1178" s="2">
        <v>1</v>
      </c>
      <c r="CK1178" s="2">
        <v>21</v>
      </c>
      <c r="CL1178" s="2" t="s">
        <v>88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"FES1162506656"</f>
        <v>FES1162506656</v>
      </c>
      <c r="F1179" s="3">
        <v>42656</v>
      </c>
      <c r="G1179" s="2">
        <v>201704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160</v>
      </c>
      <c r="M1179" s="2" t="s">
        <v>161</v>
      </c>
      <c r="N1179" s="2" t="s">
        <v>411</v>
      </c>
      <c r="O1179" s="2" t="s">
        <v>96</v>
      </c>
      <c r="P1179" s="2" t="str">
        <f>"2170530040                    "</f>
        <v xml:space="preserve">2170530040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3.32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1</v>
      </c>
      <c r="BJ1179" s="2">
        <v>0.2</v>
      </c>
      <c r="BK1179" s="2">
        <v>1</v>
      </c>
      <c r="BL1179" s="2">
        <v>40.76</v>
      </c>
      <c r="BM1179" s="2">
        <v>5.71</v>
      </c>
      <c r="BN1179" s="2">
        <v>46.47</v>
      </c>
      <c r="BO1179" s="2">
        <v>46.47</v>
      </c>
      <c r="BP1179" s="2"/>
      <c r="BQ1179" s="2" t="s">
        <v>412</v>
      </c>
      <c r="BR1179" s="2" t="s">
        <v>83</v>
      </c>
      <c r="BS1179" s="3">
        <v>42657</v>
      </c>
      <c r="BT1179" s="4">
        <v>0.45833333333333331</v>
      </c>
      <c r="BU1179" s="2" t="s">
        <v>1540</v>
      </c>
      <c r="BV1179" s="2" t="s">
        <v>85</v>
      </c>
      <c r="BW1179" s="2"/>
      <c r="BX1179" s="2"/>
      <c r="BY1179" s="2">
        <v>1200</v>
      </c>
      <c r="BZ1179" s="2"/>
      <c r="CA1179" s="2"/>
      <c r="CB1179" s="2"/>
      <c r="CC1179" s="2" t="s">
        <v>161</v>
      </c>
      <c r="CD1179" s="2">
        <v>7945</v>
      </c>
      <c r="CE1179" s="2" t="s">
        <v>108</v>
      </c>
      <c r="CF1179" s="5">
        <v>42660</v>
      </c>
      <c r="CG1179" s="2"/>
      <c r="CH1179" s="2"/>
      <c r="CI1179" s="2">
        <v>1</v>
      </c>
      <c r="CJ1179" s="2">
        <v>1</v>
      </c>
      <c r="CK1179" s="2">
        <v>21</v>
      </c>
      <c r="CL1179" s="2" t="s">
        <v>88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"FES1162506389"</f>
        <v>FES1162506389</v>
      </c>
      <c r="F1180" s="3">
        <v>42656</v>
      </c>
      <c r="G1180" s="2">
        <v>201704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148</v>
      </c>
      <c r="M1180" s="2" t="s">
        <v>149</v>
      </c>
      <c r="N1180" s="2" t="s">
        <v>1541</v>
      </c>
      <c r="O1180" s="2" t="s">
        <v>96</v>
      </c>
      <c r="P1180" s="2" t="str">
        <f>"2170526449                    "</f>
        <v xml:space="preserve">2170526449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3.32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</v>
      </c>
      <c r="BJ1180" s="2">
        <v>0.2</v>
      </c>
      <c r="BK1180" s="2">
        <v>1</v>
      </c>
      <c r="BL1180" s="2">
        <v>40.76</v>
      </c>
      <c r="BM1180" s="2">
        <v>5.71</v>
      </c>
      <c r="BN1180" s="2">
        <v>46.47</v>
      </c>
      <c r="BO1180" s="2">
        <v>46.47</v>
      </c>
      <c r="BP1180" s="2"/>
      <c r="BQ1180" s="2" t="s">
        <v>91</v>
      </c>
      <c r="BR1180" s="2" t="s">
        <v>83</v>
      </c>
      <c r="BS1180" s="3">
        <v>42657</v>
      </c>
      <c r="BT1180" s="4">
        <v>0.35069444444444442</v>
      </c>
      <c r="BU1180" s="2" t="s">
        <v>1542</v>
      </c>
      <c r="BV1180" s="2" t="s">
        <v>85</v>
      </c>
      <c r="BW1180" s="2"/>
      <c r="BX1180" s="2"/>
      <c r="BY1180" s="2">
        <v>1200</v>
      </c>
      <c r="BZ1180" s="2"/>
      <c r="CA1180" s="2"/>
      <c r="CB1180" s="2"/>
      <c r="CC1180" s="2" t="s">
        <v>149</v>
      </c>
      <c r="CD1180" s="2">
        <v>4052</v>
      </c>
      <c r="CE1180" s="2" t="s">
        <v>108</v>
      </c>
      <c r="CF1180" s="5">
        <v>42660</v>
      </c>
      <c r="CG1180" s="2"/>
      <c r="CH1180" s="2"/>
      <c r="CI1180" s="2">
        <v>1</v>
      </c>
      <c r="CJ1180" s="2">
        <v>1</v>
      </c>
      <c r="CK1180" s="2">
        <v>21</v>
      </c>
      <c r="CL1180" s="2" t="s">
        <v>88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"FES1162506460"</f>
        <v>FES1162506460</v>
      </c>
      <c r="F1181" s="3">
        <v>42656</v>
      </c>
      <c r="G1181" s="2">
        <v>201704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253</v>
      </c>
      <c r="M1181" s="2" t="s">
        <v>254</v>
      </c>
      <c r="N1181" s="2" t="s">
        <v>255</v>
      </c>
      <c r="O1181" s="2" t="s">
        <v>96</v>
      </c>
      <c r="P1181" s="2" t="str">
        <f>"2170529928                    "</f>
        <v xml:space="preserve">2170529928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6.43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78.97</v>
      </c>
      <c r="BM1181" s="2">
        <v>11.06</v>
      </c>
      <c r="BN1181" s="2">
        <v>90.03</v>
      </c>
      <c r="BO1181" s="2">
        <v>90.03</v>
      </c>
      <c r="BP1181" s="2"/>
      <c r="BQ1181" s="2" t="s">
        <v>117</v>
      </c>
      <c r="BR1181" s="2" t="s">
        <v>83</v>
      </c>
      <c r="BS1181" s="3">
        <v>42657</v>
      </c>
      <c r="BT1181" s="4">
        <v>0.52083333333333337</v>
      </c>
      <c r="BU1181" s="2" t="s">
        <v>974</v>
      </c>
      <c r="BV1181" s="2" t="s">
        <v>85</v>
      </c>
      <c r="BW1181" s="2"/>
      <c r="BX1181" s="2"/>
      <c r="BY1181" s="2">
        <v>1200</v>
      </c>
      <c r="BZ1181" s="2"/>
      <c r="CA1181" s="2"/>
      <c r="CB1181" s="2"/>
      <c r="CC1181" s="2" t="s">
        <v>254</v>
      </c>
      <c r="CD1181" s="2">
        <v>3370</v>
      </c>
      <c r="CE1181" s="2" t="s">
        <v>108</v>
      </c>
      <c r="CF1181" s="5">
        <v>42661</v>
      </c>
      <c r="CG1181" s="2"/>
      <c r="CH1181" s="2"/>
      <c r="CI1181" s="2">
        <v>3</v>
      </c>
      <c r="CJ1181" s="2">
        <v>1</v>
      </c>
      <c r="CK1181" s="2">
        <v>23</v>
      </c>
      <c r="CL1181" s="2" t="s">
        <v>88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"FES1162506516"</f>
        <v>FES1162506516</v>
      </c>
      <c r="F1182" s="3">
        <v>42656</v>
      </c>
      <c r="G1182" s="2">
        <v>201704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269</v>
      </c>
      <c r="M1182" s="2" t="s">
        <v>270</v>
      </c>
      <c r="N1182" s="2" t="s">
        <v>1543</v>
      </c>
      <c r="O1182" s="2" t="s">
        <v>96</v>
      </c>
      <c r="P1182" s="2" t="str">
        <f>"2170530006                    "</f>
        <v xml:space="preserve">2170530006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3.32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1.3</v>
      </c>
      <c r="BJ1182" s="2">
        <v>1</v>
      </c>
      <c r="BK1182" s="2">
        <v>1.5</v>
      </c>
      <c r="BL1182" s="2">
        <v>40.76</v>
      </c>
      <c r="BM1182" s="2">
        <v>5.71</v>
      </c>
      <c r="BN1182" s="2">
        <v>46.47</v>
      </c>
      <c r="BO1182" s="2">
        <v>46.47</v>
      </c>
      <c r="BP1182" s="2"/>
      <c r="BQ1182" s="2" t="s">
        <v>117</v>
      </c>
      <c r="BR1182" s="2" t="s">
        <v>83</v>
      </c>
      <c r="BS1182" s="3">
        <v>42657</v>
      </c>
      <c r="BT1182" s="4">
        <v>0.4375</v>
      </c>
      <c r="BU1182" s="2" t="s">
        <v>1544</v>
      </c>
      <c r="BV1182" s="2" t="s">
        <v>85</v>
      </c>
      <c r="BW1182" s="2"/>
      <c r="BX1182" s="2"/>
      <c r="BY1182" s="2">
        <v>5024.0600000000004</v>
      </c>
      <c r="BZ1182" s="2"/>
      <c r="CA1182" s="2" t="s">
        <v>129</v>
      </c>
      <c r="CB1182" s="2"/>
      <c r="CC1182" s="2" t="s">
        <v>270</v>
      </c>
      <c r="CD1182" s="2">
        <v>3610</v>
      </c>
      <c r="CE1182" s="2" t="s">
        <v>86</v>
      </c>
      <c r="CF1182" s="5">
        <v>42660</v>
      </c>
      <c r="CG1182" s="2"/>
      <c r="CH1182" s="2"/>
      <c r="CI1182" s="2">
        <v>1</v>
      </c>
      <c r="CJ1182" s="2">
        <v>1</v>
      </c>
      <c r="CK1182" s="2">
        <v>21</v>
      </c>
      <c r="CL1182" s="2" t="s">
        <v>88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"FES1162506440"</f>
        <v>FES1162506440</v>
      </c>
      <c r="F1183" s="3">
        <v>42656</v>
      </c>
      <c r="G1183" s="2">
        <v>201704</v>
      </c>
      <c r="H1183" s="2" t="s">
        <v>74</v>
      </c>
      <c r="I1183" s="2" t="s">
        <v>75</v>
      </c>
      <c r="J1183" s="2" t="s">
        <v>76</v>
      </c>
      <c r="K1183" s="2" t="s">
        <v>77</v>
      </c>
      <c r="L1183" s="2" t="s">
        <v>253</v>
      </c>
      <c r="M1183" s="2" t="s">
        <v>254</v>
      </c>
      <c r="N1183" s="2" t="s">
        <v>255</v>
      </c>
      <c r="O1183" s="2" t="s">
        <v>96</v>
      </c>
      <c r="P1183" s="2" t="str">
        <f>"2170528310                    "</f>
        <v xml:space="preserve">2170528310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6.43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0.5</v>
      </c>
      <c r="BJ1183" s="2">
        <v>0.2</v>
      </c>
      <c r="BK1183" s="2">
        <v>0.5</v>
      </c>
      <c r="BL1183" s="2">
        <v>78.97</v>
      </c>
      <c r="BM1183" s="2">
        <v>11.06</v>
      </c>
      <c r="BN1183" s="2">
        <v>90.03</v>
      </c>
      <c r="BO1183" s="2">
        <v>90.03</v>
      </c>
      <c r="BP1183" s="2"/>
      <c r="BQ1183" s="2" t="s">
        <v>117</v>
      </c>
      <c r="BR1183" s="2" t="s">
        <v>83</v>
      </c>
      <c r="BS1183" s="3">
        <v>42657</v>
      </c>
      <c r="BT1183" s="4">
        <v>0.58333333333333337</v>
      </c>
      <c r="BU1183" s="2" t="s">
        <v>974</v>
      </c>
      <c r="BV1183" s="2" t="s">
        <v>85</v>
      </c>
      <c r="BW1183" s="2"/>
      <c r="BX1183" s="2"/>
      <c r="BY1183" s="2">
        <v>1200</v>
      </c>
      <c r="BZ1183" s="2"/>
      <c r="CA1183" s="2"/>
      <c r="CB1183" s="2"/>
      <c r="CC1183" s="2" t="s">
        <v>254</v>
      </c>
      <c r="CD1183" s="2">
        <v>3370</v>
      </c>
      <c r="CE1183" s="2" t="s">
        <v>108</v>
      </c>
      <c r="CF1183" s="5">
        <v>42661</v>
      </c>
      <c r="CG1183" s="2"/>
      <c r="CH1183" s="2"/>
      <c r="CI1183" s="2">
        <v>3</v>
      </c>
      <c r="CJ1183" s="2">
        <v>1</v>
      </c>
      <c r="CK1183" s="2">
        <v>23</v>
      </c>
      <c r="CL1183" s="2" t="s">
        <v>88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"FES1162506369"</f>
        <v>FES1162506369</v>
      </c>
      <c r="F1184" s="3">
        <v>42656</v>
      </c>
      <c r="G1184" s="2">
        <v>201704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269</v>
      </c>
      <c r="M1184" s="2" t="s">
        <v>270</v>
      </c>
      <c r="N1184" s="2" t="s">
        <v>1545</v>
      </c>
      <c r="O1184" s="2" t="s">
        <v>96</v>
      </c>
      <c r="P1184" s="2" t="str">
        <f>"2170529918                    "</f>
        <v xml:space="preserve">2170529918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3.32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0.3</v>
      </c>
      <c r="BJ1184" s="2">
        <v>1.4</v>
      </c>
      <c r="BK1184" s="2">
        <v>1.5</v>
      </c>
      <c r="BL1184" s="2">
        <v>40.76</v>
      </c>
      <c r="BM1184" s="2">
        <v>5.71</v>
      </c>
      <c r="BN1184" s="2">
        <v>46.47</v>
      </c>
      <c r="BO1184" s="2">
        <v>46.47</v>
      </c>
      <c r="BP1184" s="2"/>
      <c r="BQ1184" s="2" t="s">
        <v>91</v>
      </c>
      <c r="BR1184" s="2" t="s">
        <v>83</v>
      </c>
      <c r="BS1184" s="3">
        <v>42657</v>
      </c>
      <c r="BT1184" s="4">
        <v>0.4375</v>
      </c>
      <c r="BU1184" s="2" t="s">
        <v>1546</v>
      </c>
      <c r="BV1184" s="2" t="s">
        <v>85</v>
      </c>
      <c r="BW1184" s="2"/>
      <c r="BX1184" s="2"/>
      <c r="BY1184" s="2">
        <v>6915.42</v>
      </c>
      <c r="BZ1184" s="2"/>
      <c r="CA1184" s="2" t="s">
        <v>129</v>
      </c>
      <c r="CB1184" s="2"/>
      <c r="CC1184" s="2" t="s">
        <v>270</v>
      </c>
      <c r="CD1184" s="2">
        <v>3610</v>
      </c>
      <c r="CE1184" s="2" t="s">
        <v>108</v>
      </c>
      <c r="CF1184" s="5">
        <v>42660</v>
      </c>
      <c r="CG1184" s="2"/>
      <c r="CH1184" s="2"/>
      <c r="CI1184" s="2">
        <v>1</v>
      </c>
      <c r="CJ1184" s="2">
        <v>1</v>
      </c>
      <c r="CK1184" s="2">
        <v>21</v>
      </c>
      <c r="CL1184" s="2" t="s">
        <v>88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"FES1162506471"</f>
        <v>FES1162506471</v>
      </c>
      <c r="F1185" s="3">
        <v>42656</v>
      </c>
      <c r="G1185" s="2">
        <v>201704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510</v>
      </c>
      <c r="M1185" s="2" t="s">
        <v>511</v>
      </c>
      <c r="N1185" s="2" t="s">
        <v>982</v>
      </c>
      <c r="O1185" s="2" t="s">
        <v>96</v>
      </c>
      <c r="P1185" s="2" t="str">
        <f>"2170529944                    "</f>
        <v xml:space="preserve">2170529944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3.32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0.5</v>
      </c>
      <c r="BJ1185" s="2">
        <v>0.2</v>
      </c>
      <c r="BK1185" s="2">
        <v>0.5</v>
      </c>
      <c r="BL1185" s="2">
        <v>40.76</v>
      </c>
      <c r="BM1185" s="2">
        <v>5.71</v>
      </c>
      <c r="BN1185" s="2">
        <v>46.47</v>
      </c>
      <c r="BO1185" s="2">
        <v>46.47</v>
      </c>
      <c r="BP1185" s="2"/>
      <c r="BQ1185" s="2" t="s">
        <v>983</v>
      </c>
      <c r="BR1185" s="2" t="s">
        <v>83</v>
      </c>
      <c r="BS1185" s="3">
        <v>42657</v>
      </c>
      <c r="BT1185" s="4">
        <v>0.41666666666666669</v>
      </c>
      <c r="BU1185" s="2" t="s">
        <v>1547</v>
      </c>
      <c r="BV1185" s="2" t="s">
        <v>85</v>
      </c>
      <c r="BW1185" s="2"/>
      <c r="BX1185" s="2"/>
      <c r="BY1185" s="2">
        <v>1200</v>
      </c>
      <c r="BZ1185" s="2"/>
      <c r="CA1185" s="2"/>
      <c r="CB1185" s="2"/>
      <c r="CC1185" s="2" t="s">
        <v>511</v>
      </c>
      <c r="CD1185" s="2">
        <v>3290</v>
      </c>
      <c r="CE1185" s="2" t="s">
        <v>108</v>
      </c>
      <c r="CF1185" s="5">
        <v>42660</v>
      </c>
      <c r="CG1185" s="2"/>
      <c r="CH1185" s="2"/>
      <c r="CI1185" s="2">
        <v>1</v>
      </c>
      <c r="CJ1185" s="2">
        <v>1</v>
      </c>
      <c r="CK1185" s="2">
        <v>21</v>
      </c>
      <c r="CL1185" s="2" t="s">
        <v>88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"FES1162506540"</f>
        <v>FES1162506540</v>
      </c>
      <c r="F1186" s="3">
        <v>42656</v>
      </c>
      <c r="G1186" s="2">
        <v>201704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143</v>
      </c>
      <c r="M1186" s="2" t="s">
        <v>144</v>
      </c>
      <c r="N1186" s="2" t="s">
        <v>1315</v>
      </c>
      <c r="O1186" s="2" t="s">
        <v>96</v>
      </c>
      <c r="P1186" s="2" t="str">
        <f>"2170530025                    "</f>
        <v xml:space="preserve">2170530025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3.32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0.5</v>
      </c>
      <c r="BJ1186" s="2">
        <v>0.2</v>
      </c>
      <c r="BK1186" s="2">
        <v>0.5</v>
      </c>
      <c r="BL1186" s="2">
        <v>40.76</v>
      </c>
      <c r="BM1186" s="2">
        <v>5.71</v>
      </c>
      <c r="BN1186" s="2">
        <v>46.47</v>
      </c>
      <c r="BO1186" s="2">
        <v>46.47</v>
      </c>
      <c r="BP1186" s="2"/>
      <c r="BQ1186" s="2" t="s">
        <v>1316</v>
      </c>
      <c r="BR1186" s="2" t="s">
        <v>83</v>
      </c>
      <c r="BS1186" s="3">
        <v>42657</v>
      </c>
      <c r="BT1186" s="4">
        <v>0.625</v>
      </c>
      <c r="BU1186" s="2" t="s">
        <v>1548</v>
      </c>
      <c r="BV1186" s="2"/>
      <c r="BW1186" s="2" t="s">
        <v>277</v>
      </c>
      <c r="BX1186" s="2" t="s">
        <v>1549</v>
      </c>
      <c r="BY1186" s="2">
        <v>1200</v>
      </c>
      <c r="BZ1186" s="2"/>
      <c r="CA1186" s="2"/>
      <c r="CB1186" s="2"/>
      <c r="CC1186" s="2" t="s">
        <v>144</v>
      </c>
      <c r="CD1186" s="2">
        <v>5201</v>
      </c>
      <c r="CE1186" s="2" t="s">
        <v>108</v>
      </c>
      <c r="CF1186" s="5">
        <v>42660</v>
      </c>
      <c r="CG1186" s="2"/>
      <c r="CH1186" s="2"/>
      <c r="CI1186" s="2">
        <v>0</v>
      </c>
      <c r="CJ1186" s="2">
        <v>0</v>
      </c>
      <c r="CK1186" s="2">
        <v>21</v>
      </c>
      <c r="CL1186" s="2" t="s">
        <v>88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"FES1162506562"</f>
        <v>FES1162506562</v>
      </c>
      <c r="F1187" s="3">
        <v>42656</v>
      </c>
      <c r="G1187" s="2">
        <v>201704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137</v>
      </c>
      <c r="M1187" s="2" t="s">
        <v>138</v>
      </c>
      <c r="N1187" s="2" t="s">
        <v>996</v>
      </c>
      <c r="O1187" s="2" t="s">
        <v>96</v>
      </c>
      <c r="P1187" s="2" t="str">
        <f>"2170530055                    "</f>
        <v xml:space="preserve">2170530055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3.32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1</v>
      </c>
      <c r="BI1187" s="2">
        <v>0.5</v>
      </c>
      <c r="BJ1187" s="2">
        <v>0.2</v>
      </c>
      <c r="BK1187" s="2">
        <v>0.5</v>
      </c>
      <c r="BL1187" s="2">
        <v>40.76</v>
      </c>
      <c r="BM1187" s="2">
        <v>5.71</v>
      </c>
      <c r="BN1187" s="2">
        <v>46.47</v>
      </c>
      <c r="BO1187" s="2">
        <v>46.47</v>
      </c>
      <c r="BP1187" s="2"/>
      <c r="BQ1187" s="2" t="s">
        <v>168</v>
      </c>
      <c r="BR1187" s="2" t="s">
        <v>83</v>
      </c>
      <c r="BS1187" s="3">
        <v>42657</v>
      </c>
      <c r="BT1187" s="4">
        <v>0.4201388888888889</v>
      </c>
      <c r="BU1187" s="2" t="s">
        <v>1550</v>
      </c>
      <c r="BV1187" s="2" t="s">
        <v>85</v>
      </c>
      <c r="BW1187" s="2"/>
      <c r="BX1187" s="2"/>
      <c r="BY1187" s="2">
        <v>1200</v>
      </c>
      <c r="BZ1187" s="2"/>
      <c r="CA1187" s="2" t="s">
        <v>1091</v>
      </c>
      <c r="CB1187" s="2"/>
      <c r="CC1187" s="2" t="s">
        <v>138</v>
      </c>
      <c r="CD1187" s="2">
        <v>3212</v>
      </c>
      <c r="CE1187" s="2" t="s">
        <v>108</v>
      </c>
      <c r="CF1187" s="5">
        <v>42657</v>
      </c>
      <c r="CG1187" s="2"/>
      <c r="CH1187" s="2"/>
      <c r="CI1187" s="2">
        <v>1</v>
      </c>
      <c r="CJ1187" s="2">
        <v>1</v>
      </c>
      <c r="CK1187" s="2">
        <v>21</v>
      </c>
      <c r="CL1187" s="2" t="s">
        <v>88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"FES1162506443"</f>
        <v>FES1162506443</v>
      </c>
      <c r="F1188" s="3">
        <v>42656</v>
      </c>
      <c r="G1188" s="2">
        <v>201704</v>
      </c>
      <c r="H1188" s="2" t="s">
        <v>74</v>
      </c>
      <c r="I1188" s="2" t="s">
        <v>75</v>
      </c>
      <c r="J1188" s="2" t="s">
        <v>76</v>
      </c>
      <c r="K1188" s="2" t="s">
        <v>77</v>
      </c>
      <c r="L1188" s="2" t="s">
        <v>253</v>
      </c>
      <c r="M1188" s="2" t="s">
        <v>254</v>
      </c>
      <c r="N1188" s="2" t="s">
        <v>255</v>
      </c>
      <c r="O1188" s="2" t="s">
        <v>96</v>
      </c>
      <c r="P1188" s="2" t="str">
        <f>"2170528580                    "</f>
        <v xml:space="preserve">2170528580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6.43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1</v>
      </c>
      <c r="BJ1188" s="2">
        <v>0.2</v>
      </c>
      <c r="BK1188" s="2">
        <v>1</v>
      </c>
      <c r="BL1188" s="2">
        <v>78.97</v>
      </c>
      <c r="BM1188" s="2">
        <v>11.06</v>
      </c>
      <c r="BN1188" s="2">
        <v>90.03</v>
      </c>
      <c r="BO1188" s="2">
        <v>90.03</v>
      </c>
      <c r="BP1188" s="2"/>
      <c r="BQ1188" s="2" t="s">
        <v>117</v>
      </c>
      <c r="BR1188" s="2" t="s">
        <v>83</v>
      </c>
      <c r="BS1188" s="3">
        <v>42657</v>
      </c>
      <c r="BT1188" s="4">
        <v>0.59722222222222221</v>
      </c>
      <c r="BU1188" s="2" t="s">
        <v>974</v>
      </c>
      <c r="BV1188" s="2" t="s">
        <v>85</v>
      </c>
      <c r="BW1188" s="2"/>
      <c r="BX1188" s="2"/>
      <c r="BY1188" s="2">
        <v>1200</v>
      </c>
      <c r="BZ1188" s="2"/>
      <c r="CA1188" s="2"/>
      <c r="CB1188" s="2"/>
      <c r="CC1188" s="2" t="s">
        <v>254</v>
      </c>
      <c r="CD1188" s="2">
        <v>3370</v>
      </c>
      <c r="CE1188" s="2" t="s">
        <v>108</v>
      </c>
      <c r="CF1188" s="5">
        <v>42661</v>
      </c>
      <c r="CG1188" s="2"/>
      <c r="CH1188" s="2"/>
      <c r="CI1188" s="2">
        <v>3</v>
      </c>
      <c r="CJ1188" s="2">
        <v>1</v>
      </c>
      <c r="CK1188" s="2">
        <v>23</v>
      </c>
      <c r="CL1188" s="2" t="s">
        <v>88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"FES1162506509"</f>
        <v>FES1162506509</v>
      </c>
      <c r="F1189" s="3">
        <v>42656</v>
      </c>
      <c r="G1189" s="2">
        <v>201704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207</v>
      </c>
      <c r="M1189" s="2" t="s">
        <v>208</v>
      </c>
      <c r="N1189" s="2" t="s">
        <v>1551</v>
      </c>
      <c r="O1189" s="2" t="s">
        <v>96</v>
      </c>
      <c r="P1189" s="2" t="str">
        <f>"2170529990                    "</f>
        <v xml:space="preserve">2170529990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3.32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0.5</v>
      </c>
      <c r="BJ1189" s="2">
        <v>0.2</v>
      </c>
      <c r="BK1189" s="2">
        <v>0.5</v>
      </c>
      <c r="BL1189" s="2">
        <v>40.76</v>
      </c>
      <c r="BM1189" s="2">
        <v>5.71</v>
      </c>
      <c r="BN1189" s="2">
        <v>46.47</v>
      </c>
      <c r="BO1189" s="2">
        <v>46.47</v>
      </c>
      <c r="BP1189" s="2"/>
      <c r="BQ1189" s="2" t="s">
        <v>117</v>
      </c>
      <c r="BR1189" s="2" t="s">
        <v>83</v>
      </c>
      <c r="BS1189" s="3">
        <v>42657</v>
      </c>
      <c r="BT1189" s="4">
        <v>0.4375</v>
      </c>
      <c r="BU1189" s="2" t="s">
        <v>1552</v>
      </c>
      <c r="BV1189" s="2" t="s">
        <v>85</v>
      </c>
      <c r="BW1189" s="2"/>
      <c r="BX1189" s="2"/>
      <c r="BY1189" s="2">
        <v>1200</v>
      </c>
      <c r="BZ1189" s="2"/>
      <c r="CA1189" s="2"/>
      <c r="CB1189" s="2"/>
      <c r="CC1189" s="2" t="s">
        <v>208</v>
      </c>
      <c r="CD1189" s="2">
        <v>4113</v>
      </c>
      <c r="CE1189" s="2" t="s">
        <v>108</v>
      </c>
      <c r="CF1189" s="5">
        <v>42660</v>
      </c>
      <c r="CG1189" s="2"/>
      <c r="CH1189" s="2"/>
      <c r="CI1189" s="2">
        <v>1</v>
      </c>
      <c r="CJ1189" s="2">
        <v>1</v>
      </c>
      <c r="CK1189" s="2">
        <v>21</v>
      </c>
      <c r="CL1189" s="2" t="s">
        <v>88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"FES1162506384"</f>
        <v>FES1162506384</v>
      </c>
      <c r="F1190" s="3">
        <v>42656</v>
      </c>
      <c r="G1190" s="2">
        <v>201704</v>
      </c>
      <c r="H1190" s="2" t="s">
        <v>74</v>
      </c>
      <c r="I1190" s="2" t="s">
        <v>75</v>
      </c>
      <c r="J1190" s="2" t="s">
        <v>76</v>
      </c>
      <c r="K1190" s="2" t="s">
        <v>77</v>
      </c>
      <c r="L1190" s="2" t="s">
        <v>98</v>
      </c>
      <c r="M1190" s="2" t="s">
        <v>99</v>
      </c>
      <c r="N1190" s="2" t="s">
        <v>109</v>
      </c>
      <c r="O1190" s="2" t="s">
        <v>96</v>
      </c>
      <c r="P1190" s="2" t="str">
        <f>"2170526230                    "</f>
        <v xml:space="preserve">2170526230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3.32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1</v>
      </c>
      <c r="BI1190" s="2">
        <v>0.5</v>
      </c>
      <c r="BJ1190" s="2">
        <v>0.2</v>
      </c>
      <c r="BK1190" s="2">
        <v>0.5</v>
      </c>
      <c r="BL1190" s="2">
        <v>40.76</v>
      </c>
      <c r="BM1190" s="2">
        <v>5.71</v>
      </c>
      <c r="BN1190" s="2">
        <v>46.47</v>
      </c>
      <c r="BO1190" s="2">
        <v>46.47</v>
      </c>
      <c r="BP1190" s="2"/>
      <c r="BQ1190" s="2" t="s">
        <v>110</v>
      </c>
      <c r="BR1190" s="2" t="s">
        <v>83</v>
      </c>
      <c r="BS1190" s="3">
        <v>42657</v>
      </c>
      <c r="BT1190" s="4">
        <v>0.35416666666666669</v>
      </c>
      <c r="BU1190" s="2" t="s">
        <v>111</v>
      </c>
      <c r="BV1190" s="2" t="s">
        <v>85</v>
      </c>
      <c r="BW1190" s="2"/>
      <c r="BX1190" s="2"/>
      <c r="BY1190" s="2">
        <v>1200</v>
      </c>
      <c r="BZ1190" s="2"/>
      <c r="CA1190" s="2" t="s">
        <v>107</v>
      </c>
      <c r="CB1190" s="2"/>
      <c r="CC1190" s="2" t="s">
        <v>99</v>
      </c>
      <c r="CD1190" s="2">
        <v>6001</v>
      </c>
      <c r="CE1190" s="2" t="s">
        <v>108</v>
      </c>
      <c r="CF1190" s="5">
        <v>42657</v>
      </c>
      <c r="CG1190" s="2"/>
      <c r="CH1190" s="2"/>
      <c r="CI1190" s="2">
        <v>1</v>
      </c>
      <c r="CJ1190" s="2">
        <v>1</v>
      </c>
      <c r="CK1190" s="2">
        <v>21</v>
      </c>
      <c r="CL1190" s="2" t="s">
        <v>88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"FES1162506449"</f>
        <v>FES1162506449</v>
      </c>
      <c r="F1191" s="3">
        <v>42656</v>
      </c>
      <c r="G1191" s="2">
        <v>201704</v>
      </c>
      <c r="H1191" s="2" t="s">
        <v>74</v>
      </c>
      <c r="I1191" s="2" t="s">
        <v>75</v>
      </c>
      <c r="J1191" s="2" t="s">
        <v>76</v>
      </c>
      <c r="K1191" s="2" t="s">
        <v>77</v>
      </c>
      <c r="L1191" s="2" t="s">
        <v>98</v>
      </c>
      <c r="M1191" s="2" t="s">
        <v>99</v>
      </c>
      <c r="N1191" s="2" t="s">
        <v>1250</v>
      </c>
      <c r="O1191" s="2" t="s">
        <v>96</v>
      </c>
      <c r="P1191" s="2" t="str">
        <f>"2170529423                    "</f>
        <v xml:space="preserve">2170529423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3.32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1.2</v>
      </c>
      <c r="BJ1191" s="2">
        <v>1.5</v>
      </c>
      <c r="BK1191" s="2">
        <v>1.5</v>
      </c>
      <c r="BL1191" s="2">
        <v>40.76</v>
      </c>
      <c r="BM1191" s="2">
        <v>5.71</v>
      </c>
      <c r="BN1191" s="2">
        <v>46.47</v>
      </c>
      <c r="BO1191" s="2">
        <v>46.47</v>
      </c>
      <c r="BP1191" s="2"/>
      <c r="BQ1191" s="2" t="s">
        <v>1251</v>
      </c>
      <c r="BR1191" s="2" t="s">
        <v>83</v>
      </c>
      <c r="BS1191" s="3">
        <v>42657</v>
      </c>
      <c r="BT1191" s="4">
        <v>0.31041666666666667</v>
      </c>
      <c r="BU1191" s="2" t="s">
        <v>1252</v>
      </c>
      <c r="BV1191" s="2" t="s">
        <v>85</v>
      </c>
      <c r="BW1191" s="2"/>
      <c r="BX1191" s="2"/>
      <c r="BY1191" s="2">
        <v>7732.56</v>
      </c>
      <c r="BZ1191" s="2"/>
      <c r="CA1191" s="2" t="s">
        <v>107</v>
      </c>
      <c r="CB1191" s="2"/>
      <c r="CC1191" s="2" t="s">
        <v>99</v>
      </c>
      <c r="CD1191" s="2">
        <v>6012</v>
      </c>
      <c r="CE1191" s="2" t="s">
        <v>108</v>
      </c>
      <c r="CF1191" s="5">
        <v>42657</v>
      </c>
      <c r="CG1191" s="2"/>
      <c r="CH1191" s="2"/>
      <c r="CI1191" s="2">
        <v>1</v>
      </c>
      <c r="CJ1191" s="2">
        <v>1</v>
      </c>
      <c r="CK1191" s="2">
        <v>21</v>
      </c>
      <c r="CL1191" s="2" t="s">
        <v>88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"FES1162506499"</f>
        <v>FES1162506499</v>
      </c>
      <c r="F1192" s="3">
        <v>42656</v>
      </c>
      <c r="G1192" s="2">
        <v>201704</v>
      </c>
      <c r="H1192" s="2" t="s">
        <v>74</v>
      </c>
      <c r="I1192" s="2" t="s">
        <v>75</v>
      </c>
      <c r="J1192" s="2" t="s">
        <v>76</v>
      </c>
      <c r="K1192" s="2" t="s">
        <v>77</v>
      </c>
      <c r="L1192" s="2" t="s">
        <v>269</v>
      </c>
      <c r="M1192" s="2" t="s">
        <v>270</v>
      </c>
      <c r="N1192" s="2" t="s">
        <v>1450</v>
      </c>
      <c r="O1192" s="2" t="s">
        <v>96</v>
      </c>
      <c r="P1192" s="2" t="str">
        <f>"2170529980                    "</f>
        <v xml:space="preserve">2170529980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3.32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0.5</v>
      </c>
      <c r="BJ1192" s="2">
        <v>0.2</v>
      </c>
      <c r="BK1192" s="2">
        <v>0.5</v>
      </c>
      <c r="BL1192" s="2">
        <v>40.76</v>
      </c>
      <c r="BM1192" s="2">
        <v>5.71</v>
      </c>
      <c r="BN1192" s="2">
        <v>46.47</v>
      </c>
      <c r="BO1192" s="2">
        <v>46.47</v>
      </c>
      <c r="BP1192" s="2"/>
      <c r="BQ1192" s="2" t="s">
        <v>1451</v>
      </c>
      <c r="BR1192" s="2" t="s">
        <v>83</v>
      </c>
      <c r="BS1192" s="3">
        <v>42657</v>
      </c>
      <c r="BT1192" s="4">
        <v>0.31805555555555554</v>
      </c>
      <c r="BU1192" s="2" t="s">
        <v>238</v>
      </c>
      <c r="BV1192" s="2" t="s">
        <v>85</v>
      </c>
      <c r="BW1192" s="2"/>
      <c r="BX1192" s="2"/>
      <c r="BY1192" s="2">
        <v>1200</v>
      </c>
      <c r="BZ1192" s="2"/>
      <c r="CA1192" s="2"/>
      <c r="CB1192" s="2"/>
      <c r="CC1192" s="2" t="s">
        <v>270</v>
      </c>
      <c r="CD1192" s="2">
        <v>3610</v>
      </c>
      <c r="CE1192" s="2" t="s">
        <v>108</v>
      </c>
      <c r="CF1192" s="5">
        <v>42660</v>
      </c>
      <c r="CG1192" s="2"/>
      <c r="CH1192" s="2"/>
      <c r="CI1192" s="2">
        <v>1</v>
      </c>
      <c r="CJ1192" s="2">
        <v>1</v>
      </c>
      <c r="CK1192" s="2">
        <v>21</v>
      </c>
      <c r="CL1192" s="2" t="s">
        <v>88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"FES1162506393"</f>
        <v>FES1162506393</v>
      </c>
      <c r="F1193" s="3">
        <v>42656</v>
      </c>
      <c r="G1193" s="2">
        <v>201704</v>
      </c>
      <c r="H1193" s="2" t="s">
        <v>74</v>
      </c>
      <c r="I1193" s="2" t="s">
        <v>75</v>
      </c>
      <c r="J1193" s="2" t="s">
        <v>76</v>
      </c>
      <c r="K1193" s="2" t="s">
        <v>77</v>
      </c>
      <c r="L1193" s="2" t="s">
        <v>160</v>
      </c>
      <c r="M1193" s="2" t="s">
        <v>161</v>
      </c>
      <c r="N1193" s="2" t="s">
        <v>244</v>
      </c>
      <c r="O1193" s="2" t="s">
        <v>96</v>
      </c>
      <c r="P1193" s="2" t="str">
        <f>"2170527198                    "</f>
        <v xml:space="preserve">2170527198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5.81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2.9</v>
      </c>
      <c r="BJ1193" s="2">
        <v>3.4</v>
      </c>
      <c r="BK1193" s="2">
        <v>3.5</v>
      </c>
      <c r="BL1193" s="2">
        <v>71.33</v>
      </c>
      <c r="BM1193" s="2">
        <v>9.99</v>
      </c>
      <c r="BN1193" s="2">
        <v>81.319999999999993</v>
      </c>
      <c r="BO1193" s="2">
        <v>81.319999999999993</v>
      </c>
      <c r="BP1193" s="2"/>
      <c r="BQ1193" s="2" t="s">
        <v>117</v>
      </c>
      <c r="BR1193" s="2" t="s">
        <v>83</v>
      </c>
      <c r="BS1193" s="3">
        <v>42657</v>
      </c>
      <c r="BT1193" s="4">
        <v>0.42569444444444443</v>
      </c>
      <c r="BU1193" s="2" t="s">
        <v>245</v>
      </c>
      <c r="BV1193" s="2" t="s">
        <v>85</v>
      </c>
      <c r="BW1193" s="2"/>
      <c r="BX1193" s="2"/>
      <c r="BY1193" s="2">
        <v>16844.650000000001</v>
      </c>
      <c r="BZ1193" s="2"/>
      <c r="CA1193" s="2"/>
      <c r="CB1193" s="2"/>
      <c r="CC1193" s="2" t="s">
        <v>161</v>
      </c>
      <c r="CD1193" s="2">
        <v>7800</v>
      </c>
      <c r="CE1193" s="2" t="s">
        <v>86</v>
      </c>
      <c r="CF1193" s="5">
        <v>42660</v>
      </c>
      <c r="CG1193" s="2"/>
      <c r="CH1193" s="2"/>
      <c r="CI1193" s="2">
        <v>1</v>
      </c>
      <c r="CJ1193" s="2">
        <v>1</v>
      </c>
      <c r="CK1193" s="2">
        <v>21</v>
      </c>
      <c r="CL1193" s="2" t="s">
        <v>88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"FES1162506421"</f>
        <v>FES1162506421</v>
      </c>
      <c r="F1194" s="3">
        <v>42656</v>
      </c>
      <c r="G1194" s="2">
        <v>201704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98</v>
      </c>
      <c r="M1194" s="2" t="s">
        <v>99</v>
      </c>
      <c r="N1194" s="2" t="s">
        <v>1553</v>
      </c>
      <c r="O1194" s="2" t="s">
        <v>96</v>
      </c>
      <c r="P1194" s="2" t="str">
        <f>"2170527771                    "</f>
        <v xml:space="preserve">2170527771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3.32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1.8</v>
      </c>
      <c r="BJ1194" s="2">
        <v>1.8</v>
      </c>
      <c r="BK1194" s="2">
        <v>2</v>
      </c>
      <c r="BL1194" s="2">
        <v>40.76</v>
      </c>
      <c r="BM1194" s="2">
        <v>5.71</v>
      </c>
      <c r="BN1194" s="2">
        <v>46.47</v>
      </c>
      <c r="BO1194" s="2">
        <v>46.47</v>
      </c>
      <c r="BP1194" s="2"/>
      <c r="BQ1194" s="2" t="s">
        <v>1554</v>
      </c>
      <c r="BR1194" s="2" t="s">
        <v>83</v>
      </c>
      <c r="BS1194" s="3">
        <v>42657</v>
      </c>
      <c r="BT1194" s="4">
        <v>0.38194444444444442</v>
      </c>
      <c r="BU1194" s="2" t="s">
        <v>554</v>
      </c>
      <c r="BV1194" s="2" t="s">
        <v>85</v>
      </c>
      <c r="BW1194" s="2"/>
      <c r="BX1194" s="2"/>
      <c r="BY1194" s="2">
        <v>9073.16</v>
      </c>
      <c r="BZ1194" s="2"/>
      <c r="CA1194" s="2"/>
      <c r="CB1194" s="2"/>
      <c r="CC1194" s="2" t="s">
        <v>99</v>
      </c>
      <c r="CD1194" s="2">
        <v>6001</v>
      </c>
      <c r="CE1194" s="2" t="s">
        <v>368</v>
      </c>
      <c r="CF1194" s="5">
        <v>42660</v>
      </c>
      <c r="CG1194" s="2"/>
      <c r="CH1194" s="2"/>
      <c r="CI1194" s="2">
        <v>1</v>
      </c>
      <c r="CJ1194" s="2">
        <v>1</v>
      </c>
      <c r="CK1194" s="2">
        <v>21</v>
      </c>
      <c r="CL1194" s="2" t="s">
        <v>88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"FES1162506616"</f>
        <v>FES1162506616</v>
      </c>
      <c r="F1195" s="3">
        <v>42656</v>
      </c>
      <c r="G1195" s="2">
        <v>201704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98</v>
      </c>
      <c r="M1195" s="2" t="s">
        <v>99</v>
      </c>
      <c r="N1195" s="2" t="s">
        <v>1318</v>
      </c>
      <c r="O1195" s="2" t="s">
        <v>96</v>
      </c>
      <c r="P1195" s="2" t="str">
        <f>"2170530124                    "</f>
        <v xml:space="preserve">2170530124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3.32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0.6</v>
      </c>
      <c r="BJ1195" s="2">
        <v>1.2</v>
      </c>
      <c r="BK1195" s="2">
        <v>1.5</v>
      </c>
      <c r="BL1195" s="2">
        <v>40.76</v>
      </c>
      <c r="BM1195" s="2">
        <v>5.71</v>
      </c>
      <c r="BN1195" s="2">
        <v>46.47</v>
      </c>
      <c r="BO1195" s="2">
        <v>46.47</v>
      </c>
      <c r="BP1195" s="2"/>
      <c r="BQ1195" s="2" t="s">
        <v>1555</v>
      </c>
      <c r="BR1195" s="2" t="s">
        <v>83</v>
      </c>
      <c r="BS1195" s="3">
        <v>42657</v>
      </c>
      <c r="BT1195" s="4">
        <v>0.30208333333333331</v>
      </c>
      <c r="BU1195" s="2" t="s">
        <v>1319</v>
      </c>
      <c r="BV1195" s="2" t="s">
        <v>85</v>
      </c>
      <c r="BW1195" s="2"/>
      <c r="BX1195" s="2"/>
      <c r="BY1195" s="2">
        <v>5822.54</v>
      </c>
      <c r="BZ1195" s="2"/>
      <c r="CA1195" s="2" t="s">
        <v>107</v>
      </c>
      <c r="CB1195" s="2"/>
      <c r="CC1195" s="2" t="s">
        <v>99</v>
      </c>
      <c r="CD1195" s="2">
        <v>6012</v>
      </c>
      <c r="CE1195" s="2" t="s">
        <v>108</v>
      </c>
      <c r="CF1195" s="5">
        <v>42657</v>
      </c>
      <c r="CG1195" s="2"/>
      <c r="CH1195" s="2"/>
      <c r="CI1195" s="2">
        <v>1</v>
      </c>
      <c r="CJ1195" s="2">
        <v>1</v>
      </c>
      <c r="CK1195" s="2">
        <v>21</v>
      </c>
      <c r="CL1195" s="2" t="s">
        <v>88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"FES1162506367"</f>
        <v>FES1162506367</v>
      </c>
      <c r="F1196" s="3">
        <v>42656</v>
      </c>
      <c r="G1196" s="2">
        <v>201704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143</v>
      </c>
      <c r="M1196" s="2" t="s">
        <v>144</v>
      </c>
      <c r="N1196" s="2" t="s">
        <v>1271</v>
      </c>
      <c r="O1196" s="2" t="s">
        <v>96</v>
      </c>
      <c r="P1196" s="2" t="str">
        <f>"2170529916                    "</f>
        <v xml:space="preserve">2170529916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5.81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3.1</v>
      </c>
      <c r="BJ1196" s="2">
        <v>1.3</v>
      </c>
      <c r="BK1196" s="2">
        <v>3.5</v>
      </c>
      <c r="BL1196" s="2">
        <v>71.33</v>
      </c>
      <c r="BM1196" s="2">
        <v>9.99</v>
      </c>
      <c r="BN1196" s="2">
        <v>81.319999999999993</v>
      </c>
      <c r="BO1196" s="2">
        <v>81.319999999999993</v>
      </c>
      <c r="BP1196" s="2"/>
      <c r="BQ1196" s="2">
        <v>1162506367</v>
      </c>
      <c r="BR1196" s="2" t="s">
        <v>83</v>
      </c>
      <c r="BS1196" s="3">
        <v>42657</v>
      </c>
      <c r="BT1196" s="4">
        <v>0.48055555555555557</v>
      </c>
      <c r="BU1196" s="2" t="s">
        <v>1416</v>
      </c>
      <c r="BV1196" s="2" t="s">
        <v>88</v>
      </c>
      <c r="BW1196" s="2" t="s">
        <v>277</v>
      </c>
      <c r="BX1196" s="2" t="s">
        <v>548</v>
      </c>
      <c r="BY1196" s="2">
        <v>6511.86</v>
      </c>
      <c r="BZ1196" s="2"/>
      <c r="CA1196" s="2"/>
      <c r="CB1196" s="2"/>
      <c r="CC1196" s="2" t="s">
        <v>144</v>
      </c>
      <c r="CD1196" s="2">
        <v>5201</v>
      </c>
      <c r="CE1196" s="2" t="s">
        <v>368</v>
      </c>
      <c r="CF1196" s="5">
        <v>42660</v>
      </c>
      <c r="CG1196" s="2"/>
      <c r="CH1196" s="2"/>
      <c r="CI1196" s="2">
        <v>1</v>
      </c>
      <c r="CJ1196" s="2">
        <v>1</v>
      </c>
      <c r="CK1196" s="2">
        <v>21</v>
      </c>
      <c r="CL1196" s="2" t="s">
        <v>88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"FES1162506489"</f>
        <v>FES1162506489</v>
      </c>
      <c r="F1197" s="3">
        <v>42656</v>
      </c>
      <c r="G1197" s="2">
        <v>201704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98</v>
      </c>
      <c r="M1197" s="2" t="s">
        <v>99</v>
      </c>
      <c r="N1197" s="2" t="s">
        <v>832</v>
      </c>
      <c r="O1197" s="2" t="s">
        <v>96</v>
      </c>
      <c r="P1197" s="2" t="str">
        <f>"2170529868                    "</f>
        <v xml:space="preserve">2170529868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3.32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40.76</v>
      </c>
      <c r="BM1197" s="2">
        <v>5.71</v>
      </c>
      <c r="BN1197" s="2">
        <v>46.47</v>
      </c>
      <c r="BO1197" s="2">
        <v>46.47</v>
      </c>
      <c r="BP1197" s="2"/>
      <c r="BQ1197" s="2" t="s">
        <v>833</v>
      </c>
      <c r="BR1197" s="2" t="s">
        <v>83</v>
      </c>
      <c r="BS1197" s="3">
        <v>42657</v>
      </c>
      <c r="BT1197" s="4">
        <v>0.3298611111111111</v>
      </c>
      <c r="BU1197" s="2" t="s">
        <v>1071</v>
      </c>
      <c r="BV1197" s="2" t="s">
        <v>85</v>
      </c>
      <c r="BW1197" s="2"/>
      <c r="BX1197" s="2"/>
      <c r="BY1197" s="2">
        <v>1200</v>
      </c>
      <c r="BZ1197" s="2"/>
      <c r="CA1197" s="2" t="s">
        <v>437</v>
      </c>
      <c r="CB1197" s="2"/>
      <c r="CC1197" s="2" t="s">
        <v>99</v>
      </c>
      <c r="CD1197" s="2">
        <v>6001</v>
      </c>
      <c r="CE1197" s="2" t="s">
        <v>108</v>
      </c>
      <c r="CF1197" s="5">
        <v>42657</v>
      </c>
      <c r="CG1197" s="2"/>
      <c r="CH1197" s="2"/>
      <c r="CI1197" s="2">
        <v>1</v>
      </c>
      <c r="CJ1197" s="2">
        <v>1</v>
      </c>
      <c r="CK1197" s="2">
        <v>21</v>
      </c>
      <c r="CL1197" s="2" t="s">
        <v>88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"FES1162506415"</f>
        <v>FES1162506415</v>
      </c>
      <c r="F1198" s="3">
        <v>42656</v>
      </c>
      <c r="G1198" s="2">
        <v>201704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98</v>
      </c>
      <c r="M1198" s="2" t="s">
        <v>99</v>
      </c>
      <c r="N1198" s="2" t="s">
        <v>104</v>
      </c>
      <c r="O1198" s="2" t="s">
        <v>96</v>
      </c>
      <c r="P1198" s="2" t="str">
        <f>"2170527677                    "</f>
        <v xml:space="preserve">2170527677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3.32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1</v>
      </c>
      <c r="BJ1198" s="2">
        <v>0.2</v>
      </c>
      <c r="BK1198" s="2">
        <v>1</v>
      </c>
      <c r="BL1198" s="2">
        <v>40.76</v>
      </c>
      <c r="BM1198" s="2">
        <v>5.71</v>
      </c>
      <c r="BN1198" s="2">
        <v>46.47</v>
      </c>
      <c r="BO1198" s="2">
        <v>46.47</v>
      </c>
      <c r="BP1198" s="2"/>
      <c r="BQ1198" s="2" t="s">
        <v>105</v>
      </c>
      <c r="BR1198" s="2" t="s">
        <v>83</v>
      </c>
      <c r="BS1198" s="3">
        <v>42657</v>
      </c>
      <c r="BT1198" s="4">
        <v>0.42708333333333331</v>
      </c>
      <c r="BU1198" s="2" t="s">
        <v>106</v>
      </c>
      <c r="BV1198" s="2" t="s">
        <v>85</v>
      </c>
      <c r="BW1198" s="2"/>
      <c r="BX1198" s="2"/>
      <c r="BY1198" s="2">
        <v>1200</v>
      </c>
      <c r="BZ1198" s="2"/>
      <c r="CA1198" s="2" t="s">
        <v>107</v>
      </c>
      <c r="CB1198" s="2"/>
      <c r="CC1198" s="2" t="s">
        <v>99</v>
      </c>
      <c r="CD1198" s="2">
        <v>6001</v>
      </c>
      <c r="CE1198" s="2" t="s">
        <v>108</v>
      </c>
      <c r="CF1198" s="5">
        <v>42657</v>
      </c>
      <c r="CG1198" s="2"/>
      <c r="CH1198" s="2"/>
      <c r="CI1198" s="2">
        <v>1</v>
      </c>
      <c r="CJ1198" s="2">
        <v>1</v>
      </c>
      <c r="CK1198" s="2">
        <v>21</v>
      </c>
      <c r="CL1198" s="2" t="s">
        <v>88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"FES1162506418"</f>
        <v>FES1162506418</v>
      </c>
      <c r="F1199" s="3">
        <v>42656</v>
      </c>
      <c r="G1199" s="2">
        <v>201704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98</v>
      </c>
      <c r="M1199" s="2" t="s">
        <v>99</v>
      </c>
      <c r="N1199" s="2" t="s">
        <v>104</v>
      </c>
      <c r="O1199" s="2" t="s">
        <v>96</v>
      </c>
      <c r="P1199" s="2" t="str">
        <f>"2170527687                    "</f>
        <v xml:space="preserve">2170527687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3.32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1</v>
      </c>
      <c r="BI1199" s="2">
        <v>1</v>
      </c>
      <c r="BJ1199" s="2">
        <v>0.2</v>
      </c>
      <c r="BK1199" s="2">
        <v>1</v>
      </c>
      <c r="BL1199" s="2">
        <v>40.76</v>
      </c>
      <c r="BM1199" s="2">
        <v>5.71</v>
      </c>
      <c r="BN1199" s="2">
        <v>46.47</v>
      </c>
      <c r="BO1199" s="2">
        <v>46.47</v>
      </c>
      <c r="BP1199" s="2"/>
      <c r="BQ1199" s="2" t="s">
        <v>105</v>
      </c>
      <c r="BR1199" s="2" t="s">
        <v>83</v>
      </c>
      <c r="BS1199" s="3">
        <v>42657</v>
      </c>
      <c r="BT1199" s="4">
        <v>0.42708333333333331</v>
      </c>
      <c r="BU1199" s="2" t="s">
        <v>106</v>
      </c>
      <c r="BV1199" s="2" t="s">
        <v>85</v>
      </c>
      <c r="BW1199" s="2"/>
      <c r="BX1199" s="2"/>
      <c r="BY1199" s="2">
        <v>1200</v>
      </c>
      <c r="BZ1199" s="2"/>
      <c r="CA1199" s="2" t="s">
        <v>107</v>
      </c>
      <c r="CB1199" s="2"/>
      <c r="CC1199" s="2" t="s">
        <v>99</v>
      </c>
      <c r="CD1199" s="2">
        <v>6001</v>
      </c>
      <c r="CE1199" s="2" t="s">
        <v>108</v>
      </c>
      <c r="CF1199" s="5">
        <v>42657</v>
      </c>
      <c r="CG1199" s="2"/>
      <c r="CH1199" s="2"/>
      <c r="CI1199" s="2">
        <v>1</v>
      </c>
      <c r="CJ1199" s="2">
        <v>1</v>
      </c>
      <c r="CK1199" s="2">
        <v>21</v>
      </c>
      <c r="CL1199" s="2" t="s">
        <v>88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"FES1162506400"</f>
        <v>FES1162506400</v>
      </c>
      <c r="F1200" s="3">
        <v>42656</v>
      </c>
      <c r="G1200" s="2">
        <v>201704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98</v>
      </c>
      <c r="M1200" s="2" t="s">
        <v>99</v>
      </c>
      <c r="N1200" s="2" t="s">
        <v>894</v>
      </c>
      <c r="O1200" s="2" t="s">
        <v>96</v>
      </c>
      <c r="P1200" s="2" t="str">
        <f>"2170527323                    "</f>
        <v xml:space="preserve">2170527323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3.32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0.8</v>
      </c>
      <c r="BJ1200" s="2">
        <v>1.9</v>
      </c>
      <c r="BK1200" s="2">
        <v>2</v>
      </c>
      <c r="BL1200" s="2">
        <v>40.76</v>
      </c>
      <c r="BM1200" s="2">
        <v>5.71</v>
      </c>
      <c r="BN1200" s="2">
        <v>46.47</v>
      </c>
      <c r="BO1200" s="2">
        <v>46.47</v>
      </c>
      <c r="BP1200" s="2"/>
      <c r="BQ1200" s="2" t="s">
        <v>895</v>
      </c>
      <c r="BR1200" s="2" t="s">
        <v>83</v>
      </c>
      <c r="BS1200" s="3">
        <v>42657</v>
      </c>
      <c r="BT1200" s="4">
        <v>0.29722222222222222</v>
      </c>
      <c r="BU1200" s="2" t="s">
        <v>1143</v>
      </c>
      <c r="BV1200" s="2" t="s">
        <v>85</v>
      </c>
      <c r="BW1200" s="2"/>
      <c r="BX1200" s="2"/>
      <c r="BY1200" s="2">
        <v>9362.84</v>
      </c>
      <c r="BZ1200" s="2"/>
      <c r="CA1200" s="2" t="s">
        <v>107</v>
      </c>
      <c r="CB1200" s="2"/>
      <c r="CC1200" s="2" t="s">
        <v>99</v>
      </c>
      <c r="CD1200" s="2">
        <v>6012</v>
      </c>
      <c r="CE1200" s="2" t="s">
        <v>108</v>
      </c>
      <c r="CF1200" s="5">
        <v>42657</v>
      </c>
      <c r="CG1200" s="2"/>
      <c r="CH1200" s="2"/>
      <c r="CI1200" s="2">
        <v>1</v>
      </c>
      <c r="CJ1200" s="2">
        <v>1</v>
      </c>
      <c r="CK1200" s="2">
        <v>21</v>
      </c>
      <c r="CL1200" s="2" t="s">
        <v>88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"FES1162506394"</f>
        <v>FES1162506394</v>
      </c>
      <c r="F1201" s="3">
        <v>42656</v>
      </c>
      <c r="G1201" s="2">
        <v>201704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143</v>
      </c>
      <c r="M1201" s="2" t="s">
        <v>144</v>
      </c>
      <c r="N1201" s="2" t="s">
        <v>1315</v>
      </c>
      <c r="O1201" s="2" t="s">
        <v>96</v>
      </c>
      <c r="P1201" s="2" t="str">
        <f>"2170527200                    "</f>
        <v xml:space="preserve">2170527200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3.32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0.5</v>
      </c>
      <c r="BJ1201" s="2">
        <v>0.2</v>
      </c>
      <c r="BK1201" s="2">
        <v>0.5</v>
      </c>
      <c r="BL1201" s="2">
        <v>40.76</v>
      </c>
      <c r="BM1201" s="2">
        <v>5.71</v>
      </c>
      <c r="BN1201" s="2">
        <v>46.47</v>
      </c>
      <c r="BO1201" s="2">
        <v>46.47</v>
      </c>
      <c r="BP1201" s="2"/>
      <c r="BQ1201" s="2" t="s">
        <v>1316</v>
      </c>
      <c r="BR1201" s="2" t="s">
        <v>83</v>
      </c>
      <c r="BS1201" s="3">
        <v>42657</v>
      </c>
      <c r="BT1201" s="4">
        <v>0.625</v>
      </c>
      <c r="BU1201" s="2" t="s">
        <v>1548</v>
      </c>
      <c r="BV1201" s="2"/>
      <c r="BW1201" s="2" t="s">
        <v>277</v>
      </c>
      <c r="BX1201" s="2" t="s">
        <v>1549</v>
      </c>
      <c r="BY1201" s="2">
        <v>1200</v>
      </c>
      <c r="BZ1201" s="2"/>
      <c r="CA1201" s="2"/>
      <c r="CB1201" s="2"/>
      <c r="CC1201" s="2" t="s">
        <v>144</v>
      </c>
      <c r="CD1201" s="2">
        <v>5201</v>
      </c>
      <c r="CE1201" s="2" t="s">
        <v>108</v>
      </c>
      <c r="CF1201" s="5">
        <v>42660</v>
      </c>
      <c r="CG1201" s="2"/>
      <c r="CH1201" s="2"/>
      <c r="CI1201" s="2">
        <v>0</v>
      </c>
      <c r="CJ1201" s="2">
        <v>0</v>
      </c>
      <c r="CK1201" s="2">
        <v>21</v>
      </c>
      <c r="CL1201" s="2" t="s">
        <v>88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"FES1162506694"</f>
        <v>FES1162506694</v>
      </c>
      <c r="F1202" s="3">
        <v>42656</v>
      </c>
      <c r="G1202" s="2">
        <v>201704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137</v>
      </c>
      <c r="M1202" s="2" t="s">
        <v>138</v>
      </c>
      <c r="N1202" s="2" t="s">
        <v>514</v>
      </c>
      <c r="O1202" s="2" t="s">
        <v>96</v>
      </c>
      <c r="P1202" s="2" t="str">
        <f>"2170530182                    "</f>
        <v xml:space="preserve">2170530182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3.32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1</v>
      </c>
      <c r="BI1202" s="2">
        <v>0.5</v>
      </c>
      <c r="BJ1202" s="2">
        <v>0.2</v>
      </c>
      <c r="BK1202" s="2">
        <v>0.5</v>
      </c>
      <c r="BL1202" s="2">
        <v>40.76</v>
      </c>
      <c r="BM1202" s="2">
        <v>5.71</v>
      </c>
      <c r="BN1202" s="2">
        <v>46.47</v>
      </c>
      <c r="BO1202" s="2">
        <v>46.47</v>
      </c>
      <c r="BP1202" s="2"/>
      <c r="BQ1202" s="2" t="s">
        <v>515</v>
      </c>
      <c r="BR1202" s="2" t="s">
        <v>83</v>
      </c>
      <c r="BS1202" s="3">
        <v>42657</v>
      </c>
      <c r="BT1202" s="4">
        <v>0.35416666666666669</v>
      </c>
      <c r="BU1202" s="2" t="s">
        <v>1536</v>
      </c>
      <c r="BV1202" s="2"/>
      <c r="BW1202" s="2"/>
      <c r="BX1202" s="2"/>
      <c r="BY1202" s="2">
        <v>1200</v>
      </c>
      <c r="BZ1202" s="2"/>
      <c r="CA1202" s="2"/>
      <c r="CB1202" s="2"/>
      <c r="CC1202" s="2" t="s">
        <v>138</v>
      </c>
      <c r="CD1202" s="2">
        <v>3201</v>
      </c>
      <c r="CE1202" s="2" t="s">
        <v>108</v>
      </c>
      <c r="CF1202" s="5">
        <v>42660</v>
      </c>
      <c r="CG1202" s="2"/>
      <c r="CH1202" s="2"/>
      <c r="CI1202" s="2">
        <v>0</v>
      </c>
      <c r="CJ1202" s="2">
        <v>0</v>
      </c>
      <c r="CK1202" s="2">
        <v>21</v>
      </c>
      <c r="CL1202" s="2" t="s">
        <v>88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"FES1162506374"</f>
        <v>FES1162506374</v>
      </c>
      <c r="F1203" s="3">
        <v>42656</v>
      </c>
      <c r="G1203" s="2">
        <v>201704</v>
      </c>
      <c r="H1203" s="2" t="s">
        <v>74</v>
      </c>
      <c r="I1203" s="2" t="s">
        <v>75</v>
      </c>
      <c r="J1203" s="2" t="s">
        <v>76</v>
      </c>
      <c r="K1203" s="2" t="s">
        <v>77</v>
      </c>
      <c r="L1203" s="2" t="s">
        <v>98</v>
      </c>
      <c r="M1203" s="2" t="s">
        <v>99</v>
      </c>
      <c r="N1203" s="2" t="s">
        <v>907</v>
      </c>
      <c r="O1203" s="2" t="s">
        <v>96</v>
      </c>
      <c r="P1203" s="2" t="str">
        <f>"2170529924                    "</f>
        <v xml:space="preserve">2170529924                   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4.9800000000000004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1</v>
      </c>
      <c r="BI1203" s="2">
        <v>0.8</v>
      </c>
      <c r="BJ1203" s="2">
        <v>2.9</v>
      </c>
      <c r="BK1203" s="2">
        <v>3</v>
      </c>
      <c r="BL1203" s="2">
        <v>61.14</v>
      </c>
      <c r="BM1203" s="2">
        <v>8.56</v>
      </c>
      <c r="BN1203" s="2">
        <v>69.7</v>
      </c>
      <c r="BO1203" s="2">
        <v>69.7</v>
      </c>
      <c r="BP1203" s="2"/>
      <c r="BQ1203" s="2"/>
      <c r="BR1203" s="2" t="s">
        <v>83</v>
      </c>
      <c r="BS1203" s="3">
        <v>42657</v>
      </c>
      <c r="BT1203" s="4">
        <v>0.33055555555555555</v>
      </c>
      <c r="BU1203" s="2" t="s">
        <v>1556</v>
      </c>
      <c r="BV1203" s="2"/>
      <c r="BW1203" s="2"/>
      <c r="BX1203" s="2"/>
      <c r="BY1203" s="2">
        <v>14727.26</v>
      </c>
      <c r="BZ1203" s="2"/>
      <c r="CA1203" s="2"/>
      <c r="CB1203" s="2"/>
      <c r="CC1203" s="2" t="s">
        <v>99</v>
      </c>
      <c r="CD1203" s="2">
        <v>6000</v>
      </c>
      <c r="CE1203" s="2" t="s">
        <v>108</v>
      </c>
      <c r="CF1203" s="5">
        <v>42660</v>
      </c>
      <c r="CG1203" s="2"/>
      <c r="CH1203" s="2"/>
      <c r="CI1203" s="2">
        <v>0</v>
      </c>
      <c r="CJ1203" s="2">
        <v>0</v>
      </c>
      <c r="CK1203" s="2">
        <v>21</v>
      </c>
      <c r="CL1203" s="2" t="s">
        <v>88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"FES1162506402"</f>
        <v>FES1162506402</v>
      </c>
      <c r="F1204" s="3">
        <v>42656</v>
      </c>
      <c r="G1204" s="2">
        <v>201704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98</v>
      </c>
      <c r="M1204" s="2" t="s">
        <v>99</v>
      </c>
      <c r="N1204" s="2" t="s">
        <v>1557</v>
      </c>
      <c r="O1204" s="2" t="s">
        <v>96</v>
      </c>
      <c r="P1204" s="2" t="str">
        <f>"2170526402                    "</f>
        <v xml:space="preserve">2170526402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3.32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0.5</v>
      </c>
      <c r="BJ1204" s="2">
        <v>0.2</v>
      </c>
      <c r="BK1204" s="2">
        <v>0.5</v>
      </c>
      <c r="BL1204" s="2">
        <v>40.76</v>
      </c>
      <c r="BM1204" s="2">
        <v>5.71</v>
      </c>
      <c r="BN1204" s="2">
        <v>46.47</v>
      </c>
      <c r="BO1204" s="2">
        <v>46.47</v>
      </c>
      <c r="BP1204" s="2"/>
      <c r="BQ1204" s="2" t="s">
        <v>1558</v>
      </c>
      <c r="BR1204" s="2" t="s">
        <v>83</v>
      </c>
      <c r="BS1204" s="3">
        <v>42657</v>
      </c>
      <c r="BT1204" s="4">
        <v>0.40972222222222227</v>
      </c>
      <c r="BU1204" s="2" t="s">
        <v>554</v>
      </c>
      <c r="BV1204" s="2" t="s">
        <v>85</v>
      </c>
      <c r="BW1204" s="2"/>
      <c r="BX1204" s="2"/>
      <c r="BY1204" s="2">
        <v>1200</v>
      </c>
      <c r="BZ1204" s="2"/>
      <c r="CA1204" s="2"/>
      <c r="CB1204" s="2"/>
      <c r="CC1204" s="2" t="s">
        <v>99</v>
      </c>
      <c r="CD1204" s="2">
        <v>6001</v>
      </c>
      <c r="CE1204" s="2" t="s">
        <v>108</v>
      </c>
      <c r="CF1204" s="5">
        <v>42660</v>
      </c>
      <c r="CG1204" s="2"/>
      <c r="CH1204" s="2"/>
      <c r="CI1204" s="2">
        <v>1</v>
      </c>
      <c r="CJ1204" s="2">
        <v>1</v>
      </c>
      <c r="CK1204" s="2">
        <v>21</v>
      </c>
      <c r="CL1204" s="2" t="s">
        <v>88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"FES1162506416"</f>
        <v>FES1162506416</v>
      </c>
      <c r="F1205" s="3">
        <v>42656</v>
      </c>
      <c r="G1205" s="2">
        <v>201704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98</v>
      </c>
      <c r="M1205" s="2" t="s">
        <v>99</v>
      </c>
      <c r="N1205" s="2" t="s">
        <v>350</v>
      </c>
      <c r="O1205" s="2" t="s">
        <v>96</v>
      </c>
      <c r="P1205" s="2" t="str">
        <f>"2170527678                    "</f>
        <v xml:space="preserve">2170527678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9.1199999999999992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5.4</v>
      </c>
      <c r="BJ1205" s="2">
        <v>1.9</v>
      </c>
      <c r="BK1205" s="2">
        <v>5.5</v>
      </c>
      <c r="BL1205" s="2">
        <v>112.08</v>
      </c>
      <c r="BM1205" s="2">
        <v>15.69</v>
      </c>
      <c r="BN1205" s="2">
        <v>127.77</v>
      </c>
      <c r="BO1205" s="2">
        <v>127.77</v>
      </c>
      <c r="BP1205" s="2"/>
      <c r="BQ1205" s="2" t="s">
        <v>351</v>
      </c>
      <c r="BR1205" s="2" t="s">
        <v>83</v>
      </c>
      <c r="BS1205" s="3">
        <v>42657</v>
      </c>
      <c r="BT1205" s="4">
        <v>0.3263888888888889</v>
      </c>
      <c r="BU1205" s="2" t="s">
        <v>352</v>
      </c>
      <c r="BV1205" s="2" t="s">
        <v>85</v>
      </c>
      <c r="BW1205" s="2"/>
      <c r="BX1205" s="2"/>
      <c r="BY1205" s="2">
        <v>9314.14</v>
      </c>
      <c r="BZ1205" s="2"/>
      <c r="CA1205" s="2" t="s">
        <v>107</v>
      </c>
      <c r="CB1205" s="2"/>
      <c r="CC1205" s="2" t="s">
        <v>99</v>
      </c>
      <c r="CD1205" s="2">
        <v>6001</v>
      </c>
      <c r="CE1205" s="2" t="s">
        <v>368</v>
      </c>
      <c r="CF1205" s="5">
        <v>42657</v>
      </c>
      <c r="CG1205" s="2"/>
      <c r="CH1205" s="2"/>
      <c r="CI1205" s="2">
        <v>1</v>
      </c>
      <c r="CJ1205" s="2">
        <v>1</v>
      </c>
      <c r="CK1205" s="2">
        <v>21</v>
      </c>
      <c r="CL1205" s="2" t="s">
        <v>88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"FES1162506452"</f>
        <v>FES1162506452</v>
      </c>
      <c r="F1206" s="3">
        <v>42656</v>
      </c>
      <c r="G1206" s="2">
        <v>201704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171</v>
      </c>
      <c r="M1206" s="2" t="s">
        <v>172</v>
      </c>
      <c r="N1206" s="2" t="s">
        <v>429</v>
      </c>
      <c r="O1206" s="2" t="s">
        <v>96</v>
      </c>
      <c r="P1206" s="2" t="str">
        <f>"2170529525                    "</f>
        <v xml:space="preserve">2170529525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3.32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2</v>
      </c>
      <c r="BJ1206" s="2">
        <v>1.8</v>
      </c>
      <c r="BK1206" s="2">
        <v>2</v>
      </c>
      <c r="BL1206" s="2">
        <v>40.76</v>
      </c>
      <c r="BM1206" s="2">
        <v>5.71</v>
      </c>
      <c r="BN1206" s="2">
        <v>46.47</v>
      </c>
      <c r="BO1206" s="2">
        <v>46.47</v>
      </c>
      <c r="BP1206" s="2"/>
      <c r="BQ1206" s="2" t="s">
        <v>430</v>
      </c>
      <c r="BR1206" s="2" t="s">
        <v>83</v>
      </c>
      <c r="BS1206" s="3">
        <v>42657</v>
      </c>
      <c r="BT1206" s="4">
        <v>0.42222222222222222</v>
      </c>
      <c r="BU1206" s="2" t="s">
        <v>554</v>
      </c>
      <c r="BV1206" s="2" t="s">
        <v>85</v>
      </c>
      <c r="BW1206" s="2"/>
      <c r="BX1206" s="2"/>
      <c r="BY1206" s="2">
        <v>8857.6</v>
      </c>
      <c r="BZ1206" s="2"/>
      <c r="CA1206" s="2"/>
      <c r="CB1206" s="2"/>
      <c r="CC1206" s="2" t="s">
        <v>172</v>
      </c>
      <c r="CD1206" s="2">
        <v>6220</v>
      </c>
      <c r="CE1206" s="2" t="s">
        <v>108</v>
      </c>
      <c r="CF1206" s="5">
        <v>42660</v>
      </c>
      <c r="CG1206" s="2"/>
      <c r="CH1206" s="2"/>
      <c r="CI1206" s="2">
        <v>1</v>
      </c>
      <c r="CJ1206" s="2">
        <v>1</v>
      </c>
      <c r="CK1206" s="2">
        <v>21</v>
      </c>
      <c r="CL1206" s="2" t="s">
        <v>88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"FES1162506414"</f>
        <v>FES1162506414</v>
      </c>
      <c r="F1207" s="3">
        <v>42656</v>
      </c>
      <c r="G1207" s="2">
        <v>201704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98</v>
      </c>
      <c r="M1207" s="2" t="s">
        <v>99</v>
      </c>
      <c r="N1207" s="2" t="s">
        <v>109</v>
      </c>
      <c r="O1207" s="2" t="s">
        <v>96</v>
      </c>
      <c r="P1207" s="2" t="str">
        <f>"2170527675                    "</f>
        <v xml:space="preserve">2170527675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5.81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1.4</v>
      </c>
      <c r="BJ1207" s="2">
        <v>3.5</v>
      </c>
      <c r="BK1207" s="2">
        <v>3.5</v>
      </c>
      <c r="BL1207" s="2">
        <v>71.33</v>
      </c>
      <c r="BM1207" s="2">
        <v>9.99</v>
      </c>
      <c r="BN1207" s="2">
        <v>81.319999999999993</v>
      </c>
      <c r="BO1207" s="2">
        <v>81.319999999999993</v>
      </c>
      <c r="BP1207" s="2"/>
      <c r="BQ1207" s="2" t="s">
        <v>110</v>
      </c>
      <c r="BR1207" s="2" t="s">
        <v>83</v>
      </c>
      <c r="BS1207" s="3">
        <v>42657</v>
      </c>
      <c r="BT1207" s="4">
        <v>0.35416666666666669</v>
      </c>
      <c r="BU1207" s="2" t="s">
        <v>111</v>
      </c>
      <c r="BV1207" s="2" t="s">
        <v>85</v>
      </c>
      <c r="BW1207" s="2"/>
      <c r="BX1207" s="2"/>
      <c r="BY1207" s="2">
        <v>17320.32</v>
      </c>
      <c r="BZ1207" s="2"/>
      <c r="CA1207" s="2" t="s">
        <v>107</v>
      </c>
      <c r="CB1207" s="2"/>
      <c r="CC1207" s="2" t="s">
        <v>99</v>
      </c>
      <c r="CD1207" s="2">
        <v>6001</v>
      </c>
      <c r="CE1207" s="2" t="s">
        <v>86</v>
      </c>
      <c r="CF1207" s="5">
        <v>42657</v>
      </c>
      <c r="CG1207" s="2"/>
      <c r="CH1207" s="2"/>
      <c r="CI1207" s="2">
        <v>1</v>
      </c>
      <c r="CJ1207" s="2">
        <v>1</v>
      </c>
      <c r="CK1207" s="2">
        <v>21</v>
      </c>
      <c r="CL1207" s="2" t="s">
        <v>88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"FES1162506434"</f>
        <v>FES1162506434</v>
      </c>
      <c r="F1208" s="3">
        <v>42656</v>
      </c>
      <c r="G1208" s="2">
        <v>201704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98</v>
      </c>
      <c r="M1208" s="2" t="s">
        <v>99</v>
      </c>
      <c r="N1208" s="2" t="s">
        <v>1200</v>
      </c>
      <c r="O1208" s="2" t="s">
        <v>96</v>
      </c>
      <c r="P1208" s="2" t="str">
        <f>"2170527943                    "</f>
        <v xml:space="preserve">2170527943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3.32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40.76</v>
      </c>
      <c r="BM1208" s="2">
        <v>5.71</v>
      </c>
      <c r="BN1208" s="2">
        <v>46.47</v>
      </c>
      <c r="BO1208" s="2">
        <v>46.47</v>
      </c>
      <c r="BP1208" s="2"/>
      <c r="BQ1208" s="2" t="s">
        <v>1201</v>
      </c>
      <c r="BR1208" s="2" t="s">
        <v>83</v>
      </c>
      <c r="BS1208" s="3">
        <v>42657</v>
      </c>
      <c r="BT1208" s="4">
        <v>0.36041666666666666</v>
      </c>
      <c r="BU1208" s="2" t="s">
        <v>1559</v>
      </c>
      <c r="BV1208" s="2" t="s">
        <v>85</v>
      </c>
      <c r="BW1208" s="2"/>
      <c r="BX1208" s="2"/>
      <c r="BY1208" s="2">
        <v>1200</v>
      </c>
      <c r="BZ1208" s="2"/>
      <c r="CA1208" s="2"/>
      <c r="CB1208" s="2"/>
      <c r="CC1208" s="2" t="s">
        <v>99</v>
      </c>
      <c r="CD1208" s="2">
        <v>6001</v>
      </c>
      <c r="CE1208" s="2" t="s">
        <v>108</v>
      </c>
      <c r="CF1208" s="5">
        <v>42660</v>
      </c>
      <c r="CG1208" s="2"/>
      <c r="CH1208" s="2"/>
      <c r="CI1208" s="2">
        <v>1</v>
      </c>
      <c r="CJ1208" s="2">
        <v>1</v>
      </c>
      <c r="CK1208" s="2">
        <v>21</v>
      </c>
      <c r="CL1208" s="2" t="s">
        <v>88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"FES1162506425"</f>
        <v>FES1162506425</v>
      </c>
      <c r="F1209" s="3">
        <v>42656</v>
      </c>
      <c r="G1209" s="2">
        <v>201704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137</v>
      </c>
      <c r="M1209" s="2" t="s">
        <v>138</v>
      </c>
      <c r="N1209" s="2" t="s">
        <v>203</v>
      </c>
      <c r="O1209" s="2" t="s">
        <v>96</v>
      </c>
      <c r="P1209" s="2" t="str">
        <f>"2170527796                    "</f>
        <v xml:space="preserve">2170527796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3.32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0.5</v>
      </c>
      <c r="BJ1209" s="2">
        <v>0.2</v>
      </c>
      <c r="BK1209" s="2">
        <v>0.5</v>
      </c>
      <c r="BL1209" s="2">
        <v>40.76</v>
      </c>
      <c r="BM1209" s="2">
        <v>5.71</v>
      </c>
      <c r="BN1209" s="2">
        <v>46.47</v>
      </c>
      <c r="BO1209" s="2">
        <v>46.47</v>
      </c>
      <c r="BP1209" s="2"/>
      <c r="BQ1209" s="2" t="s">
        <v>168</v>
      </c>
      <c r="BR1209" s="2" t="s">
        <v>83</v>
      </c>
      <c r="BS1209" s="3">
        <v>42657</v>
      </c>
      <c r="BT1209" s="4">
        <v>0.43055555555555558</v>
      </c>
      <c r="BU1209" s="2" t="s">
        <v>204</v>
      </c>
      <c r="BV1209" s="2"/>
      <c r="BW1209" s="2"/>
      <c r="BX1209" s="2"/>
      <c r="BY1209" s="2">
        <v>1200</v>
      </c>
      <c r="BZ1209" s="2"/>
      <c r="CA1209" s="2" t="s">
        <v>205</v>
      </c>
      <c r="CB1209" s="2"/>
      <c r="CC1209" s="2" t="s">
        <v>138</v>
      </c>
      <c r="CD1209" s="2">
        <v>3201</v>
      </c>
      <c r="CE1209" s="2" t="s">
        <v>108</v>
      </c>
      <c r="CF1209" s="5">
        <v>42657</v>
      </c>
      <c r="CG1209" s="2"/>
      <c r="CH1209" s="2"/>
      <c r="CI1209" s="2">
        <v>0</v>
      </c>
      <c r="CJ1209" s="2">
        <v>0</v>
      </c>
      <c r="CK1209" s="2">
        <v>21</v>
      </c>
      <c r="CL1209" s="2" t="s">
        <v>88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"FES1162506437"</f>
        <v>FES1162506437</v>
      </c>
      <c r="F1210" s="3">
        <v>42656</v>
      </c>
      <c r="G1210" s="2">
        <v>201704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137</v>
      </c>
      <c r="M1210" s="2" t="s">
        <v>138</v>
      </c>
      <c r="N1210" s="2" t="s">
        <v>849</v>
      </c>
      <c r="O1210" s="2" t="s">
        <v>96</v>
      </c>
      <c r="P1210" s="2" t="str">
        <f>"2170527977                    "</f>
        <v xml:space="preserve">2170527977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3.32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1</v>
      </c>
      <c r="BJ1210" s="2">
        <v>0.2</v>
      </c>
      <c r="BK1210" s="2">
        <v>1</v>
      </c>
      <c r="BL1210" s="2">
        <v>40.76</v>
      </c>
      <c r="BM1210" s="2">
        <v>5.71</v>
      </c>
      <c r="BN1210" s="2">
        <v>46.47</v>
      </c>
      <c r="BO1210" s="2">
        <v>46.47</v>
      </c>
      <c r="BP1210" s="2"/>
      <c r="BQ1210" s="2" t="s">
        <v>850</v>
      </c>
      <c r="BR1210" s="2" t="s">
        <v>83</v>
      </c>
      <c r="BS1210" s="3">
        <v>42657</v>
      </c>
      <c r="BT1210" s="4">
        <v>0.40416666666666662</v>
      </c>
      <c r="BU1210" s="2" t="s">
        <v>1560</v>
      </c>
      <c r="BV1210" s="2" t="s">
        <v>85</v>
      </c>
      <c r="BW1210" s="2"/>
      <c r="BX1210" s="2"/>
      <c r="BY1210" s="2">
        <v>1200</v>
      </c>
      <c r="BZ1210" s="2"/>
      <c r="CA1210" s="2" t="s">
        <v>170</v>
      </c>
      <c r="CB1210" s="2"/>
      <c r="CC1210" s="2" t="s">
        <v>138</v>
      </c>
      <c r="CD1210" s="2">
        <v>3201</v>
      </c>
      <c r="CE1210" s="2" t="s">
        <v>108</v>
      </c>
      <c r="CF1210" s="5">
        <v>42657</v>
      </c>
      <c r="CG1210" s="2"/>
      <c r="CH1210" s="2"/>
      <c r="CI1210" s="2">
        <v>1</v>
      </c>
      <c r="CJ1210" s="2">
        <v>1</v>
      </c>
      <c r="CK1210" s="2">
        <v>21</v>
      </c>
      <c r="CL1210" s="2" t="s">
        <v>88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"FES1162506406"</f>
        <v>FES1162506406</v>
      </c>
      <c r="F1211" s="3">
        <v>42656</v>
      </c>
      <c r="G1211" s="2">
        <v>201704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148</v>
      </c>
      <c r="M1211" s="2" t="s">
        <v>149</v>
      </c>
      <c r="N1211" s="2" t="s">
        <v>293</v>
      </c>
      <c r="O1211" s="2" t="s">
        <v>96</v>
      </c>
      <c r="P1211" s="2" t="str">
        <f>"2170527419                    "</f>
        <v xml:space="preserve">2170527419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6.63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3.9</v>
      </c>
      <c r="BJ1211" s="2">
        <v>1.6</v>
      </c>
      <c r="BK1211" s="2">
        <v>4</v>
      </c>
      <c r="BL1211" s="2">
        <v>81.510000000000005</v>
      </c>
      <c r="BM1211" s="2">
        <v>11.41</v>
      </c>
      <c r="BN1211" s="2">
        <v>92.92</v>
      </c>
      <c r="BO1211" s="2">
        <v>92.92</v>
      </c>
      <c r="BP1211" s="2"/>
      <c r="BQ1211" s="2" t="s">
        <v>1352</v>
      </c>
      <c r="BR1211" s="2" t="s">
        <v>83</v>
      </c>
      <c r="BS1211" s="3">
        <v>42657</v>
      </c>
      <c r="BT1211" s="4">
        <v>0.4375</v>
      </c>
      <c r="BU1211" s="2" t="s">
        <v>1561</v>
      </c>
      <c r="BV1211" s="2" t="s">
        <v>85</v>
      </c>
      <c r="BW1211" s="2"/>
      <c r="BX1211" s="2"/>
      <c r="BY1211" s="2">
        <v>8180.96</v>
      </c>
      <c r="BZ1211" s="2"/>
      <c r="CA1211" s="2"/>
      <c r="CB1211" s="2"/>
      <c r="CC1211" s="2" t="s">
        <v>149</v>
      </c>
      <c r="CD1211" s="2">
        <v>4051</v>
      </c>
      <c r="CE1211" s="2" t="s">
        <v>86</v>
      </c>
      <c r="CF1211" s="5">
        <v>42660</v>
      </c>
      <c r="CG1211" s="2"/>
      <c r="CH1211" s="2"/>
      <c r="CI1211" s="2">
        <v>1</v>
      </c>
      <c r="CJ1211" s="2">
        <v>1</v>
      </c>
      <c r="CK1211" s="2">
        <v>21</v>
      </c>
      <c r="CL1211" s="2" t="s">
        <v>88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"FES1162506429"</f>
        <v>FES1162506429</v>
      </c>
      <c r="F1212" s="3">
        <v>42656</v>
      </c>
      <c r="G1212" s="2">
        <v>201704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98</v>
      </c>
      <c r="M1212" s="2" t="s">
        <v>99</v>
      </c>
      <c r="N1212" s="2" t="s">
        <v>133</v>
      </c>
      <c r="O1212" s="2" t="s">
        <v>96</v>
      </c>
      <c r="P1212" s="2" t="str">
        <f>"2170527878                    "</f>
        <v xml:space="preserve">2170527878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3.32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1.5</v>
      </c>
      <c r="BJ1212" s="2">
        <v>1.9</v>
      </c>
      <c r="BK1212" s="2">
        <v>2</v>
      </c>
      <c r="BL1212" s="2">
        <v>40.76</v>
      </c>
      <c r="BM1212" s="2">
        <v>5.71</v>
      </c>
      <c r="BN1212" s="2">
        <v>46.47</v>
      </c>
      <c r="BO1212" s="2">
        <v>46.47</v>
      </c>
      <c r="BP1212" s="2"/>
      <c r="BQ1212" s="2" t="s">
        <v>134</v>
      </c>
      <c r="BR1212" s="2" t="s">
        <v>83</v>
      </c>
      <c r="BS1212" s="3">
        <v>42657</v>
      </c>
      <c r="BT1212" s="4">
        <v>0.30972222222222223</v>
      </c>
      <c r="BU1212" s="2" t="s">
        <v>562</v>
      </c>
      <c r="BV1212" s="2" t="s">
        <v>85</v>
      </c>
      <c r="BW1212" s="2"/>
      <c r="BX1212" s="2"/>
      <c r="BY1212" s="2">
        <v>9589.73</v>
      </c>
      <c r="BZ1212" s="2"/>
      <c r="CA1212" s="2" t="s">
        <v>437</v>
      </c>
      <c r="CB1212" s="2"/>
      <c r="CC1212" s="2" t="s">
        <v>99</v>
      </c>
      <c r="CD1212" s="2">
        <v>6001</v>
      </c>
      <c r="CE1212" s="2" t="s">
        <v>108</v>
      </c>
      <c r="CF1212" s="5">
        <v>42657</v>
      </c>
      <c r="CG1212" s="2"/>
      <c r="CH1212" s="2"/>
      <c r="CI1212" s="2">
        <v>1</v>
      </c>
      <c r="CJ1212" s="2">
        <v>1</v>
      </c>
      <c r="CK1212" s="2">
        <v>21</v>
      </c>
      <c r="CL1212" s="2" t="s">
        <v>88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"FES1162506373"</f>
        <v>FES1162506373</v>
      </c>
      <c r="F1213" s="3">
        <v>42656</v>
      </c>
      <c r="G1213" s="2">
        <v>201704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137</v>
      </c>
      <c r="M1213" s="2" t="s">
        <v>138</v>
      </c>
      <c r="N1213" s="2" t="s">
        <v>396</v>
      </c>
      <c r="O1213" s="2" t="s">
        <v>96</v>
      </c>
      <c r="P1213" s="2" t="str">
        <f>"2170529923                    "</f>
        <v xml:space="preserve">2170529923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3.32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1</v>
      </c>
      <c r="BJ1213" s="2">
        <v>0.2</v>
      </c>
      <c r="BK1213" s="2">
        <v>1</v>
      </c>
      <c r="BL1213" s="2">
        <v>40.76</v>
      </c>
      <c r="BM1213" s="2">
        <v>5.71</v>
      </c>
      <c r="BN1213" s="2">
        <v>46.47</v>
      </c>
      <c r="BO1213" s="2">
        <v>46.47</v>
      </c>
      <c r="BP1213" s="2"/>
      <c r="BQ1213" s="2" t="s">
        <v>82</v>
      </c>
      <c r="BR1213" s="2" t="s">
        <v>83</v>
      </c>
      <c r="BS1213" s="3">
        <v>42657</v>
      </c>
      <c r="BT1213" s="4">
        <v>0.38055555555555554</v>
      </c>
      <c r="BU1213" s="2" t="s">
        <v>1562</v>
      </c>
      <c r="BV1213" s="2" t="s">
        <v>85</v>
      </c>
      <c r="BW1213" s="2"/>
      <c r="BX1213" s="2"/>
      <c r="BY1213" s="2">
        <v>1200</v>
      </c>
      <c r="BZ1213" s="2"/>
      <c r="CA1213" s="2" t="s">
        <v>170</v>
      </c>
      <c r="CB1213" s="2"/>
      <c r="CC1213" s="2" t="s">
        <v>138</v>
      </c>
      <c r="CD1213" s="2">
        <v>3201</v>
      </c>
      <c r="CE1213" s="2" t="s">
        <v>108</v>
      </c>
      <c r="CF1213" s="5">
        <v>42657</v>
      </c>
      <c r="CG1213" s="2"/>
      <c r="CH1213" s="2"/>
      <c r="CI1213" s="2">
        <v>1</v>
      </c>
      <c r="CJ1213" s="2">
        <v>1</v>
      </c>
      <c r="CK1213" s="2">
        <v>21</v>
      </c>
      <c r="CL1213" s="2" t="s">
        <v>88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"FES1162506407"</f>
        <v>FES1162506407</v>
      </c>
      <c r="F1214" s="3">
        <v>42656</v>
      </c>
      <c r="G1214" s="2">
        <v>201704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160</v>
      </c>
      <c r="M1214" s="2" t="s">
        <v>161</v>
      </c>
      <c r="N1214" s="2" t="s">
        <v>622</v>
      </c>
      <c r="O1214" s="2" t="s">
        <v>96</v>
      </c>
      <c r="P1214" s="2" t="str">
        <f>"2170527424                    "</f>
        <v xml:space="preserve">2170527424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3.32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40.76</v>
      </c>
      <c r="BM1214" s="2">
        <v>5.71</v>
      </c>
      <c r="BN1214" s="2">
        <v>46.47</v>
      </c>
      <c r="BO1214" s="2">
        <v>46.47</v>
      </c>
      <c r="BP1214" s="2"/>
      <c r="BQ1214" s="2" t="s">
        <v>623</v>
      </c>
      <c r="BR1214" s="2" t="s">
        <v>83</v>
      </c>
      <c r="BS1214" s="3">
        <v>42657</v>
      </c>
      <c r="BT1214" s="4">
        <v>0.43124999999999997</v>
      </c>
      <c r="BU1214" s="2" t="s">
        <v>624</v>
      </c>
      <c r="BV1214" s="2" t="s">
        <v>85</v>
      </c>
      <c r="BW1214" s="2"/>
      <c r="BX1214" s="2"/>
      <c r="BY1214" s="2">
        <v>1200</v>
      </c>
      <c r="BZ1214" s="2"/>
      <c r="CA1214" s="2"/>
      <c r="CB1214" s="2"/>
      <c r="CC1214" s="2" t="s">
        <v>161</v>
      </c>
      <c r="CD1214" s="2">
        <v>7490</v>
      </c>
      <c r="CE1214" s="2" t="s">
        <v>108</v>
      </c>
      <c r="CF1214" s="5">
        <v>42660</v>
      </c>
      <c r="CG1214" s="2"/>
      <c r="CH1214" s="2"/>
      <c r="CI1214" s="2">
        <v>1</v>
      </c>
      <c r="CJ1214" s="2">
        <v>1</v>
      </c>
      <c r="CK1214" s="2">
        <v>21</v>
      </c>
      <c r="CL1214" s="2" t="s">
        <v>88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"FES1162506426"</f>
        <v>FES1162506426</v>
      </c>
      <c r="F1215" s="3">
        <v>42656</v>
      </c>
      <c r="G1215" s="2">
        <v>201704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160</v>
      </c>
      <c r="M1215" s="2" t="s">
        <v>161</v>
      </c>
      <c r="N1215" s="2" t="s">
        <v>334</v>
      </c>
      <c r="O1215" s="2" t="s">
        <v>96</v>
      </c>
      <c r="P1215" s="2" t="str">
        <f>"2170527807                    "</f>
        <v xml:space="preserve">2170527807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5.81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2.2000000000000002</v>
      </c>
      <c r="BJ1215" s="2">
        <v>3.4</v>
      </c>
      <c r="BK1215" s="2">
        <v>3.5</v>
      </c>
      <c r="BL1215" s="2">
        <v>71.33</v>
      </c>
      <c r="BM1215" s="2">
        <v>9.99</v>
      </c>
      <c r="BN1215" s="2">
        <v>81.319999999999993</v>
      </c>
      <c r="BO1215" s="2">
        <v>81.319999999999993</v>
      </c>
      <c r="BP1215" s="2"/>
      <c r="BQ1215" s="2" t="s">
        <v>168</v>
      </c>
      <c r="BR1215" s="2" t="s">
        <v>83</v>
      </c>
      <c r="BS1215" s="3">
        <v>42657</v>
      </c>
      <c r="BT1215" s="4">
        <v>0.45833333333333331</v>
      </c>
      <c r="BU1215" s="2" t="s">
        <v>1323</v>
      </c>
      <c r="BV1215" s="2" t="s">
        <v>85</v>
      </c>
      <c r="BW1215" s="2"/>
      <c r="BX1215" s="2"/>
      <c r="BY1215" s="2">
        <v>17141.36</v>
      </c>
      <c r="BZ1215" s="2"/>
      <c r="CA1215" s="2"/>
      <c r="CB1215" s="2"/>
      <c r="CC1215" s="2" t="s">
        <v>161</v>
      </c>
      <c r="CD1215" s="2">
        <v>7945</v>
      </c>
      <c r="CE1215" s="2" t="s">
        <v>86</v>
      </c>
      <c r="CF1215" s="5">
        <v>42660</v>
      </c>
      <c r="CG1215" s="2"/>
      <c r="CH1215" s="2"/>
      <c r="CI1215" s="2">
        <v>1</v>
      </c>
      <c r="CJ1215" s="2">
        <v>1</v>
      </c>
      <c r="CK1215" s="2">
        <v>21</v>
      </c>
      <c r="CL1215" s="2" t="s">
        <v>88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"FES1162506520"</f>
        <v>FES1162506520</v>
      </c>
      <c r="F1216" s="3">
        <v>42656</v>
      </c>
      <c r="G1216" s="2">
        <v>201704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260</v>
      </c>
      <c r="M1216" s="2" t="s">
        <v>261</v>
      </c>
      <c r="N1216" s="2" t="s">
        <v>282</v>
      </c>
      <c r="O1216" s="2" t="s">
        <v>96</v>
      </c>
      <c r="P1216" s="2" t="str">
        <f>"2170529622                    "</f>
        <v xml:space="preserve">2170529622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3.32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0.5</v>
      </c>
      <c r="BJ1216" s="2">
        <v>0.2</v>
      </c>
      <c r="BK1216" s="2">
        <v>0.5</v>
      </c>
      <c r="BL1216" s="2">
        <v>40.76</v>
      </c>
      <c r="BM1216" s="2">
        <v>5.71</v>
      </c>
      <c r="BN1216" s="2">
        <v>46.47</v>
      </c>
      <c r="BO1216" s="2">
        <v>46.47</v>
      </c>
      <c r="BP1216" s="2"/>
      <c r="BQ1216" s="2" t="s">
        <v>91</v>
      </c>
      <c r="BR1216" s="2" t="s">
        <v>83</v>
      </c>
      <c r="BS1216" s="3">
        <v>42657</v>
      </c>
      <c r="BT1216" s="4">
        <v>0.39930555555555558</v>
      </c>
      <c r="BU1216" s="2" t="s">
        <v>1563</v>
      </c>
      <c r="BV1216" s="2" t="s">
        <v>85</v>
      </c>
      <c r="BW1216" s="2"/>
      <c r="BX1216" s="2"/>
      <c r="BY1216" s="2">
        <v>1200</v>
      </c>
      <c r="BZ1216" s="2"/>
      <c r="CA1216" s="2" t="s">
        <v>264</v>
      </c>
      <c r="CB1216" s="2"/>
      <c r="CC1216" s="2" t="s">
        <v>261</v>
      </c>
      <c r="CD1216" s="2">
        <v>6850</v>
      </c>
      <c r="CE1216" s="2" t="s">
        <v>108</v>
      </c>
      <c r="CF1216" s="5">
        <v>42657</v>
      </c>
      <c r="CG1216" s="2"/>
      <c r="CH1216" s="2"/>
      <c r="CI1216" s="2">
        <v>3</v>
      </c>
      <c r="CJ1216" s="2">
        <v>1</v>
      </c>
      <c r="CK1216" s="2">
        <v>21</v>
      </c>
      <c r="CL1216" s="2" t="s">
        <v>88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"FES1162506399"</f>
        <v>FES1162506399</v>
      </c>
      <c r="F1217" s="3">
        <v>42656</v>
      </c>
      <c r="G1217" s="2">
        <v>201704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361</v>
      </c>
      <c r="M1217" s="2" t="s">
        <v>362</v>
      </c>
      <c r="N1217" s="2" t="s">
        <v>363</v>
      </c>
      <c r="O1217" s="2" t="s">
        <v>96</v>
      </c>
      <c r="P1217" s="2" t="str">
        <f>"2170527294                    "</f>
        <v xml:space="preserve">2170527294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4.66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0.5</v>
      </c>
      <c r="BJ1217" s="2">
        <v>0.2</v>
      </c>
      <c r="BK1217" s="2">
        <v>0.5</v>
      </c>
      <c r="BL1217" s="2">
        <v>57.31</v>
      </c>
      <c r="BM1217" s="2">
        <v>8.02</v>
      </c>
      <c r="BN1217" s="2">
        <v>65.33</v>
      </c>
      <c r="BO1217" s="2">
        <v>65.33</v>
      </c>
      <c r="BP1217" s="2"/>
      <c r="BQ1217" s="2" t="s">
        <v>364</v>
      </c>
      <c r="BR1217" s="2" t="s">
        <v>83</v>
      </c>
      <c r="BS1217" s="3">
        <v>42657</v>
      </c>
      <c r="BT1217" s="4">
        <v>0.43611111111111112</v>
      </c>
      <c r="BU1217" s="2" t="s">
        <v>400</v>
      </c>
      <c r="BV1217" s="2" t="s">
        <v>85</v>
      </c>
      <c r="BW1217" s="2"/>
      <c r="BX1217" s="2"/>
      <c r="BY1217" s="2">
        <v>1200</v>
      </c>
      <c r="BZ1217" s="2"/>
      <c r="CA1217" s="2"/>
      <c r="CB1217" s="2"/>
      <c r="CC1217" s="2" t="s">
        <v>362</v>
      </c>
      <c r="CD1217" s="2">
        <v>1441</v>
      </c>
      <c r="CE1217" s="2" t="s">
        <v>108</v>
      </c>
      <c r="CF1217" s="5">
        <v>42660</v>
      </c>
      <c r="CG1217" s="2"/>
      <c r="CH1217" s="2"/>
      <c r="CI1217" s="2">
        <v>1</v>
      </c>
      <c r="CJ1217" s="2">
        <v>1</v>
      </c>
      <c r="CK1217" s="2">
        <v>24</v>
      </c>
      <c r="CL1217" s="2" t="s">
        <v>88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"FES1162506525"</f>
        <v>FES1162506525</v>
      </c>
      <c r="F1218" s="3">
        <v>42656</v>
      </c>
      <c r="G1218" s="2">
        <v>201704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160</v>
      </c>
      <c r="M1218" s="2" t="s">
        <v>161</v>
      </c>
      <c r="N1218" s="2" t="s">
        <v>1267</v>
      </c>
      <c r="O1218" s="2" t="s">
        <v>96</v>
      </c>
      <c r="P1218" s="2" t="str">
        <f>"2170530015                    "</f>
        <v xml:space="preserve">2170530015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3.32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0.5</v>
      </c>
      <c r="BJ1218" s="2">
        <v>0.2</v>
      </c>
      <c r="BK1218" s="2">
        <v>0.5</v>
      </c>
      <c r="BL1218" s="2">
        <v>40.76</v>
      </c>
      <c r="BM1218" s="2">
        <v>5.71</v>
      </c>
      <c r="BN1218" s="2">
        <v>46.47</v>
      </c>
      <c r="BO1218" s="2">
        <v>46.47</v>
      </c>
      <c r="BP1218" s="2"/>
      <c r="BQ1218" s="2" t="s">
        <v>988</v>
      </c>
      <c r="BR1218" s="2" t="s">
        <v>83</v>
      </c>
      <c r="BS1218" s="3">
        <v>42657</v>
      </c>
      <c r="BT1218" s="4">
        <v>0.34027777777777773</v>
      </c>
      <c r="BU1218" s="2" t="s">
        <v>1564</v>
      </c>
      <c r="BV1218" s="2" t="s">
        <v>85</v>
      </c>
      <c r="BW1218" s="2"/>
      <c r="BX1218" s="2"/>
      <c r="BY1218" s="2">
        <v>1200</v>
      </c>
      <c r="BZ1218" s="2"/>
      <c r="CA1218" s="2"/>
      <c r="CB1218" s="2"/>
      <c r="CC1218" s="2" t="s">
        <v>161</v>
      </c>
      <c r="CD1218" s="2">
        <v>7530</v>
      </c>
      <c r="CE1218" s="2" t="s">
        <v>108</v>
      </c>
      <c r="CF1218" s="5">
        <v>42660</v>
      </c>
      <c r="CG1218" s="2"/>
      <c r="CH1218" s="2"/>
      <c r="CI1218" s="2">
        <v>1</v>
      </c>
      <c r="CJ1218" s="2">
        <v>1</v>
      </c>
      <c r="CK1218" s="2">
        <v>21</v>
      </c>
      <c r="CL1218" s="2" t="s">
        <v>88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"FES1162506490"</f>
        <v>FES1162506490</v>
      </c>
      <c r="F1219" s="3">
        <v>42656</v>
      </c>
      <c r="G1219" s="2">
        <v>201704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160</v>
      </c>
      <c r="M1219" s="2" t="s">
        <v>161</v>
      </c>
      <c r="N1219" s="2" t="s">
        <v>409</v>
      </c>
      <c r="O1219" s="2" t="s">
        <v>96</v>
      </c>
      <c r="P1219" s="2" t="str">
        <f>"2170529925                    "</f>
        <v xml:space="preserve">2170529925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7.46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0.5</v>
      </c>
      <c r="BJ1219" s="2">
        <v>4.0999999999999996</v>
      </c>
      <c r="BK1219" s="2">
        <v>4.5</v>
      </c>
      <c r="BL1219" s="2">
        <v>91.7</v>
      </c>
      <c r="BM1219" s="2">
        <v>12.84</v>
      </c>
      <c r="BN1219" s="2">
        <v>104.54</v>
      </c>
      <c r="BO1219" s="2">
        <v>104.54</v>
      </c>
      <c r="BP1219" s="2"/>
      <c r="BQ1219" s="2" t="s">
        <v>410</v>
      </c>
      <c r="BR1219" s="2" t="s">
        <v>83</v>
      </c>
      <c r="BS1219" s="3">
        <v>42657</v>
      </c>
      <c r="BT1219" s="4">
        <v>0.37152777777777773</v>
      </c>
      <c r="BU1219" s="2" t="s">
        <v>1370</v>
      </c>
      <c r="BV1219" s="2" t="s">
        <v>85</v>
      </c>
      <c r="BW1219" s="2"/>
      <c r="BX1219" s="2"/>
      <c r="BY1219" s="2">
        <v>20382.82</v>
      </c>
      <c r="BZ1219" s="2"/>
      <c r="CA1219" s="2"/>
      <c r="CB1219" s="2"/>
      <c r="CC1219" s="2" t="s">
        <v>161</v>
      </c>
      <c r="CD1219" s="2">
        <v>7975</v>
      </c>
      <c r="CE1219" s="2" t="s">
        <v>108</v>
      </c>
      <c r="CF1219" s="5">
        <v>42660</v>
      </c>
      <c r="CG1219" s="2"/>
      <c r="CH1219" s="2"/>
      <c r="CI1219" s="2">
        <v>1</v>
      </c>
      <c r="CJ1219" s="2">
        <v>1</v>
      </c>
      <c r="CK1219" s="2">
        <v>21</v>
      </c>
      <c r="CL1219" s="2" t="s">
        <v>88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"FES1162506396"</f>
        <v>FES1162506396</v>
      </c>
      <c r="F1220" s="3">
        <v>42656</v>
      </c>
      <c r="G1220" s="2">
        <v>201704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286</v>
      </c>
      <c r="M1220" s="2" t="s">
        <v>287</v>
      </c>
      <c r="N1220" s="2" t="s">
        <v>1475</v>
      </c>
      <c r="O1220" s="2" t="s">
        <v>96</v>
      </c>
      <c r="P1220" s="2" t="str">
        <f>"2170527217                    "</f>
        <v xml:space="preserve">2170527217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5.81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1.9</v>
      </c>
      <c r="BJ1220" s="2">
        <v>3.4</v>
      </c>
      <c r="BK1220" s="2">
        <v>3.5</v>
      </c>
      <c r="BL1220" s="2">
        <v>71.33</v>
      </c>
      <c r="BM1220" s="2">
        <v>9.99</v>
      </c>
      <c r="BN1220" s="2">
        <v>81.319999999999993</v>
      </c>
      <c r="BO1220" s="2">
        <v>81.319999999999993</v>
      </c>
      <c r="BP1220" s="2"/>
      <c r="BQ1220" s="2" t="s">
        <v>91</v>
      </c>
      <c r="BR1220" s="2" t="s">
        <v>83</v>
      </c>
      <c r="BS1220" s="3">
        <v>42657</v>
      </c>
      <c r="BT1220" s="4">
        <v>0.41666666666666669</v>
      </c>
      <c r="BU1220" s="2" t="s">
        <v>1476</v>
      </c>
      <c r="BV1220" s="2" t="s">
        <v>85</v>
      </c>
      <c r="BW1220" s="2"/>
      <c r="BX1220" s="2"/>
      <c r="BY1220" s="2">
        <v>17098.5</v>
      </c>
      <c r="BZ1220" s="2"/>
      <c r="CA1220" s="2"/>
      <c r="CB1220" s="2"/>
      <c r="CC1220" s="2" t="s">
        <v>287</v>
      </c>
      <c r="CD1220" s="2">
        <v>1947</v>
      </c>
      <c r="CE1220" s="2" t="s">
        <v>86</v>
      </c>
      <c r="CF1220" s="5">
        <v>42661</v>
      </c>
      <c r="CG1220" s="2"/>
      <c r="CH1220" s="2"/>
      <c r="CI1220" s="2">
        <v>1</v>
      </c>
      <c r="CJ1220" s="2">
        <v>1</v>
      </c>
      <c r="CK1220" s="2">
        <v>21</v>
      </c>
      <c r="CL1220" s="2" t="s">
        <v>88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"FES1162506692"</f>
        <v>FES1162506692</v>
      </c>
      <c r="F1221" s="3">
        <v>42656</v>
      </c>
      <c r="G1221" s="2">
        <v>201704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269</v>
      </c>
      <c r="M1221" s="2" t="s">
        <v>270</v>
      </c>
      <c r="N1221" s="2" t="s">
        <v>1565</v>
      </c>
      <c r="O1221" s="2" t="s">
        <v>96</v>
      </c>
      <c r="P1221" s="2" t="str">
        <f>"2170530165                    "</f>
        <v xml:space="preserve">2170530165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3.32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1</v>
      </c>
      <c r="BJ1221" s="2">
        <v>0.2</v>
      </c>
      <c r="BK1221" s="2">
        <v>1</v>
      </c>
      <c r="BL1221" s="2">
        <v>40.76</v>
      </c>
      <c r="BM1221" s="2">
        <v>5.71</v>
      </c>
      <c r="BN1221" s="2">
        <v>46.47</v>
      </c>
      <c r="BO1221" s="2">
        <v>46.47</v>
      </c>
      <c r="BP1221" s="2"/>
      <c r="BQ1221" s="2" t="s">
        <v>91</v>
      </c>
      <c r="BR1221" s="2" t="s">
        <v>83</v>
      </c>
      <c r="BS1221" s="3">
        <v>42657</v>
      </c>
      <c r="BT1221" s="4">
        <v>0.42638888888888887</v>
      </c>
      <c r="BU1221" s="2" t="s">
        <v>238</v>
      </c>
      <c r="BV1221" s="2" t="s">
        <v>85</v>
      </c>
      <c r="BW1221" s="2"/>
      <c r="BX1221" s="2"/>
      <c r="BY1221" s="2">
        <v>1200</v>
      </c>
      <c r="BZ1221" s="2"/>
      <c r="CA1221" s="2"/>
      <c r="CB1221" s="2"/>
      <c r="CC1221" s="2" t="s">
        <v>270</v>
      </c>
      <c r="CD1221" s="2">
        <v>3610</v>
      </c>
      <c r="CE1221" s="2" t="s">
        <v>108</v>
      </c>
      <c r="CF1221" s="5">
        <v>42660</v>
      </c>
      <c r="CG1221" s="2"/>
      <c r="CH1221" s="2"/>
      <c r="CI1221" s="2">
        <v>1</v>
      </c>
      <c r="CJ1221" s="2">
        <v>1</v>
      </c>
      <c r="CK1221" s="2">
        <v>21</v>
      </c>
      <c r="CL1221" s="2" t="s">
        <v>88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"FES1162506712"</f>
        <v>FES1162506712</v>
      </c>
      <c r="F1222" s="3">
        <v>42656</v>
      </c>
      <c r="G1222" s="2">
        <v>201704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98</v>
      </c>
      <c r="M1222" s="2" t="s">
        <v>99</v>
      </c>
      <c r="N1222" s="2" t="s">
        <v>1154</v>
      </c>
      <c r="O1222" s="2" t="s">
        <v>96</v>
      </c>
      <c r="P1222" s="2" t="str">
        <f>"2170530222                    "</f>
        <v xml:space="preserve">2170530222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3.32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1</v>
      </c>
      <c r="BJ1222" s="2">
        <v>0.2</v>
      </c>
      <c r="BK1222" s="2">
        <v>1</v>
      </c>
      <c r="BL1222" s="2">
        <v>40.76</v>
      </c>
      <c r="BM1222" s="2">
        <v>5.71</v>
      </c>
      <c r="BN1222" s="2">
        <v>46.47</v>
      </c>
      <c r="BO1222" s="2">
        <v>46.47</v>
      </c>
      <c r="BP1222" s="2"/>
      <c r="BQ1222" s="2" t="s">
        <v>1155</v>
      </c>
      <c r="BR1222" s="2" t="s">
        <v>83</v>
      </c>
      <c r="BS1222" s="3">
        <v>42657</v>
      </c>
      <c r="BT1222" s="4">
        <v>0.31944444444444448</v>
      </c>
      <c r="BU1222" s="2" t="s">
        <v>1566</v>
      </c>
      <c r="BV1222" s="2" t="s">
        <v>85</v>
      </c>
      <c r="BW1222" s="2"/>
      <c r="BX1222" s="2"/>
      <c r="BY1222" s="2">
        <v>1200</v>
      </c>
      <c r="BZ1222" s="2"/>
      <c r="CA1222" s="2" t="s">
        <v>107</v>
      </c>
      <c r="CB1222" s="2"/>
      <c r="CC1222" s="2" t="s">
        <v>99</v>
      </c>
      <c r="CD1222" s="2">
        <v>6001</v>
      </c>
      <c r="CE1222" s="2" t="s">
        <v>108</v>
      </c>
      <c r="CF1222" s="5">
        <v>42657</v>
      </c>
      <c r="CG1222" s="2"/>
      <c r="CH1222" s="2"/>
      <c r="CI1222" s="2">
        <v>1</v>
      </c>
      <c r="CJ1222" s="2">
        <v>1</v>
      </c>
      <c r="CK1222" s="2">
        <v>21</v>
      </c>
      <c r="CL1222" s="2" t="s">
        <v>88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"FES1162506392"</f>
        <v>FES1162506392</v>
      </c>
      <c r="F1223" s="3">
        <v>42656</v>
      </c>
      <c r="G1223" s="2">
        <v>201704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156</v>
      </c>
      <c r="M1223" s="2" t="s">
        <v>157</v>
      </c>
      <c r="N1223" s="2" t="s">
        <v>507</v>
      </c>
      <c r="O1223" s="2" t="s">
        <v>96</v>
      </c>
      <c r="P1223" s="2" t="str">
        <f>"2170527190                    "</f>
        <v xml:space="preserve">2170527190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3.32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0.5</v>
      </c>
      <c r="BJ1223" s="2">
        <v>1.6</v>
      </c>
      <c r="BK1223" s="2">
        <v>2</v>
      </c>
      <c r="BL1223" s="2">
        <v>40.76</v>
      </c>
      <c r="BM1223" s="2">
        <v>5.71</v>
      </c>
      <c r="BN1223" s="2">
        <v>46.47</v>
      </c>
      <c r="BO1223" s="2">
        <v>46.47</v>
      </c>
      <c r="BP1223" s="2"/>
      <c r="BQ1223" s="2" t="s">
        <v>508</v>
      </c>
      <c r="BR1223" s="2" t="s">
        <v>83</v>
      </c>
      <c r="BS1223" s="3">
        <v>42657</v>
      </c>
      <c r="BT1223" s="4">
        <v>0.41666666666666669</v>
      </c>
      <c r="BU1223" s="2" t="s">
        <v>926</v>
      </c>
      <c r="BV1223" s="2" t="s">
        <v>85</v>
      </c>
      <c r="BW1223" s="2"/>
      <c r="BX1223" s="2"/>
      <c r="BY1223" s="2">
        <v>7976.49</v>
      </c>
      <c r="BZ1223" s="2"/>
      <c r="CA1223" s="2"/>
      <c r="CB1223" s="2"/>
      <c r="CC1223" s="2" t="s">
        <v>157</v>
      </c>
      <c r="CD1223" s="2">
        <v>7130</v>
      </c>
      <c r="CE1223" s="2" t="s">
        <v>108</v>
      </c>
      <c r="CF1223" s="5">
        <v>42660</v>
      </c>
      <c r="CG1223" s="2"/>
      <c r="CH1223" s="2"/>
      <c r="CI1223" s="2">
        <v>1</v>
      </c>
      <c r="CJ1223" s="2">
        <v>1</v>
      </c>
      <c r="CK1223" s="2">
        <v>21</v>
      </c>
      <c r="CL1223" s="2" t="s">
        <v>88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"FES1162506698"</f>
        <v>FES1162506698</v>
      </c>
      <c r="F1224" s="3">
        <v>42656</v>
      </c>
      <c r="G1224" s="2">
        <v>201704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269</v>
      </c>
      <c r="M1224" s="2" t="s">
        <v>270</v>
      </c>
      <c r="N1224" s="2" t="s">
        <v>565</v>
      </c>
      <c r="O1224" s="2" t="s">
        <v>96</v>
      </c>
      <c r="P1224" s="2" t="str">
        <f>"2170530199                    "</f>
        <v xml:space="preserve">2170530199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5.81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3.4</v>
      </c>
      <c r="BJ1224" s="2">
        <v>1.1000000000000001</v>
      </c>
      <c r="BK1224" s="2">
        <v>3.5</v>
      </c>
      <c r="BL1224" s="2">
        <v>71.33</v>
      </c>
      <c r="BM1224" s="2">
        <v>9.99</v>
      </c>
      <c r="BN1224" s="2">
        <v>81.319999999999993</v>
      </c>
      <c r="BO1224" s="2">
        <v>81.319999999999993</v>
      </c>
      <c r="BP1224" s="2"/>
      <c r="BQ1224" s="2" t="s">
        <v>566</v>
      </c>
      <c r="BR1224" s="2" t="s">
        <v>83</v>
      </c>
      <c r="BS1224" s="3">
        <v>42657</v>
      </c>
      <c r="BT1224" s="4">
        <v>0.43055555555555558</v>
      </c>
      <c r="BU1224" s="2" t="s">
        <v>1237</v>
      </c>
      <c r="BV1224" s="2" t="s">
        <v>85</v>
      </c>
      <c r="BW1224" s="2"/>
      <c r="BX1224" s="2"/>
      <c r="BY1224" s="2">
        <v>5542.49</v>
      </c>
      <c r="BZ1224" s="2"/>
      <c r="CA1224" s="2"/>
      <c r="CB1224" s="2"/>
      <c r="CC1224" s="2" t="s">
        <v>270</v>
      </c>
      <c r="CD1224" s="2">
        <v>3620</v>
      </c>
      <c r="CE1224" s="2" t="s">
        <v>86</v>
      </c>
      <c r="CF1224" s="5">
        <v>42660</v>
      </c>
      <c r="CG1224" s="2"/>
      <c r="CH1224" s="2"/>
      <c r="CI1224" s="2">
        <v>1</v>
      </c>
      <c r="CJ1224" s="2">
        <v>1</v>
      </c>
      <c r="CK1224" s="2">
        <v>21</v>
      </c>
      <c r="CL1224" s="2" t="s">
        <v>88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"FES1162506433"</f>
        <v>FES1162506433</v>
      </c>
      <c r="F1225" s="3">
        <v>42656</v>
      </c>
      <c r="G1225" s="2">
        <v>201704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93</v>
      </c>
      <c r="M1225" s="2" t="s">
        <v>94</v>
      </c>
      <c r="N1225" s="2" t="s">
        <v>130</v>
      </c>
      <c r="O1225" s="2" t="s">
        <v>96</v>
      </c>
      <c r="P1225" s="2" t="str">
        <f>"2170527940                    "</f>
        <v xml:space="preserve">2170527940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4.9800000000000004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2.8</v>
      </c>
      <c r="BJ1225" s="2">
        <v>1.7</v>
      </c>
      <c r="BK1225" s="2">
        <v>3</v>
      </c>
      <c r="BL1225" s="2">
        <v>61.14</v>
      </c>
      <c r="BM1225" s="2">
        <v>8.56</v>
      </c>
      <c r="BN1225" s="2">
        <v>69.7</v>
      </c>
      <c r="BO1225" s="2">
        <v>69.7</v>
      </c>
      <c r="BP1225" s="2"/>
      <c r="BQ1225" s="2" t="s">
        <v>131</v>
      </c>
      <c r="BR1225" s="2" t="s">
        <v>83</v>
      </c>
      <c r="BS1225" s="3">
        <v>42657</v>
      </c>
      <c r="BT1225" s="4">
        <v>0.34027777777777773</v>
      </c>
      <c r="BU1225" s="2" t="s">
        <v>132</v>
      </c>
      <c r="BV1225" s="2" t="s">
        <v>85</v>
      </c>
      <c r="BW1225" s="2"/>
      <c r="BX1225" s="2"/>
      <c r="BY1225" s="2">
        <v>8742.1299999999992</v>
      </c>
      <c r="BZ1225" s="2"/>
      <c r="CA1225" s="2"/>
      <c r="CB1225" s="2"/>
      <c r="CC1225" s="2" t="s">
        <v>94</v>
      </c>
      <c r="CD1225" s="2">
        <v>4302</v>
      </c>
      <c r="CE1225" s="2" t="s">
        <v>86</v>
      </c>
      <c r="CF1225" s="5">
        <v>42660</v>
      </c>
      <c r="CG1225" s="2"/>
      <c r="CH1225" s="2"/>
      <c r="CI1225" s="2">
        <v>1</v>
      </c>
      <c r="CJ1225" s="2">
        <v>1</v>
      </c>
      <c r="CK1225" s="2">
        <v>21</v>
      </c>
      <c r="CL1225" s="2" t="s">
        <v>88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"FES1162506422"</f>
        <v>FES1162506422</v>
      </c>
      <c r="F1226" s="3">
        <v>42656</v>
      </c>
      <c r="G1226" s="2">
        <v>201704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137</v>
      </c>
      <c r="M1226" s="2" t="s">
        <v>138</v>
      </c>
      <c r="N1226" s="2" t="s">
        <v>203</v>
      </c>
      <c r="O1226" s="2" t="s">
        <v>96</v>
      </c>
      <c r="P1226" s="2" t="str">
        <f>"2170527773                    "</f>
        <v xml:space="preserve">2170527773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3.32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1</v>
      </c>
      <c r="BJ1226" s="2">
        <v>0.2</v>
      </c>
      <c r="BK1226" s="2">
        <v>1</v>
      </c>
      <c r="BL1226" s="2">
        <v>40.76</v>
      </c>
      <c r="BM1226" s="2">
        <v>5.71</v>
      </c>
      <c r="BN1226" s="2">
        <v>46.47</v>
      </c>
      <c r="BO1226" s="2">
        <v>46.47</v>
      </c>
      <c r="BP1226" s="2"/>
      <c r="BQ1226" s="2" t="s">
        <v>168</v>
      </c>
      <c r="BR1226" s="2" t="s">
        <v>83</v>
      </c>
      <c r="BS1226" s="3">
        <v>42657</v>
      </c>
      <c r="BT1226" s="4">
        <v>0.42986111111111108</v>
      </c>
      <c r="BU1226" s="2" t="s">
        <v>204</v>
      </c>
      <c r="BV1226" s="2"/>
      <c r="BW1226" s="2"/>
      <c r="BX1226" s="2"/>
      <c r="BY1226" s="2">
        <v>1200</v>
      </c>
      <c r="BZ1226" s="2"/>
      <c r="CA1226" s="2" t="s">
        <v>205</v>
      </c>
      <c r="CB1226" s="2"/>
      <c r="CC1226" s="2" t="s">
        <v>138</v>
      </c>
      <c r="CD1226" s="2">
        <v>3201</v>
      </c>
      <c r="CE1226" s="2" t="s">
        <v>108</v>
      </c>
      <c r="CF1226" s="5">
        <v>42657</v>
      </c>
      <c r="CG1226" s="2"/>
      <c r="CH1226" s="2"/>
      <c r="CI1226" s="2">
        <v>0</v>
      </c>
      <c r="CJ1226" s="2">
        <v>0</v>
      </c>
      <c r="CK1226" s="2">
        <v>21</v>
      </c>
      <c r="CL1226" s="2" t="s">
        <v>88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"FES1162506398"</f>
        <v>FES1162506398</v>
      </c>
      <c r="F1227" s="3">
        <v>42656</v>
      </c>
      <c r="G1227" s="2">
        <v>201704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269</v>
      </c>
      <c r="M1227" s="2" t="s">
        <v>270</v>
      </c>
      <c r="N1227" s="2" t="s">
        <v>299</v>
      </c>
      <c r="O1227" s="2" t="s">
        <v>96</v>
      </c>
      <c r="P1227" s="2" t="str">
        <f>"2170527251                    "</f>
        <v xml:space="preserve">2170527251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3.32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0.5</v>
      </c>
      <c r="BJ1227" s="2">
        <v>0.2</v>
      </c>
      <c r="BK1227" s="2">
        <v>0.5</v>
      </c>
      <c r="BL1227" s="2">
        <v>40.76</v>
      </c>
      <c r="BM1227" s="2">
        <v>5.71</v>
      </c>
      <c r="BN1227" s="2">
        <v>46.47</v>
      </c>
      <c r="BO1227" s="2">
        <v>46.47</v>
      </c>
      <c r="BP1227" s="2"/>
      <c r="BQ1227" s="2" t="s">
        <v>300</v>
      </c>
      <c r="BR1227" s="2" t="s">
        <v>83</v>
      </c>
      <c r="BS1227" s="3">
        <v>42657</v>
      </c>
      <c r="BT1227" s="4">
        <v>0.4375</v>
      </c>
      <c r="BU1227" s="2" t="s">
        <v>1529</v>
      </c>
      <c r="BV1227" s="2" t="s">
        <v>85</v>
      </c>
      <c r="BW1227" s="2"/>
      <c r="BX1227" s="2"/>
      <c r="BY1227" s="2">
        <v>1200</v>
      </c>
      <c r="BZ1227" s="2"/>
      <c r="CA1227" s="2" t="s">
        <v>129</v>
      </c>
      <c r="CB1227" s="2"/>
      <c r="CC1227" s="2" t="s">
        <v>270</v>
      </c>
      <c r="CD1227" s="2">
        <v>3610</v>
      </c>
      <c r="CE1227" s="2" t="s">
        <v>108</v>
      </c>
      <c r="CF1227" s="5">
        <v>42660</v>
      </c>
      <c r="CG1227" s="2"/>
      <c r="CH1227" s="2"/>
      <c r="CI1227" s="2">
        <v>1</v>
      </c>
      <c r="CJ1227" s="2">
        <v>1</v>
      </c>
      <c r="CK1227" s="2">
        <v>21</v>
      </c>
      <c r="CL1227" s="2" t="s">
        <v>88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"FES1162506375"</f>
        <v>FES1162506375</v>
      </c>
      <c r="F1228" s="3">
        <v>42656</v>
      </c>
      <c r="G1228" s="2">
        <v>201704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148</v>
      </c>
      <c r="M1228" s="2" t="s">
        <v>149</v>
      </c>
      <c r="N1228" s="2" t="s">
        <v>686</v>
      </c>
      <c r="O1228" s="2" t="s">
        <v>96</v>
      </c>
      <c r="P1228" s="2" t="str">
        <f>"2170529699                    "</f>
        <v xml:space="preserve">2170529699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14.1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2</v>
      </c>
      <c r="BI1228" s="2">
        <v>7.4</v>
      </c>
      <c r="BJ1228" s="2">
        <v>8.5</v>
      </c>
      <c r="BK1228" s="2">
        <v>8.5</v>
      </c>
      <c r="BL1228" s="2">
        <v>173.22</v>
      </c>
      <c r="BM1228" s="2">
        <v>24.25</v>
      </c>
      <c r="BN1228" s="2">
        <v>197.47</v>
      </c>
      <c r="BO1228" s="2">
        <v>197.47</v>
      </c>
      <c r="BP1228" s="2"/>
      <c r="BQ1228" s="2" t="s">
        <v>91</v>
      </c>
      <c r="BR1228" s="2" t="s">
        <v>83</v>
      </c>
      <c r="BS1228" s="3">
        <v>42657</v>
      </c>
      <c r="BT1228" s="4">
        <v>0.4375</v>
      </c>
      <c r="BU1228" s="2" t="s">
        <v>431</v>
      </c>
      <c r="BV1228" s="2" t="s">
        <v>85</v>
      </c>
      <c r="BW1228" s="2"/>
      <c r="BX1228" s="2"/>
      <c r="BY1228" s="2">
        <v>42733.31</v>
      </c>
      <c r="BZ1228" s="2"/>
      <c r="CA1228" s="2"/>
      <c r="CB1228" s="2"/>
      <c r="CC1228" s="2" t="s">
        <v>149</v>
      </c>
      <c r="CD1228" s="2">
        <v>4051</v>
      </c>
      <c r="CE1228" s="2" t="s">
        <v>86</v>
      </c>
      <c r="CF1228" s="5">
        <v>42660</v>
      </c>
      <c r="CG1228" s="2"/>
      <c r="CH1228" s="2"/>
      <c r="CI1228" s="2">
        <v>1</v>
      </c>
      <c r="CJ1228" s="2">
        <v>1</v>
      </c>
      <c r="CK1228" s="2">
        <v>21</v>
      </c>
      <c r="CL1228" s="2" t="s">
        <v>88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"FES1162506637"</f>
        <v>FES1162506637</v>
      </c>
      <c r="F1229" s="3">
        <v>42656</v>
      </c>
      <c r="G1229" s="2">
        <v>201704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78</v>
      </c>
      <c r="M1229" s="2" t="s">
        <v>79</v>
      </c>
      <c r="N1229" s="2" t="s">
        <v>80</v>
      </c>
      <c r="O1229" s="2" t="s">
        <v>81</v>
      </c>
      <c r="P1229" s="2" t="str">
        <f>"2170530146                    "</f>
        <v xml:space="preserve">2170530146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5.7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4</v>
      </c>
      <c r="BJ1229" s="2">
        <v>1.7</v>
      </c>
      <c r="BK1229" s="2">
        <v>4</v>
      </c>
      <c r="BL1229" s="2">
        <v>75.05</v>
      </c>
      <c r="BM1229" s="2">
        <v>10.51</v>
      </c>
      <c r="BN1229" s="2">
        <v>85.56</v>
      </c>
      <c r="BO1229" s="2">
        <v>85.56</v>
      </c>
      <c r="BP1229" s="2"/>
      <c r="BQ1229" s="2" t="s">
        <v>82</v>
      </c>
      <c r="BR1229" s="2" t="s">
        <v>83</v>
      </c>
      <c r="BS1229" s="3">
        <v>42657</v>
      </c>
      <c r="BT1229" s="4">
        <v>0.41666666666666669</v>
      </c>
      <c r="BU1229" s="2" t="s">
        <v>390</v>
      </c>
      <c r="BV1229" s="2" t="s">
        <v>85</v>
      </c>
      <c r="BW1229" s="2"/>
      <c r="BX1229" s="2"/>
      <c r="BY1229" s="2">
        <v>8513.6</v>
      </c>
      <c r="BZ1229" s="2"/>
      <c r="CA1229" s="2"/>
      <c r="CB1229" s="2"/>
      <c r="CC1229" s="2" t="s">
        <v>79</v>
      </c>
      <c r="CD1229" s="2">
        <v>1930</v>
      </c>
      <c r="CE1229" s="2" t="s">
        <v>86</v>
      </c>
      <c r="CF1229" s="5">
        <v>42661</v>
      </c>
      <c r="CG1229" s="2"/>
      <c r="CH1229" s="2"/>
      <c r="CI1229" s="2">
        <v>1</v>
      </c>
      <c r="CJ1229" s="2">
        <v>1</v>
      </c>
      <c r="CK1229" s="2" t="s">
        <v>87</v>
      </c>
      <c r="CL1229" s="2" t="s">
        <v>88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"FES1162506413"</f>
        <v>FES1162506413</v>
      </c>
      <c r="F1230" s="3">
        <v>42656</v>
      </c>
      <c r="G1230" s="2">
        <v>201704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1567</v>
      </c>
      <c r="M1230" s="2" t="s">
        <v>1568</v>
      </c>
      <c r="N1230" s="2" t="s">
        <v>312</v>
      </c>
      <c r="O1230" s="2" t="s">
        <v>81</v>
      </c>
      <c r="P1230" s="2" t="str">
        <f>"2170527640                    "</f>
        <v xml:space="preserve">2170527640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15.22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2</v>
      </c>
      <c r="BI1230" s="2">
        <v>43.3</v>
      </c>
      <c r="BJ1230" s="2">
        <v>35.799999999999997</v>
      </c>
      <c r="BK1230" s="2">
        <v>44</v>
      </c>
      <c r="BL1230" s="2">
        <v>191.98</v>
      </c>
      <c r="BM1230" s="2">
        <v>26.88</v>
      </c>
      <c r="BN1230" s="2">
        <v>218.86</v>
      </c>
      <c r="BO1230" s="2">
        <v>218.86</v>
      </c>
      <c r="BP1230" s="2" t="s">
        <v>1067</v>
      </c>
      <c r="BQ1230" s="2" t="s">
        <v>117</v>
      </c>
      <c r="BR1230" s="2" t="s">
        <v>83</v>
      </c>
      <c r="BS1230" s="3">
        <v>42657</v>
      </c>
      <c r="BT1230" s="4">
        <v>0.54166666666666663</v>
      </c>
      <c r="BU1230" s="2" t="s">
        <v>1569</v>
      </c>
      <c r="BV1230" s="2" t="s">
        <v>85</v>
      </c>
      <c r="BW1230" s="2"/>
      <c r="BX1230" s="2"/>
      <c r="BY1230" s="2">
        <v>179004.87</v>
      </c>
      <c r="BZ1230" s="2"/>
      <c r="CA1230" s="2"/>
      <c r="CB1230" s="2"/>
      <c r="CC1230" s="2" t="s">
        <v>1568</v>
      </c>
      <c r="CD1230" s="2">
        <v>4449</v>
      </c>
      <c r="CE1230" s="2" t="s">
        <v>86</v>
      </c>
      <c r="CF1230" s="5">
        <v>42660</v>
      </c>
      <c r="CG1230" s="2"/>
      <c r="CH1230" s="2"/>
      <c r="CI1230" s="2">
        <v>1</v>
      </c>
      <c r="CJ1230" s="2">
        <v>1</v>
      </c>
      <c r="CK1230" s="2" t="s">
        <v>1061</v>
      </c>
      <c r="CL1230" s="2" t="s">
        <v>88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"FES1162506585"</f>
        <v>FES1162506585</v>
      </c>
      <c r="F1231" s="3">
        <v>42656</v>
      </c>
      <c r="G1231" s="2">
        <v>201704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78</v>
      </c>
      <c r="M1231" s="2" t="s">
        <v>79</v>
      </c>
      <c r="N1231" s="2" t="s">
        <v>80</v>
      </c>
      <c r="O1231" s="2" t="s">
        <v>81</v>
      </c>
      <c r="P1231" s="2" t="str">
        <f>"2170530086                    "</f>
        <v xml:space="preserve">2170530086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5.7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5</v>
      </c>
      <c r="BJ1231" s="2">
        <v>0.2</v>
      </c>
      <c r="BK1231" s="2">
        <v>5</v>
      </c>
      <c r="BL1231" s="2">
        <v>75.05</v>
      </c>
      <c r="BM1231" s="2">
        <v>10.51</v>
      </c>
      <c r="BN1231" s="2">
        <v>85.56</v>
      </c>
      <c r="BO1231" s="2">
        <v>85.56</v>
      </c>
      <c r="BP1231" s="2"/>
      <c r="BQ1231" s="2" t="s">
        <v>82</v>
      </c>
      <c r="BR1231" s="2" t="s">
        <v>83</v>
      </c>
      <c r="BS1231" s="3">
        <v>42657</v>
      </c>
      <c r="BT1231" s="4">
        <v>0.41666666666666669</v>
      </c>
      <c r="BU1231" s="2" t="s">
        <v>390</v>
      </c>
      <c r="BV1231" s="2" t="s">
        <v>85</v>
      </c>
      <c r="BW1231" s="2"/>
      <c r="BX1231" s="2"/>
      <c r="BY1231" s="2">
        <v>1200</v>
      </c>
      <c r="BZ1231" s="2"/>
      <c r="CA1231" s="2"/>
      <c r="CB1231" s="2"/>
      <c r="CC1231" s="2" t="s">
        <v>79</v>
      </c>
      <c r="CD1231" s="2">
        <v>1930</v>
      </c>
      <c r="CE1231" s="2" t="s">
        <v>108</v>
      </c>
      <c r="CF1231" s="5">
        <v>42661</v>
      </c>
      <c r="CG1231" s="2"/>
      <c r="CH1231" s="2"/>
      <c r="CI1231" s="2">
        <v>1</v>
      </c>
      <c r="CJ1231" s="2">
        <v>1</v>
      </c>
      <c r="CK1231" s="2" t="s">
        <v>87</v>
      </c>
      <c r="CL1231" s="2" t="s">
        <v>88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"FES1162506543"</f>
        <v>FES1162506543</v>
      </c>
      <c r="F1232" s="3">
        <v>42656</v>
      </c>
      <c r="G1232" s="2">
        <v>201704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1062</v>
      </c>
      <c r="M1232" s="2" t="s">
        <v>161</v>
      </c>
      <c r="N1232" s="2" t="s">
        <v>251</v>
      </c>
      <c r="O1232" s="2" t="s">
        <v>81</v>
      </c>
      <c r="P1232" s="2" t="str">
        <f>"2170530036                    "</f>
        <v xml:space="preserve">2170530036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6.79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2.1</v>
      </c>
      <c r="BJ1232" s="2">
        <v>1.4</v>
      </c>
      <c r="BK1232" s="2">
        <v>3</v>
      </c>
      <c r="BL1232" s="2">
        <v>88.43</v>
      </c>
      <c r="BM1232" s="2">
        <v>12.38</v>
      </c>
      <c r="BN1232" s="2">
        <v>100.81</v>
      </c>
      <c r="BO1232" s="2">
        <v>100.81</v>
      </c>
      <c r="BP1232" s="2" t="s">
        <v>90</v>
      </c>
      <c r="BQ1232" s="2" t="s">
        <v>91</v>
      </c>
      <c r="BR1232" s="2" t="s">
        <v>83</v>
      </c>
      <c r="BS1232" s="3">
        <v>42657</v>
      </c>
      <c r="BT1232" s="4">
        <v>0.41250000000000003</v>
      </c>
      <c r="BU1232" s="2" t="s">
        <v>1570</v>
      </c>
      <c r="BV1232" s="2" t="s">
        <v>85</v>
      </c>
      <c r="BW1232" s="2"/>
      <c r="BX1232" s="2"/>
      <c r="BY1232" s="2">
        <v>7083.43</v>
      </c>
      <c r="BZ1232" s="2"/>
      <c r="CA1232" s="2" t="s">
        <v>625</v>
      </c>
      <c r="CB1232" s="2"/>
      <c r="CC1232" s="2" t="s">
        <v>161</v>
      </c>
      <c r="CD1232" s="2">
        <v>7500</v>
      </c>
      <c r="CE1232" s="2" t="s">
        <v>86</v>
      </c>
      <c r="CF1232" s="5">
        <v>42657</v>
      </c>
      <c r="CG1232" s="2"/>
      <c r="CH1232" s="2"/>
      <c r="CI1232" s="2">
        <v>2</v>
      </c>
      <c r="CJ1232" s="2">
        <v>1</v>
      </c>
      <c r="CK1232" s="2" t="s">
        <v>1063</v>
      </c>
      <c r="CL1232" s="2" t="s">
        <v>88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"FES1162506378"</f>
        <v>FES1162506378</v>
      </c>
      <c r="F1233" s="3">
        <v>42656</v>
      </c>
      <c r="G1233" s="2">
        <v>201704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269</v>
      </c>
      <c r="M1233" s="2" t="s">
        <v>270</v>
      </c>
      <c r="N1233" s="2" t="s">
        <v>565</v>
      </c>
      <c r="O1233" s="2" t="s">
        <v>81</v>
      </c>
      <c r="P1233" s="2" t="str">
        <f>"2170529889                    "</f>
        <v xml:space="preserve">2170529889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4.66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9.6</v>
      </c>
      <c r="BJ1233" s="2">
        <v>5.2</v>
      </c>
      <c r="BK1233" s="2">
        <v>10</v>
      </c>
      <c r="BL1233" s="2">
        <v>62.31</v>
      </c>
      <c r="BM1233" s="2">
        <v>8.7200000000000006</v>
      </c>
      <c r="BN1233" s="2">
        <v>71.03</v>
      </c>
      <c r="BO1233" s="2">
        <v>71.03</v>
      </c>
      <c r="BP1233" s="2" t="s">
        <v>90</v>
      </c>
      <c r="BQ1233" s="2" t="s">
        <v>566</v>
      </c>
      <c r="BR1233" s="2" t="s">
        <v>83</v>
      </c>
      <c r="BS1233" s="3">
        <v>42657</v>
      </c>
      <c r="BT1233" s="4">
        <v>0.55208333333333337</v>
      </c>
      <c r="BU1233" s="2" t="s">
        <v>1571</v>
      </c>
      <c r="BV1233" s="2" t="s">
        <v>85</v>
      </c>
      <c r="BW1233" s="2"/>
      <c r="BX1233" s="2"/>
      <c r="BY1233" s="2">
        <v>25766.66</v>
      </c>
      <c r="BZ1233" s="2"/>
      <c r="CA1233" s="2"/>
      <c r="CB1233" s="2"/>
      <c r="CC1233" s="2" t="s">
        <v>270</v>
      </c>
      <c r="CD1233" s="2">
        <v>3620</v>
      </c>
      <c r="CE1233" s="2" t="s">
        <v>86</v>
      </c>
      <c r="CF1233" s="5">
        <v>42660</v>
      </c>
      <c r="CG1233" s="2"/>
      <c r="CH1233" s="2"/>
      <c r="CI1233" s="2">
        <v>1</v>
      </c>
      <c r="CJ1233" s="2">
        <v>1</v>
      </c>
      <c r="CK1233" s="2" t="s">
        <v>1059</v>
      </c>
      <c r="CL1233" s="2" t="s">
        <v>88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"FES1162506719"</f>
        <v>FES1162506719</v>
      </c>
      <c r="F1234" s="3">
        <v>42656</v>
      </c>
      <c r="G1234" s="2">
        <v>201704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286</v>
      </c>
      <c r="M1234" s="2" t="s">
        <v>287</v>
      </c>
      <c r="N1234" s="2" t="s">
        <v>1475</v>
      </c>
      <c r="O1234" s="2" t="s">
        <v>81</v>
      </c>
      <c r="P1234" s="2" t="str">
        <f>"2170530192                    "</f>
        <v xml:space="preserve">2170530192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6.22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4.8</v>
      </c>
      <c r="BJ1234" s="2">
        <v>1.9</v>
      </c>
      <c r="BK1234" s="2">
        <v>5</v>
      </c>
      <c r="BL1234" s="2">
        <v>81.42</v>
      </c>
      <c r="BM1234" s="2">
        <v>11.4</v>
      </c>
      <c r="BN1234" s="2">
        <v>92.82</v>
      </c>
      <c r="BO1234" s="2">
        <v>92.82</v>
      </c>
      <c r="BP1234" s="2"/>
      <c r="BQ1234" s="2" t="s">
        <v>91</v>
      </c>
      <c r="BR1234" s="2" t="s">
        <v>83</v>
      </c>
      <c r="BS1234" s="3">
        <v>42657</v>
      </c>
      <c r="BT1234" s="4">
        <v>0.41666666666666669</v>
      </c>
      <c r="BU1234" s="2" t="s">
        <v>1476</v>
      </c>
      <c r="BV1234" s="2" t="s">
        <v>85</v>
      </c>
      <c r="BW1234" s="2"/>
      <c r="BX1234" s="2"/>
      <c r="BY1234" s="2">
        <v>9301.26</v>
      </c>
      <c r="BZ1234" s="2"/>
      <c r="CA1234" s="2"/>
      <c r="CB1234" s="2"/>
      <c r="CC1234" s="2" t="s">
        <v>287</v>
      </c>
      <c r="CD1234" s="2">
        <v>1947</v>
      </c>
      <c r="CE1234" s="2" t="s">
        <v>86</v>
      </c>
      <c r="CF1234" s="5">
        <v>42661</v>
      </c>
      <c r="CG1234" s="2"/>
      <c r="CH1234" s="2"/>
      <c r="CI1234" s="2">
        <v>1</v>
      </c>
      <c r="CJ1234" s="2">
        <v>1</v>
      </c>
      <c r="CK1234" s="2" t="s">
        <v>366</v>
      </c>
      <c r="CL1234" s="2" t="s">
        <v>88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"FES1162506479"</f>
        <v>FES1162506479</v>
      </c>
      <c r="F1235" s="3">
        <v>42656</v>
      </c>
      <c r="G1235" s="2">
        <v>201704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160</v>
      </c>
      <c r="M1235" s="2" t="s">
        <v>161</v>
      </c>
      <c r="N1235" s="2" t="s">
        <v>1334</v>
      </c>
      <c r="O1235" s="2" t="s">
        <v>96</v>
      </c>
      <c r="P1235" s="2" t="str">
        <f>"2170529955                    "</f>
        <v xml:space="preserve">2170529955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3.32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0.5</v>
      </c>
      <c r="BJ1235" s="2">
        <v>0.7</v>
      </c>
      <c r="BK1235" s="2">
        <v>1</v>
      </c>
      <c r="BL1235" s="2">
        <v>40.76</v>
      </c>
      <c r="BM1235" s="2">
        <v>5.71</v>
      </c>
      <c r="BN1235" s="2">
        <v>46.47</v>
      </c>
      <c r="BO1235" s="2">
        <v>46.47</v>
      </c>
      <c r="BP1235" s="2"/>
      <c r="BQ1235" s="2" t="s">
        <v>1335</v>
      </c>
      <c r="BR1235" s="2" t="s">
        <v>83</v>
      </c>
      <c r="BS1235" s="3">
        <v>42657</v>
      </c>
      <c r="BT1235" s="4">
        <v>0.39930555555555558</v>
      </c>
      <c r="BU1235" s="2" t="s">
        <v>238</v>
      </c>
      <c r="BV1235" s="2" t="s">
        <v>85</v>
      </c>
      <c r="BW1235" s="2"/>
      <c r="BX1235" s="2"/>
      <c r="BY1235" s="2">
        <v>3440.56</v>
      </c>
      <c r="BZ1235" s="2"/>
      <c r="CA1235" s="2"/>
      <c r="CB1235" s="2"/>
      <c r="CC1235" s="2" t="s">
        <v>161</v>
      </c>
      <c r="CD1235" s="2">
        <v>7560</v>
      </c>
      <c r="CE1235" s="2" t="s">
        <v>108</v>
      </c>
      <c r="CF1235" s="5">
        <v>42660</v>
      </c>
      <c r="CG1235" s="2"/>
      <c r="CH1235" s="2"/>
      <c r="CI1235" s="2">
        <v>1</v>
      </c>
      <c r="CJ1235" s="2">
        <v>1</v>
      </c>
      <c r="CK1235" s="2">
        <v>21</v>
      </c>
      <c r="CL1235" s="2" t="s">
        <v>88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"FES1162506366"</f>
        <v>FES1162506366</v>
      </c>
      <c r="F1236" s="3">
        <v>42656</v>
      </c>
      <c r="G1236" s="2">
        <v>201704</v>
      </c>
      <c r="H1236" s="2" t="s">
        <v>74</v>
      </c>
      <c r="I1236" s="2" t="s">
        <v>75</v>
      </c>
      <c r="J1236" s="2" t="s">
        <v>76</v>
      </c>
      <c r="K1236" s="2" t="s">
        <v>77</v>
      </c>
      <c r="L1236" s="2" t="s">
        <v>143</v>
      </c>
      <c r="M1236" s="2" t="s">
        <v>144</v>
      </c>
      <c r="N1236" s="2" t="s">
        <v>145</v>
      </c>
      <c r="O1236" s="2" t="s">
        <v>96</v>
      </c>
      <c r="P1236" s="2" t="str">
        <f>"2170529914                    "</f>
        <v xml:space="preserve">2170529914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3.32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0.5</v>
      </c>
      <c r="BJ1236" s="2">
        <v>0.2</v>
      </c>
      <c r="BK1236" s="2">
        <v>0.5</v>
      </c>
      <c r="BL1236" s="2">
        <v>40.76</v>
      </c>
      <c r="BM1236" s="2">
        <v>5.71</v>
      </c>
      <c r="BN1236" s="2">
        <v>46.47</v>
      </c>
      <c r="BO1236" s="2">
        <v>46.47</v>
      </c>
      <c r="BP1236" s="2"/>
      <c r="BQ1236" s="2" t="s">
        <v>91</v>
      </c>
      <c r="BR1236" s="2" t="s">
        <v>83</v>
      </c>
      <c r="BS1236" s="3">
        <v>42657</v>
      </c>
      <c r="BT1236" s="4">
        <v>0.4375</v>
      </c>
      <c r="BU1236" s="2" t="s">
        <v>1572</v>
      </c>
      <c r="BV1236" s="2" t="s">
        <v>85</v>
      </c>
      <c r="BW1236" s="2"/>
      <c r="BX1236" s="2"/>
      <c r="BY1236" s="2">
        <v>1200</v>
      </c>
      <c r="BZ1236" s="2"/>
      <c r="CA1236" s="2"/>
      <c r="CB1236" s="2"/>
      <c r="CC1236" s="2" t="s">
        <v>144</v>
      </c>
      <c r="CD1236" s="2">
        <v>5201</v>
      </c>
      <c r="CE1236" s="2" t="s">
        <v>108</v>
      </c>
      <c r="CF1236" s="5">
        <v>42660</v>
      </c>
      <c r="CG1236" s="2"/>
      <c r="CH1236" s="2"/>
      <c r="CI1236" s="2">
        <v>1</v>
      </c>
      <c r="CJ1236" s="2">
        <v>1</v>
      </c>
      <c r="CK1236" s="2">
        <v>21</v>
      </c>
      <c r="CL1236" s="2" t="s">
        <v>88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"FES1162506524"</f>
        <v>FES1162506524</v>
      </c>
      <c r="F1237" s="3">
        <v>42656</v>
      </c>
      <c r="G1237" s="2">
        <v>201704</v>
      </c>
      <c r="H1237" s="2" t="s">
        <v>74</v>
      </c>
      <c r="I1237" s="2" t="s">
        <v>75</v>
      </c>
      <c r="J1237" s="2" t="s">
        <v>76</v>
      </c>
      <c r="K1237" s="2" t="s">
        <v>77</v>
      </c>
      <c r="L1237" s="2" t="s">
        <v>143</v>
      </c>
      <c r="M1237" s="2" t="s">
        <v>144</v>
      </c>
      <c r="N1237" s="2" t="s">
        <v>1315</v>
      </c>
      <c r="O1237" s="2" t="s">
        <v>96</v>
      </c>
      <c r="P1237" s="2" t="str">
        <f>"2170530014                    "</f>
        <v xml:space="preserve">2170530014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4.1500000000000004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0.9</v>
      </c>
      <c r="BJ1237" s="2">
        <v>2.1</v>
      </c>
      <c r="BK1237" s="2">
        <v>2.5</v>
      </c>
      <c r="BL1237" s="2">
        <v>50.95</v>
      </c>
      <c r="BM1237" s="2">
        <v>7.13</v>
      </c>
      <c r="BN1237" s="2">
        <v>58.08</v>
      </c>
      <c r="BO1237" s="2">
        <v>58.08</v>
      </c>
      <c r="BP1237" s="2"/>
      <c r="BQ1237" s="2" t="s">
        <v>1316</v>
      </c>
      <c r="BR1237" s="2" t="s">
        <v>83</v>
      </c>
      <c r="BS1237" s="3">
        <v>42657</v>
      </c>
      <c r="BT1237" s="4">
        <v>0.625</v>
      </c>
      <c r="BU1237" s="2" t="s">
        <v>1548</v>
      </c>
      <c r="BV1237" s="2"/>
      <c r="BW1237" s="2" t="s">
        <v>277</v>
      </c>
      <c r="BX1237" s="2" t="s">
        <v>1549</v>
      </c>
      <c r="BY1237" s="2">
        <v>10478.030000000001</v>
      </c>
      <c r="BZ1237" s="2"/>
      <c r="CA1237" s="2"/>
      <c r="CB1237" s="2"/>
      <c r="CC1237" s="2" t="s">
        <v>144</v>
      </c>
      <c r="CD1237" s="2">
        <v>5201</v>
      </c>
      <c r="CE1237" s="2" t="s">
        <v>108</v>
      </c>
      <c r="CF1237" s="5">
        <v>42660</v>
      </c>
      <c r="CG1237" s="2"/>
      <c r="CH1237" s="2"/>
      <c r="CI1237" s="2">
        <v>0</v>
      </c>
      <c r="CJ1237" s="2">
        <v>0</v>
      </c>
      <c r="CK1237" s="2">
        <v>21</v>
      </c>
      <c r="CL1237" s="2" t="s">
        <v>88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"FES1162506595"</f>
        <v>FES1162506595</v>
      </c>
      <c r="F1238" s="3">
        <v>42656</v>
      </c>
      <c r="G1238" s="2">
        <v>201704</v>
      </c>
      <c r="H1238" s="2" t="s">
        <v>74</v>
      </c>
      <c r="I1238" s="2" t="s">
        <v>75</v>
      </c>
      <c r="J1238" s="2" t="s">
        <v>76</v>
      </c>
      <c r="K1238" s="2" t="s">
        <v>77</v>
      </c>
      <c r="L1238" s="2" t="s">
        <v>93</v>
      </c>
      <c r="M1238" s="2" t="s">
        <v>94</v>
      </c>
      <c r="N1238" s="2" t="s">
        <v>536</v>
      </c>
      <c r="O1238" s="2" t="s">
        <v>96</v>
      </c>
      <c r="P1238" s="2" t="str">
        <f>"2170530104                    "</f>
        <v xml:space="preserve">2170530104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3.32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0.5</v>
      </c>
      <c r="BJ1238" s="2">
        <v>0.2</v>
      </c>
      <c r="BK1238" s="2">
        <v>0.5</v>
      </c>
      <c r="BL1238" s="2">
        <v>40.76</v>
      </c>
      <c r="BM1238" s="2">
        <v>5.71</v>
      </c>
      <c r="BN1238" s="2">
        <v>46.47</v>
      </c>
      <c r="BO1238" s="2">
        <v>46.47</v>
      </c>
      <c r="BP1238" s="2"/>
      <c r="BQ1238" s="2" t="s">
        <v>537</v>
      </c>
      <c r="BR1238" s="2" t="s">
        <v>83</v>
      </c>
      <c r="BS1238" s="3">
        <v>42657</v>
      </c>
      <c r="BT1238" s="4">
        <v>0.41319444444444442</v>
      </c>
      <c r="BU1238" s="2" t="s">
        <v>852</v>
      </c>
      <c r="BV1238" s="2" t="s">
        <v>85</v>
      </c>
      <c r="BW1238" s="2"/>
      <c r="BX1238" s="2"/>
      <c r="BY1238" s="2">
        <v>1200</v>
      </c>
      <c r="BZ1238" s="2"/>
      <c r="CA1238" s="2"/>
      <c r="CB1238" s="2"/>
      <c r="CC1238" s="2" t="s">
        <v>94</v>
      </c>
      <c r="CD1238" s="2">
        <v>4300</v>
      </c>
      <c r="CE1238" s="2" t="s">
        <v>108</v>
      </c>
      <c r="CF1238" s="5">
        <v>42660</v>
      </c>
      <c r="CG1238" s="2"/>
      <c r="CH1238" s="2"/>
      <c r="CI1238" s="2">
        <v>1</v>
      </c>
      <c r="CJ1238" s="2">
        <v>1</v>
      </c>
      <c r="CK1238" s="2">
        <v>21</v>
      </c>
      <c r="CL1238" s="2" t="s">
        <v>88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"FES1162506481"</f>
        <v>FES1162506481</v>
      </c>
      <c r="F1239" s="3">
        <v>42656</v>
      </c>
      <c r="G1239" s="2">
        <v>201704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884</v>
      </c>
      <c r="M1239" s="2" t="s">
        <v>885</v>
      </c>
      <c r="N1239" s="2" t="s">
        <v>886</v>
      </c>
      <c r="O1239" s="2" t="s">
        <v>96</v>
      </c>
      <c r="P1239" s="2" t="str">
        <f>"2170529959                    "</f>
        <v xml:space="preserve">2170529959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6.43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1.1000000000000001</v>
      </c>
      <c r="BJ1239" s="2">
        <v>1</v>
      </c>
      <c r="BK1239" s="2">
        <v>1.5</v>
      </c>
      <c r="BL1239" s="2">
        <v>78.97</v>
      </c>
      <c r="BM1239" s="2">
        <v>11.06</v>
      </c>
      <c r="BN1239" s="2">
        <v>90.03</v>
      </c>
      <c r="BO1239" s="2">
        <v>90.03</v>
      </c>
      <c r="BP1239" s="2"/>
      <c r="BQ1239" s="2" t="s">
        <v>82</v>
      </c>
      <c r="BR1239" s="2" t="s">
        <v>83</v>
      </c>
      <c r="BS1239" s="3">
        <v>42660</v>
      </c>
      <c r="BT1239" s="4">
        <v>0.41666666666666669</v>
      </c>
      <c r="BU1239" s="2" t="s">
        <v>1573</v>
      </c>
      <c r="BV1239" s="2" t="s">
        <v>85</v>
      </c>
      <c r="BW1239" s="2"/>
      <c r="BX1239" s="2"/>
      <c r="BY1239" s="2">
        <v>4877.1099999999997</v>
      </c>
      <c r="BZ1239" s="2"/>
      <c r="CA1239" s="2"/>
      <c r="CB1239" s="2"/>
      <c r="CC1239" s="2" t="s">
        <v>885</v>
      </c>
      <c r="CD1239" s="2">
        <v>7380</v>
      </c>
      <c r="CE1239" s="2" t="s">
        <v>108</v>
      </c>
      <c r="CF1239" s="5">
        <v>42663</v>
      </c>
      <c r="CG1239" s="2"/>
      <c r="CH1239" s="2"/>
      <c r="CI1239" s="2">
        <v>3</v>
      </c>
      <c r="CJ1239" s="2">
        <v>2</v>
      </c>
      <c r="CK1239" s="2">
        <v>23</v>
      </c>
      <c r="CL1239" s="2" t="s">
        <v>88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"FES1162506537"</f>
        <v>FES1162506537</v>
      </c>
      <c r="F1240" s="3">
        <v>42656</v>
      </c>
      <c r="G1240" s="2">
        <v>201704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269</v>
      </c>
      <c r="M1240" s="2" t="s">
        <v>270</v>
      </c>
      <c r="N1240" s="2" t="s">
        <v>778</v>
      </c>
      <c r="O1240" s="2" t="s">
        <v>96</v>
      </c>
      <c r="P1240" s="2" t="str">
        <f>"2170530019                    "</f>
        <v xml:space="preserve">2170530019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3.32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0.4</v>
      </c>
      <c r="BJ1240" s="2">
        <v>1.2</v>
      </c>
      <c r="BK1240" s="2">
        <v>1.5</v>
      </c>
      <c r="BL1240" s="2">
        <v>40.76</v>
      </c>
      <c r="BM1240" s="2">
        <v>5.71</v>
      </c>
      <c r="BN1240" s="2">
        <v>46.47</v>
      </c>
      <c r="BO1240" s="2">
        <v>46.47</v>
      </c>
      <c r="BP1240" s="2"/>
      <c r="BQ1240" s="2" t="s">
        <v>117</v>
      </c>
      <c r="BR1240" s="2" t="s">
        <v>83</v>
      </c>
      <c r="BS1240" s="3">
        <v>42657</v>
      </c>
      <c r="BT1240" s="4">
        <v>0.4375</v>
      </c>
      <c r="BU1240" s="2" t="s">
        <v>1574</v>
      </c>
      <c r="BV1240" s="2" t="s">
        <v>85</v>
      </c>
      <c r="BW1240" s="2"/>
      <c r="BX1240" s="2"/>
      <c r="BY1240" s="2">
        <v>5961.19</v>
      </c>
      <c r="BZ1240" s="2"/>
      <c r="CA1240" s="2" t="s">
        <v>129</v>
      </c>
      <c r="CB1240" s="2"/>
      <c r="CC1240" s="2" t="s">
        <v>270</v>
      </c>
      <c r="CD1240" s="2">
        <v>3600</v>
      </c>
      <c r="CE1240" s="2" t="s">
        <v>108</v>
      </c>
      <c r="CF1240" s="5">
        <v>42660</v>
      </c>
      <c r="CG1240" s="2"/>
      <c r="CH1240" s="2"/>
      <c r="CI1240" s="2">
        <v>1</v>
      </c>
      <c r="CJ1240" s="2">
        <v>1</v>
      </c>
      <c r="CK1240" s="2">
        <v>21</v>
      </c>
      <c r="CL1240" s="2" t="s">
        <v>88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"FES1162506571"</f>
        <v>FES1162506571</v>
      </c>
      <c r="F1241" s="3">
        <v>42656</v>
      </c>
      <c r="G1241" s="2">
        <v>201704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269</v>
      </c>
      <c r="M1241" s="2" t="s">
        <v>270</v>
      </c>
      <c r="N1241" s="2" t="s">
        <v>271</v>
      </c>
      <c r="O1241" s="2" t="s">
        <v>96</v>
      </c>
      <c r="P1241" s="2" t="str">
        <f>"2170530062                    "</f>
        <v xml:space="preserve">2170530062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3.32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1</v>
      </c>
      <c r="BI1241" s="2">
        <v>0.3</v>
      </c>
      <c r="BJ1241" s="2">
        <v>1.2</v>
      </c>
      <c r="BK1241" s="2">
        <v>1.5</v>
      </c>
      <c r="BL1241" s="2">
        <v>40.76</v>
      </c>
      <c r="BM1241" s="2">
        <v>5.71</v>
      </c>
      <c r="BN1241" s="2">
        <v>46.47</v>
      </c>
      <c r="BO1241" s="2">
        <v>46.47</v>
      </c>
      <c r="BP1241" s="2"/>
      <c r="BQ1241" s="2" t="s">
        <v>91</v>
      </c>
      <c r="BR1241" s="2" t="s">
        <v>83</v>
      </c>
      <c r="BS1241" s="3">
        <v>42657</v>
      </c>
      <c r="BT1241" s="4">
        <v>0.42708333333333331</v>
      </c>
      <c r="BU1241" s="2" t="s">
        <v>272</v>
      </c>
      <c r="BV1241" s="2" t="s">
        <v>85</v>
      </c>
      <c r="BW1241" s="2"/>
      <c r="BX1241" s="2"/>
      <c r="BY1241" s="2">
        <v>5764.12</v>
      </c>
      <c r="BZ1241" s="2"/>
      <c r="CA1241" s="2"/>
      <c r="CB1241" s="2"/>
      <c r="CC1241" s="2" t="s">
        <v>270</v>
      </c>
      <c r="CD1241" s="2">
        <v>3610</v>
      </c>
      <c r="CE1241" s="2" t="s">
        <v>108</v>
      </c>
      <c r="CF1241" s="5">
        <v>42660</v>
      </c>
      <c r="CG1241" s="2"/>
      <c r="CH1241" s="2"/>
      <c r="CI1241" s="2">
        <v>1</v>
      </c>
      <c r="CJ1241" s="2">
        <v>1</v>
      </c>
      <c r="CK1241" s="2">
        <v>21</v>
      </c>
      <c r="CL1241" s="2" t="s">
        <v>88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"FES1162506480"</f>
        <v>FES1162506480</v>
      </c>
      <c r="F1242" s="3">
        <v>42656</v>
      </c>
      <c r="G1242" s="2">
        <v>201704</v>
      </c>
      <c r="H1242" s="2" t="s">
        <v>74</v>
      </c>
      <c r="I1242" s="2" t="s">
        <v>75</v>
      </c>
      <c r="J1242" s="2" t="s">
        <v>76</v>
      </c>
      <c r="K1242" s="2" t="s">
        <v>77</v>
      </c>
      <c r="L1242" s="2" t="s">
        <v>160</v>
      </c>
      <c r="M1242" s="2" t="s">
        <v>161</v>
      </c>
      <c r="N1242" s="2" t="s">
        <v>1334</v>
      </c>
      <c r="O1242" s="2" t="s">
        <v>96</v>
      </c>
      <c r="P1242" s="2" t="str">
        <f>"2170529957                    "</f>
        <v xml:space="preserve">2170529957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3.32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1.4</v>
      </c>
      <c r="BJ1242" s="2">
        <v>1.9</v>
      </c>
      <c r="BK1242" s="2">
        <v>2</v>
      </c>
      <c r="BL1242" s="2">
        <v>40.76</v>
      </c>
      <c r="BM1242" s="2">
        <v>5.71</v>
      </c>
      <c r="BN1242" s="2">
        <v>46.47</v>
      </c>
      <c r="BO1242" s="2">
        <v>46.47</v>
      </c>
      <c r="BP1242" s="2"/>
      <c r="BQ1242" s="2" t="s">
        <v>1335</v>
      </c>
      <c r="BR1242" s="2" t="s">
        <v>83</v>
      </c>
      <c r="BS1242" s="3">
        <v>42657</v>
      </c>
      <c r="BT1242" s="4">
        <v>0.39930555555555558</v>
      </c>
      <c r="BU1242" s="2" t="s">
        <v>238</v>
      </c>
      <c r="BV1242" s="2" t="s">
        <v>85</v>
      </c>
      <c r="BW1242" s="2"/>
      <c r="BX1242" s="2"/>
      <c r="BY1242" s="2">
        <v>9336.75</v>
      </c>
      <c r="BZ1242" s="2"/>
      <c r="CA1242" s="2"/>
      <c r="CB1242" s="2"/>
      <c r="CC1242" s="2" t="s">
        <v>161</v>
      </c>
      <c r="CD1242" s="2">
        <v>7560</v>
      </c>
      <c r="CE1242" s="2" t="s">
        <v>108</v>
      </c>
      <c r="CF1242" s="5">
        <v>42660</v>
      </c>
      <c r="CG1242" s="2"/>
      <c r="CH1242" s="2"/>
      <c r="CI1242" s="2">
        <v>1</v>
      </c>
      <c r="CJ1242" s="2">
        <v>1</v>
      </c>
      <c r="CK1242" s="2">
        <v>21</v>
      </c>
      <c r="CL1242" s="2" t="s">
        <v>88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"FES1162506250"</f>
        <v>FES1162506250</v>
      </c>
      <c r="F1243" s="3">
        <v>42656</v>
      </c>
      <c r="G1243" s="2">
        <v>201704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253</v>
      </c>
      <c r="M1243" s="2" t="s">
        <v>254</v>
      </c>
      <c r="N1243" s="2" t="s">
        <v>255</v>
      </c>
      <c r="O1243" s="2" t="s">
        <v>96</v>
      </c>
      <c r="P1243" s="2" t="str">
        <f>"2170529474                    "</f>
        <v xml:space="preserve">2170529474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7.88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0.6</v>
      </c>
      <c r="BJ1243" s="2">
        <v>2.2000000000000002</v>
      </c>
      <c r="BK1243" s="2">
        <v>2.5</v>
      </c>
      <c r="BL1243" s="2">
        <v>96.8</v>
      </c>
      <c r="BM1243" s="2">
        <v>13.55</v>
      </c>
      <c r="BN1243" s="2">
        <v>110.35</v>
      </c>
      <c r="BO1243" s="2">
        <v>110.35</v>
      </c>
      <c r="BP1243" s="2"/>
      <c r="BQ1243" s="2" t="s">
        <v>117</v>
      </c>
      <c r="BR1243" s="2" t="s">
        <v>83</v>
      </c>
      <c r="BS1243" s="3">
        <v>42657</v>
      </c>
      <c r="BT1243" s="4">
        <v>0.59722222222222221</v>
      </c>
      <c r="BU1243" s="2" t="s">
        <v>974</v>
      </c>
      <c r="BV1243" s="2" t="s">
        <v>85</v>
      </c>
      <c r="BW1243" s="2"/>
      <c r="BX1243" s="2"/>
      <c r="BY1243" s="2">
        <v>10922.91</v>
      </c>
      <c r="BZ1243" s="2"/>
      <c r="CA1243" s="2"/>
      <c r="CB1243" s="2"/>
      <c r="CC1243" s="2" t="s">
        <v>254</v>
      </c>
      <c r="CD1243" s="2">
        <v>3370</v>
      </c>
      <c r="CE1243" s="2" t="s">
        <v>108</v>
      </c>
      <c r="CF1243" s="5">
        <v>42661</v>
      </c>
      <c r="CG1243" s="2"/>
      <c r="CH1243" s="2"/>
      <c r="CI1243" s="2">
        <v>3</v>
      </c>
      <c r="CJ1243" s="2">
        <v>1</v>
      </c>
      <c r="CK1243" s="2">
        <v>23</v>
      </c>
      <c r="CL1243" s="2" t="s">
        <v>88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"FES1162506491"</f>
        <v>FES1162506491</v>
      </c>
      <c r="F1244" s="3">
        <v>42656</v>
      </c>
      <c r="G1244" s="2">
        <v>201704</v>
      </c>
      <c r="H1244" s="2" t="s">
        <v>74</v>
      </c>
      <c r="I1244" s="2" t="s">
        <v>75</v>
      </c>
      <c r="J1244" s="2" t="s">
        <v>76</v>
      </c>
      <c r="K1244" s="2" t="s">
        <v>77</v>
      </c>
      <c r="L1244" s="2" t="s">
        <v>153</v>
      </c>
      <c r="M1244" s="2" t="s">
        <v>153</v>
      </c>
      <c r="N1244" s="2" t="s">
        <v>1575</v>
      </c>
      <c r="O1244" s="2" t="s">
        <v>96</v>
      </c>
      <c r="P1244" s="2" t="str">
        <f>"2170529963                    "</f>
        <v xml:space="preserve">2170529963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3.32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0.5</v>
      </c>
      <c r="BJ1244" s="2">
        <v>1.3</v>
      </c>
      <c r="BK1244" s="2">
        <v>1.5</v>
      </c>
      <c r="BL1244" s="2">
        <v>40.76</v>
      </c>
      <c r="BM1244" s="2">
        <v>5.71</v>
      </c>
      <c r="BN1244" s="2">
        <v>46.47</v>
      </c>
      <c r="BO1244" s="2">
        <v>46.47</v>
      </c>
      <c r="BP1244" s="2"/>
      <c r="BQ1244" s="2" t="s">
        <v>597</v>
      </c>
      <c r="BR1244" s="2" t="s">
        <v>83</v>
      </c>
      <c r="BS1244" s="3">
        <v>42657</v>
      </c>
      <c r="BT1244" s="4">
        <v>0.47916666666666669</v>
      </c>
      <c r="BU1244" s="2" t="s">
        <v>1576</v>
      </c>
      <c r="BV1244" s="2" t="s">
        <v>85</v>
      </c>
      <c r="BW1244" s="2"/>
      <c r="BX1244" s="2"/>
      <c r="BY1244" s="2">
        <v>6326.58</v>
      </c>
      <c r="BZ1244" s="2"/>
      <c r="CA1244" s="2"/>
      <c r="CB1244" s="2"/>
      <c r="CC1244" s="2" t="s">
        <v>153</v>
      </c>
      <c r="CD1244" s="2">
        <v>7646</v>
      </c>
      <c r="CE1244" s="2" t="s">
        <v>108</v>
      </c>
      <c r="CF1244" s="5">
        <v>42660</v>
      </c>
      <c r="CG1244" s="2"/>
      <c r="CH1244" s="2"/>
      <c r="CI1244" s="2">
        <v>1</v>
      </c>
      <c r="CJ1244" s="2">
        <v>1</v>
      </c>
      <c r="CK1244" s="2">
        <v>21</v>
      </c>
      <c r="CL1244" s="2" t="s">
        <v>88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"FES1162506550"</f>
        <v>FES1162506550</v>
      </c>
      <c r="F1245" s="3">
        <v>42656</v>
      </c>
      <c r="G1245" s="2">
        <v>201704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124</v>
      </c>
      <c r="M1245" s="2" t="s">
        <v>125</v>
      </c>
      <c r="N1245" s="2" t="s">
        <v>126</v>
      </c>
      <c r="O1245" s="2" t="s">
        <v>96</v>
      </c>
      <c r="P1245" s="2" t="str">
        <f>"2170530039                    "</f>
        <v xml:space="preserve">2170530039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3.32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1</v>
      </c>
      <c r="BJ1245" s="2">
        <v>0.2</v>
      </c>
      <c r="BK1245" s="2">
        <v>1</v>
      </c>
      <c r="BL1245" s="2">
        <v>40.76</v>
      </c>
      <c r="BM1245" s="2">
        <v>5.71</v>
      </c>
      <c r="BN1245" s="2">
        <v>46.47</v>
      </c>
      <c r="BO1245" s="2">
        <v>46.47</v>
      </c>
      <c r="BP1245" s="2"/>
      <c r="BQ1245" s="2" t="s">
        <v>127</v>
      </c>
      <c r="BR1245" s="2" t="s">
        <v>83</v>
      </c>
      <c r="BS1245" s="3">
        <v>42657</v>
      </c>
      <c r="BT1245" s="4">
        <v>0.41666666666666669</v>
      </c>
      <c r="BU1245" s="2" t="s">
        <v>1577</v>
      </c>
      <c r="BV1245" s="2" t="s">
        <v>85</v>
      </c>
      <c r="BW1245" s="2"/>
      <c r="BX1245" s="2"/>
      <c r="BY1245" s="2">
        <v>1200</v>
      </c>
      <c r="BZ1245" s="2"/>
      <c r="CA1245" s="2"/>
      <c r="CB1245" s="2"/>
      <c r="CC1245" s="2" t="s">
        <v>125</v>
      </c>
      <c r="CD1245" s="2">
        <v>7140</v>
      </c>
      <c r="CE1245" s="2" t="s">
        <v>108</v>
      </c>
      <c r="CF1245" s="5">
        <v>42660</v>
      </c>
      <c r="CG1245" s="2"/>
      <c r="CH1245" s="2"/>
      <c r="CI1245" s="2">
        <v>1</v>
      </c>
      <c r="CJ1245" s="2">
        <v>1</v>
      </c>
      <c r="CK1245" s="2">
        <v>21</v>
      </c>
      <c r="CL1245" s="2" t="s">
        <v>88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"FES1162506419"</f>
        <v>FES1162506419</v>
      </c>
      <c r="F1246" s="3">
        <v>42656</v>
      </c>
      <c r="G1246" s="2">
        <v>201704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160</v>
      </c>
      <c r="M1246" s="2" t="s">
        <v>161</v>
      </c>
      <c r="N1246" s="2" t="s">
        <v>179</v>
      </c>
      <c r="O1246" s="2" t="s">
        <v>96</v>
      </c>
      <c r="P1246" s="2" t="str">
        <f>"2170527691                    "</f>
        <v xml:space="preserve">2170527691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3.32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0.5</v>
      </c>
      <c r="BJ1246" s="2">
        <v>0.2</v>
      </c>
      <c r="BK1246" s="2">
        <v>0.5</v>
      </c>
      <c r="BL1246" s="2">
        <v>40.76</v>
      </c>
      <c r="BM1246" s="2">
        <v>5.71</v>
      </c>
      <c r="BN1246" s="2">
        <v>46.47</v>
      </c>
      <c r="BO1246" s="2">
        <v>46.47</v>
      </c>
      <c r="BP1246" s="2"/>
      <c r="BQ1246" s="2" t="s">
        <v>180</v>
      </c>
      <c r="BR1246" s="2" t="s">
        <v>83</v>
      </c>
      <c r="BS1246" s="3">
        <v>42657</v>
      </c>
      <c r="BT1246" s="4">
        <v>0.41666666666666669</v>
      </c>
      <c r="BU1246" s="2" t="s">
        <v>181</v>
      </c>
      <c r="BV1246" s="2" t="s">
        <v>85</v>
      </c>
      <c r="BW1246" s="2"/>
      <c r="BX1246" s="2"/>
      <c r="BY1246" s="2">
        <v>1200</v>
      </c>
      <c r="BZ1246" s="2"/>
      <c r="CA1246" s="2"/>
      <c r="CB1246" s="2"/>
      <c r="CC1246" s="2" t="s">
        <v>161</v>
      </c>
      <c r="CD1246" s="2">
        <v>7405</v>
      </c>
      <c r="CE1246" s="2" t="s">
        <v>108</v>
      </c>
      <c r="CF1246" s="5">
        <v>42660</v>
      </c>
      <c r="CG1246" s="2"/>
      <c r="CH1246" s="2"/>
      <c r="CI1246" s="2">
        <v>1</v>
      </c>
      <c r="CJ1246" s="2">
        <v>1</v>
      </c>
      <c r="CK1246" s="2">
        <v>21</v>
      </c>
      <c r="CL1246" s="2" t="s">
        <v>88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"009932186814"</f>
        <v>009932186814</v>
      </c>
      <c r="F1247" s="3">
        <v>42656</v>
      </c>
      <c r="G1247" s="2">
        <v>201704</v>
      </c>
      <c r="H1247" s="2" t="s">
        <v>74</v>
      </c>
      <c r="I1247" s="2" t="s">
        <v>75</v>
      </c>
      <c r="J1247" s="2" t="s">
        <v>76</v>
      </c>
      <c r="K1247" s="2" t="s">
        <v>77</v>
      </c>
      <c r="L1247" s="2" t="s">
        <v>160</v>
      </c>
      <c r="M1247" s="2" t="s">
        <v>161</v>
      </c>
      <c r="N1247" s="2" t="s">
        <v>1578</v>
      </c>
      <c r="O1247" s="2" t="s">
        <v>96</v>
      </c>
      <c r="P1247" s="2" t="str">
        <f>"MARNUS BEKKER                 "</f>
        <v xml:space="preserve">MARNUS BEKKER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3.32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0.5</v>
      </c>
      <c r="BJ1247" s="2">
        <v>0.2</v>
      </c>
      <c r="BK1247" s="2">
        <v>0.5</v>
      </c>
      <c r="BL1247" s="2">
        <v>40.76</v>
      </c>
      <c r="BM1247" s="2">
        <v>5.71</v>
      </c>
      <c r="BN1247" s="2">
        <v>46.47</v>
      </c>
      <c r="BO1247" s="2">
        <v>46.47</v>
      </c>
      <c r="BP1247" s="2">
        <v>101169573</v>
      </c>
      <c r="BQ1247" s="2" t="s">
        <v>1579</v>
      </c>
      <c r="BR1247" s="2" t="s">
        <v>83</v>
      </c>
      <c r="BS1247" s="3">
        <v>42657</v>
      </c>
      <c r="BT1247" s="4">
        <v>0.53819444444444442</v>
      </c>
      <c r="BU1247" s="2" t="s">
        <v>1580</v>
      </c>
      <c r="BV1247" s="2"/>
      <c r="BW1247" s="2" t="s">
        <v>222</v>
      </c>
      <c r="BX1247" s="2" t="s">
        <v>356</v>
      </c>
      <c r="BY1247" s="2">
        <v>1200</v>
      </c>
      <c r="BZ1247" s="2"/>
      <c r="CA1247" s="2"/>
      <c r="CB1247" s="2"/>
      <c r="CC1247" s="2" t="s">
        <v>161</v>
      </c>
      <c r="CD1247" s="2">
        <v>8001</v>
      </c>
      <c r="CE1247" s="2" t="s">
        <v>108</v>
      </c>
      <c r="CF1247" s="5">
        <v>42660</v>
      </c>
      <c r="CG1247" s="2"/>
      <c r="CH1247" s="2"/>
      <c r="CI1247" s="2">
        <v>0</v>
      </c>
      <c r="CJ1247" s="2">
        <v>0</v>
      </c>
      <c r="CK1247" s="2">
        <v>21</v>
      </c>
      <c r="CL1247" s="2" t="s">
        <v>88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"080001459070"</f>
        <v>080001459070</v>
      </c>
      <c r="F1248" s="3">
        <v>42656</v>
      </c>
      <c r="G1248" s="2">
        <v>201704</v>
      </c>
      <c r="H1248" s="2" t="s">
        <v>98</v>
      </c>
      <c r="I1248" s="2" t="s">
        <v>99</v>
      </c>
      <c r="J1248" s="2" t="s">
        <v>1318</v>
      </c>
      <c r="K1248" s="2" t="s">
        <v>77</v>
      </c>
      <c r="L1248" s="2" t="s">
        <v>74</v>
      </c>
      <c r="M1248" s="2" t="s">
        <v>75</v>
      </c>
      <c r="N1248" s="2" t="s">
        <v>189</v>
      </c>
      <c r="O1248" s="2" t="s">
        <v>96</v>
      </c>
      <c r="P1248" s="2" t="str">
        <f>"ZA1000597642                  "</f>
        <v xml:space="preserve">ZA1000597642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4.9800000000000004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</v>
      </c>
      <c r="BJ1248" s="2">
        <v>2.7</v>
      </c>
      <c r="BK1248" s="2">
        <v>3</v>
      </c>
      <c r="BL1248" s="2">
        <v>61.14</v>
      </c>
      <c r="BM1248" s="2">
        <v>8.56</v>
      </c>
      <c r="BN1248" s="2">
        <v>69.7</v>
      </c>
      <c r="BO1248" s="2">
        <v>69.7</v>
      </c>
      <c r="BP1248" s="2" t="s">
        <v>1581</v>
      </c>
      <c r="BQ1248" s="2" t="s">
        <v>381</v>
      </c>
      <c r="BR1248" s="2" t="s">
        <v>1555</v>
      </c>
      <c r="BS1248" s="3">
        <v>42657</v>
      </c>
      <c r="BT1248" s="4">
        <v>0.36805555555555558</v>
      </c>
      <c r="BU1248" s="2" t="s">
        <v>1582</v>
      </c>
      <c r="BV1248" s="2" t="s">
        <v>85</v>
      </c>
      <c r="BW1248" s="2"/>
      <c r="BX1248" s="2"/>
      <c r="BY1248" s="2">
        <v>13693.69</v>
      </c>
      <c r="BZ1248" s="2"/>
      <c r="CA1248" s="2" t="s">
        <v>129</v>
      </c>
      <c r="CB1248" s="2"/>
      <c r="CC1248" s="2" t="s">
        <v>75</v>
      </c>
      <c r="CD1248" s="2">
        <v>1601</v>
      </c>
      <c r="CE1248" s="2" t="s">
        <v>86</v>
      </c>
      <c r="CF1248" s="5">
        <v>42660</v>
      </c>
      <c r="CG1248" s="2"/>
      <c r="CH1248" s="2"/>
      <c r="CI1248" s="2">
        <v>1</v>
      </c>
      <c r="CJ1248" s="2">
        <v>1</v>
      </c>
      <c r="CK1248" s="2">
        <v>21</v>
      </c>
      <c r="CL1248" s="2" t="s">
        <v>88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"FES1162506488"</f>
        <v>FES1162506488</v>
      </c>
      <c r="F1249" s="3">
        <v>42656</v>
      </c>
      <c r="G1249" s="2">
        <v>201704</v>
      </c>
      <c r="H1249" s="2" t="s">
        <v>74</v>
      </c>
      <c r="I1249" s="2" t="s">
        <v>75</v>
      </c>
      <c r="J1249" s="2" t="s">
        <v>76</v>
      </c>
      <c r="K1249" s="2" t="s">
        <v>77</v>
      </c>
      <c r="L1249" s="2" t="s">
        <v>153</v>
      </c>
      <c r="M1249" s="2" t="s">
        <v>153</v>
      </c>
      <c r="N1249" s="2" t="s">
        <v>154</v>
      </c>
      <c r="O1249" s="2" t="s">
        <v>96</v>
      </c>
      <c r="P1249" s="2" t="str">
        <f>"2170529849                    "</f>
        <v xml:space="preserve">2170529849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3.32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1</v>
      </c>
      <c r="BJ1249" s="2">
        <v>0.2</v>
      </c>
      <c r="BK1249" s="2">
        <v>1</v>
      </c>
      <c r="BL1249" s="2">
        <v>40.76</v>
      </c>
      <c r="BM1249" s="2">
        <v>5.71</v>
      </c>
      <c r="BN1249" s="2">
        <v>46.47</v>
      </c>
      <c r="BO1249" s="2">
        <v>46.47</v>
      </c>
      <c r="BP1249" s="2"/>
      <c r="BQ1249" s="2" t="s">
        <v>117</v>
      </c>
      <c r="BR1249" s="2" t="s">
        <v>83</v>
      </c>
      <c r="BS1249" s="3">
        <v>42657</v>
      </c>
      <c r="BT1249" s="4">
        <v>0.49305555555555558</v>
      </c>
      <c r="BU1249" s="2" t="s">
        <v>1583</v>
      </c>
      <c r="BV1249" s="2" t="s">
        <v>85</v>
      </c>
      <c r="BW1249" s="2"/>
      <c r="BX1249" s="2"/>
      <c r="BY1249" s="2">
        <v>1200</v>
      </c>
      <c r="BZ1249" s="2"/>
      <c r="CA1249" s="2"/>
      <c r="CB1249" s="2"/>
      <c r="CC1249" s="2" t="s">
        <v>153</v>
      </c>
      <c r="CD1249" s="2">
        <v>7646</v>
      </c>
      <c r="CE1249" s="2" t="s">
        <v>108</v>
      </c>
      <c r="CF1249" s="5">
        <v>42660</v>
      </c>
      <c r="CG1249" s="2"/>
      <c r="CH1249" s="2"/>
      <c r="CI1249" s="2">
        <v>1</v>
      </c>
      <c r="CJ1249" s="2">
        <v>1</v>
      </c>
      <c r="CK1249" s="2">
        <v>21</v>
      </c>
      <c r="CL1249" s="2" t="s">
        <v>88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"FES1162506700"</f>
        <v>FES1162506700</v>
      </c>
      <c r="F1250" s="3">
        <v>42656</v>
      </c>
      <c r="G1250" s="2">
        <v>201704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160</v>
      </c>
      <c r="M1250" s="2" t="s">
        <v>161</v>
      </c>
      <c r="N1250" s="2" t="s">
        <v>1584</v>
      </c>
      <c r="O1250" s="2" t="s">
        <v>96</v>
      </c>
      <c r="P1250" s="2" t="str">
        <f>"2170530201                    "</f>
        <v xml:space="preserve">2170530201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3.32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0.5</v>
      </c>
      <c r="BJ1250" s="2">
        <v>0.2</v>
      </c>
      <c r="BK1250" s="2">
        <v>0.5</v>
      </c>
      <c r="BL1250" s="2">
        <v>40.76</v>
      </c>
      <c r="BM1250" s="2">
        <v>5.71</v>
      </c>
      <c r="BN1250" s="2">
        <v>46.47</v>
      </c>
      <c r="BO1250" s="2">
        <v>46.47</v>
      </c>
      <c r="BP1250" s="2"/>
      <c r="BQ1250" s="2" t="s">
        <v>82</v>
      </c>
      <c r="BR1250" s="2" t="s">
        <v>83</v>
      </c>
      <c r="BS1250" s="3">
        <v>42657</v>
      </c>
      <c r="BT1250" s="4">
        <v>0.41666666666666669</v>
      </c>
      <c r="BU1250" s="2" t="s">
        <v>1585</v>
      </c>
      <c r="BV1250" s="2" t="s">
        <v>85</v>
      </c>
      <c r="BW1250" s="2"/>
      <c r="BX1250" s="2"/>
      <c r="BY1250" s="2">
        <v>1200</v>
      </c>
      <c r="BZ1250" s="2"/>
      <c r="CA1250" s="2"/>
      <c r="CB1250" s="2"/>
      <c r="CC1250" s="2" t="s">
        <v>161</v>
      </c>
      <c r="CD1250" s="2">
        <v>7460</v>
      </c>
      <c r="CE1250" s="2" t="s">
        <v>108</v>
      </c>
      <c r="CF1250" s="5">
        <v>42660</v>
      </c>
      <c r="CG1250" s="2"/>
      <c r="CH1250" s="2"/>
      <c r="CI1250" s="2">
        <v>1</v>
      </c>
      <c r="CJ1250" s="2">
        <v>1</v>
      </c>
      <c r="CK1250" s="2">
        <v>21</v>
      </c>
      <c r="CL1250" s="2" t="s">
        <v>88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"FES1162506703"</f>
        <v>FES1162506703</v>
      </c>
      <c r="F1251" s="3">
        <v>42656</v>
      </c>
      <c r="G1251" s="2">
        <v>201704</v>
      </c>
      <c r="H1251" s="2" t="s">
        <v>74</v>
      </c>
      <c r="I1251" s="2" t="s">
        <v>75</v>
      </c>
      <c r="J1251" s="2" t="s">
        <v>76</v>
      </c>
      <c r="K1251" s="2" t="s">
        <v>77</v>
      </c>
      <c r="L1251" s="2" t="s">
        <v>153</v>
      </c>
      <c r="M1251" s="2" t="s">
        <v>153</v>
      </c>
      <c r="N1251" s="2" t="s">
        <v>200</v>
      </c>
      <c r="O1251" s="2" t="s">
        <v>96</v>
      </c>
      <c r="P1251" s="2" t="str">
        <f>"2170530207                    "</f>
        <v xml:space="preserve">2170530207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17.420000000000002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10.4</v>
      </c>
      <c r="BJ1251" s="2">
        <v>3.6</v>
      </c>
      <c r="BK1251" s="2">
        <v>10.5</v>
      </c>
      <c r="BL1251" s="2">
        <v>213.98</v>
      </c>
      <c r="BM1251" s="2">
        <v>29.96</v>
      </c>
      <c r="BN1251" s="2">
        <v>243.94</v>
      </c>
      <c r="BO1251" s="2">
        <v>243.94</v>
      </c>
      <c r="BP1251" s="2"/>
      <c r="BQ1251" s="2" t="s">
        <v>201</v>
      </c>
      <c r="BR1251" s="2" t="s">
        <v>83</v>
      </c>
      <c r="BS1251" s="3">
        <v>42657</v>
      </c>
      <c r="BT1251" s="4">
        <v>0.50416666666666665</v>
      </c>
      <c r="BU1251" s="2" t="s">
        <v>448</v>
      </c>
      <c r="BV1251" s="2" t="s">
        <v>85</v>
      </c>
      <c r="BW1251" s="2"/>
      <c r="BX1251" s="2"/>
      <c r="BY1251" s="2">
        <v>17854.63</v>
      </c>
      <c r="BZ1251" s="2"/>
      <c r="CA1251" s="2"/>
      <c r="CB1251" s="2"/>
      <c r="CC1251" s="2" t="s">
        <v>153</v>
      </c>
      <c r="CD1251" s="2">
        <v>7646</v>
      </c>
      <c r="CE1251" s="2" t="s">
        <v>86</v>
      </c>
      <c r="CF1251" s="5">
        <v>42660</v>
      </c>
      <c r="CG1251" s="2"/>
      <c r="CH1251" s="2"/>
      <c r="CI1251" s="2">
        <v>1</v>
      </c>
      <c r="CJ1251" s="2">
        <v>1</v>
      </c>
      <c r="CK1251" s="2">
        <v>21</v>
      </c>
      <c r="CL1251" s="2" t="s">
        <v>88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"FES1162506551"</f>
        <v>FES1162506551</v>
      </c>
      <c r="F1252" s="3">
        <v>42656</v>
      </c>
      <c r="G1252" s="2">
        <v>201704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160</v>
      </c>
      <c r="M1252" s="2" t="s">
        <v>161</v>
      </c>
      <c r="N1252" s="2" t="s">
        <v>411</v>
      </c>
      <c r="O1252" s="2" t="s">
        <v>96</v>
      </c>
      <c r="P1252" s="2" t="str">
        <f>"2170530040                    "</f>
        <v xml:space="preserve">2170530040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3.32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0.5</v>
      </c>
      <c r="BJ1252" s="2">
        <v>0.2</v>
      </c>
      <c r="BK1252" s="2">
        <v>0.5</v>
      </c>
      <c r="BL1252" s="2">
        <v>40.76</v>
      </c>
      <c r="BM1252" s="2">
        <v>5.71</v>
      </c>
      <c r="BN1252" s="2">
        <v>46.47</v>
      </c>
      <c r="BO1252" s="2">
        <v>46.47</v>
      </c>
      <c r="BP1252" s="2"/>
      <c r="BQ1252" s="2" t="s">
        <v>412</v>
      </c>
      <c r="BR1252" s="2" t="s">
        <v>83</v>
      </c>
      <c r="BS1252" s="3">
        <v>42657</v>
      </c>
      <c r="BT1252" s="4">
        <v>0.45833333333333331</v>
      </c>
      <c r="BU1252" s="2" t="s">
        <v>1514</v>
      </c>
      <c r="BV1252" s="2" t="s">
        <v>85</v>
      </c>
      <c r="BW1252" s="2"/>
      <c r="BX1252" s="2"/>
      <c r="BY1252" s="2">
        <v>1200</v>
      </c>
      <c r="BZ1252" s="2"/>
      <c r="CA1252" s="2"/>
      <c r="CB1252" s="2"/>
      <c r="CC1252" s="2" t="s">
        <v>161</v>
      </c>
      <c r="CD1252" s="2">
        <v>7945</v>
      </c>
      <c r="CE1252" s="2" t="s">
        <v>108</v>
      </c>
      <c r="CF1252" s="2"/>
      <c r="CG1252" s="2"/>
      <c r="CH1252" s="2"/>
      <c r="CI1252" s="2">
        <v>1</v>
      </c>
      <c r="CJ1252" s="2">
        <v>1</v>
      </c>
      <c r="CK1252" s="2">
        <v>21</v>
      </c>
      <c r="CL1252" s="2" t="s">
        <v>88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"FES1162506380"</f>
        <v>FES1162506380</v>
      </c>
      <c r="F1253" s="3">
        <v>42656</v>
      </c>
      <c r="G1253" s="2">
        <v>201704</v>
      </c>
      <c r="H1253" s="2" t="s">
        <v>74</v>
      </c>
      <c r="I1253" s="2" t="s">
        <v>75</v>
      </c>
      <c r="J1253" s="2" t="s">
        <v>76</v>
      </c>
      <c r="K1253" s="2" t="s">
        <v>77</v>
      </c>
      <c r="L1253" s="2" t="s">
        <v>153</v>
      </c>
      <c r="M1253" s="2" t="s">
        <v>153</v>
      </c>
      <c r="N1253" s="2" t="s">
        <v>1586</v>
      </c>
      <c r="O1253" s="2" t="s">
        <v>96</v>
      </c>
      <c r="P1253" s="2" t="str">
        <f>"2170524286                    "</f>
        <v xml:space="preserve">2170524286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3.32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40.76</v>
      </c>
      <c r="BM1253" s="2">
        <v>5.71</v>
      </c>
      <c r="BN1253" s="2">
        <v>46.47</v>
      </c>
      <c r="BO1253" s="2">
        <v>46.47</v>
      </c>
      <c r="BP1253" s="2"/>
      <c r="BQ1253" s="2" t="s">
        <v>117</v>
      </c>
      <c r="BR1253" s="2" t="s">
        <v>83</v>
      </c>
      <c r="BS1253" s="3">
        <v>42657</v>
      </c>
      <c r="BT1253" s="4">
        <v>0.41666666666666669</v>
      </c>
      <c r="BU1253" s="2" t="s">
        <v>1587</v>
      </c>
      <c r="BV1253" s="2" t="s">
        <v>85</v>
      </c>
      <c r="BW1253" s="2"/>
      <c r="BX1253" s="2"/>
      <c r="BY1253" s="2">
        <v>1200</v>
      </c>
      <c r="BZ1253" s="2"/>
      <c r="CA1253" s="2"/>
      <c r="CB1253" s="2"/>
      <c r="CC1253" s="2" t="s">
        <v>153</v>
      </c>
      <c r="CD1253" s="2">
        <v>7646</v>
      </c>
      <c r="CE1253" s="2" t="s">
        <v>108</v>
      </c>
      <c r="CF1253" s="5">
        <v>42660</v>
      </c>
      <c r="CG1253" s="2"/>
      <c r="CH1253" s="2"/>
      <c r="CI1253" s="2">
        <v>1</v>
      </c>
      <c r="CJ1253" s="2">
        <v>1</v>
      </c>
      <c r="CK1253" s="2">
        <v>21</v>
      </c>
      <c r="CL1253" s="2" t="s">
        <v>88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"FES1162506451"</f>
        <v>FES1162506451</v>
      </c>
      <c r="F1254" s="3">
        <v>42656</v>
      </c>
      <c r="G1254" s="2">
        <v>201704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160</v>
      </c>
      <c r="M1254" s="2" t="s">
        <v>161</v>
      </c>
      <c r="N1254" s="2" t="s">
        <v>1588</v>
      </c>
      <c r="O1254" s="2" t="s">
        <v>96</v>
      </c>
      <c r="P1254" s="2" t="str">
        <f>"2170529505                    "</f>
        <v xml:space="preserve">2170529505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3.32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0.5</v>
      </c>
      <c r="BJ1254" s="2">
        <v>0.2</v>
      </c>
      <c r="BK1254" s="2">
        <v>0.5</v>
      </c>
      <c r="BL1254" s="2">
        <v>40.76</v>
      </c>
      <c r="BM1254" s="2">
        <v>5.71</v>
      </c>
      <c r="BN1254" s="2">
        <v>46.47</v>
      </c>
      <c r="BO1254" s="2">
        <v>46.47</v>
      </c>
      <c r="BP1254" s="2"/>
      <c r="BQ1254" s="2" t="s">
        <v>1589</v>
      </c>
      <c r="BR1254" s="2" t="s">
        <v>83</v>
      </c>
      <c r="BS1254" s="3">
        <v>42657</v>
      </c>
      <c r="BT1254" s="4">
        <v>0.45833333333333331</v>
      </c>
      <c r="BU1254" s="2" t="s">
        <v>1590</v>
      </c>
      <c r="BV1254" s="2" t="s">
        <v>88</v>
      </c>
      <c r="BW1254" s="2" t="s">
        <v>222</v>
      </c>
      <c r="BX1254" s="2" t="s">
        <v>356</v>
      </c>
      <c r="BY1254" s="2">
        <v>1200</v>
      </c>
      <c r="BZ1254" s="2"/>
      <c r="CA1254" s="2"/>
      <c r="CB1254" s="2"/>
      <c r="CC1254" s="2" t="s">
        <v>161</v>
      </c>
      <c r="CD1254" s="2">
        <v>7945</v>
      </c>
      <c r="CE1254" s="2" t="s">
        <v>108</v>
      </c>
      <c r="CF1254" s="5">
        <v>42660</v>
      </c>
      <c r="CG1254" s="2"/>
      <c r="CH1254" s="2"/>
      <c r="CI1254" s="2">
        <v>1</v>
      </c>
      <c r="CJ1254" s="2">
        <v>1</v>
      </c>
      <c r="CK1254" s="2">
        <v>21</v>
      </c>
      <c r="CL1254" s="2" t="s">
        <v>88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"RFES1162505394"</f>
        <v>RFES1162505394</v>
      </c>
      <c r="F1255" s="3">
        <v>42657</v>
      </c>
      <c r="G1255" s="2">
        <v>201704</v>
      </c>
      <c r="H1255" s="2" t="s">
        <v>160</v>
      </c>
      <c r="I1255" s="2" t="s">
        <v>161</v>
      </c>
      <c r="J1255" s="2" t="s">
        <v>251</v>
      </c>
      <c r="K1255" s="2" t="s">
        <v>77</v>
      </c>
      <c r="L1255" s="2" t="s">
        <v>74</v>
      </c>
      <c r="M1255" s="2" t="s">
        <v>75</v>
      </c>
      <c r="N1255" s="2" t="s">
        <v>76</v>
      </c>
      <c r="O1255" s="2" t="s">
        <v>96</v>
      </c>
      <c r="P1255" s="2" t="str">
        <f>"2170529075                    "</f>
        <v xml:space="preserve">2170529075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3.32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0.5</v>
      </c>
      <c r="BJ1255" s="2">
        <v>0.2</v>
      </c>
      <c r="BK1255" s="2">
        <v>0.5</v>
      </c>
      <c r="BL1255" s="2">
        <v>40.76</v>
      </c>
      <c r="BM1255" s="2">
        <v>5.71</v>
      </c>
      <c r="BN1255" s="2">
        <v>46.47</v>
      </c>
      <c r="BO1255" s="2">
        <v>46.47</v>
      </c>
      <c r="BP1255" s="2"/>
      <c r="BQ1255" s="2" t="s">
        <v>83</v>
      </c>
      <c r="BR1255" s="2" t="s">
        <v>91</v>
      </c>
      <c r="BS1255" s="3">
        <v>42660</v>
      </c>
      <c r="BT1255" s="4">
        <v>0.33333333333333331</v>
      </c>
      <c r="BU1255" s="2" t="s">
        <v>1591</v>
      </c>
      <c r="BV1255" s="2" t="s">
        <v>85</v>
      </c>
      <c r="BW1255" s="2"/>
      <c r="BX1255" s="2"/>
      <c r="BY1255" s="2">
        <v>1200</v>
      </c>
      <c r="BZ1255" s="2" t="s">
        <v>27</v>
      </c>
      <c r="CA1255" s="2"/>
      <c r="CB1255" s="2"/>
      <c r="CC1255" s="2" t="s">
        <v>75</v>
      </c>
      <c r="CD1255" s="2">
        <v>1600</v>
      </c>
      <c r="CE1255" s="2" t="s">
        <v>108</v>
      </c>
      <c r="CF1255" s="5">
        <v>42661</v>
      </c>
      <c r="CG1255" s="2"/>
      <c r="CH1255" s="2"/>
      <c r="CI1255" s="2">
        <v>1</v>
      </c>
      <c r="CJ1255" s="2">
        <v>0</v>
      </c>
      <c r="CK1255" s="2">
        <v>21</v>
      </c>
      <c r="CL1255" s="2" t="s">
        <v>88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"FES1162506772"</f>
        <v>FES1162506772</v>
      </c>
      <c r="F1256" s="3">
        <v>42657</v>
      </c>
      <c r="G1256" s="2">
        <v>201704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160</v>
      </c>
      <c r="M1256" s="2" t="s">
        <v>161</v>
      </c>
      <c r="N1256" s="2" t="s">
        <v>1453</v>
      </c>
      <c r="O1256" s="2" t="s">
        <v>191</v>
      </c>
      <c r="P1256" s="2" t="str">
        <f>"2170530279                    "</f>
        <v xml:space="preserve">2170530279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351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34.42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2</v>
      </c>
      <c r="BI1256" s="2">
        <v>2</v>
      </c>
      <c r="BJ1256" s="2">
        <v>0.5</v>
      </c>
      <c r="BK1256" s="2">
        <v>2</v>
      </c>
      <c r="BL1256" s="2">
        <v>422.86</v>
      </c>
      <c r="BM1256" s="2">
        <v>59.2</v>
      </c>
      <c r="BN1256" s="2">
        <v>482.06</v>
      </c>
      <c r="BO1256" s="2">
        <v>482.06</v>
      </c>
      <c r="BP1256" s="2" t="s">
        <v>392</v>
      </c>
      <c r="BQ1256" s="2" t="s">
        <v>1592</v>
      </c>
      <c r="BR1256" s="2" t="s">
        <v>83</v>
      </c>
      <c r="BS1256" s="3">
        <v>42657</v>
      </c>
      <c r="BT1256" s="4">
        <v>0.70486111111111116</v>
      </c>
      <c r="BU1256" s="2" t="s">
        <v>1593</v>
      </c>
      <c r="BV1256" s="2" t="s">
        <v>85</v>
      </c>
      <c r="BW1256" s="2"/>
      <c r="BX1256" s="2"/>
      <c r="BY1256" s="2">
        <v>2400</v>
      </c>
      <c r="BZ1256" s="2" t="s">
        <v>395</v>
      </c>
      <c r="CA1256" s="2"/>
      <c r="CB1256" s="2"/>
      <c r="CC1256" s="2" t="s">
        <v>161</v>
      </c>
      <c r="CD1256" s="2">
        <v>7500</v>
      </c>
      <c r="CE1256" s="2" t="s">
        <v>86</v>
      </c>
      <c r="CF1256" s="5">
        <v>42661</v>
      </c>
      <c r="CG1256" s="2"/>
      <c r="CH1256" s="2"/>
      <c r="CI1256" s="2">
        <v>0</v>
      </c>
      <c r="CJ1256" s="2">
        <v>0</v>
      </c>
      <c r="CK1256" s="2">
        <v>21</v>
      </c>
      <c r="CL1256" s="2" t="s">
        <v>88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"FES1162506450"</f>
        <v>FES1162506450</v>
      </c>
      <c r="F1257" s="3">
        <v>42656</v>
      </c>
      <c r="G1257" s="2">
        <v>201704</v>
      </c>
      <c r="H1257" s="2" t="s">
        <v>74</v>
      </c>
      <c r="I1257" s="2" t="s">
        <v>75</v>
      </c>
      <c r="J1257" s="2" t="s">
        <v>76</v>
      </c>
      <c r="K1257" s="2" t="s">
        <v>77</v>
      </c>
      <c r="L1257" s="2" t="s">
        <v>143</v>
      </c>
      <c r="M1257" s="2" t="s">
        <v>144</v>
      </c>
      <c r="N1257" s="2" t="s">
        <v>216</v>
      </c>
      <c r="O1257" s="2" t="s">
        <v>96</v>
      </c>
      <c r="P1257" s="2" t="str">
        <f>"2170529439                    "</f>
        <v xml:space="preserve">2170529439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3.32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1</v>
      </c>
      <c r="BJ1257" s="2">
        <v>0.2</v>
      </c>
      <c r="BK1257" s="2">
        <v>1</v>
      </c>
      <c r="BL1257" s="2">
        <v>40.76</v>
      </c>
      <c r="BM1257" s="2">
        <v>5.71</v>
      </c>
      <c r="BN1257" s="2">
        <v>46.47</v>
      </c>
      <c r="BO1257" s="2">
        <v>46.47</v>
      </c>
      <c r="BP1257" s="2"/>
      <c r="BQ1257" s="2" t="s">
        <v>91</v>
      </c>
      <c r="BR1257" s="2" t="s">
        <v>83</v>
      </c>
      <c r="BS1257" s="3">
        <v>42657</v>
      </c>
      <c r="BT1257" s="4">
        <v>0.49652777777777773</v>
      </c>
      <c r="BU1257" s="2" t="s">
        <v>382</v>
      </c>
      <c r="BV1257" s="2" t="s">
        <v>88</v>
      </c>
      <c r="BW1257" s="2" t="s">
        <v>277</v>
      </c>
      <c r="BX1257" s="2" t="s">
        <v>548</v>
      </c>
      <c r="BY1257" s="2">
        <v>1200</v>
      </c>
      <c r="BZ1257" s="2" t="s">
        <v>27</v>
      </c>
      <c r="CA1257" s="2"/>
      <c r="CB1257" s="2"/>
      <c r="CC1257" s="2" t="s">
        <v>144</v>
      </c>
      <c r="CD1257" s="2">
        <v>5201</v>
      </c>
      <c r="CE1257" s="2" t="s">
        <v>103</v>
      </c>
      <c r="CF1257" s="5">
        <v>42660</v>
      </c>
      <c r="CG1257" s="2"/>
      <c r="CH1257" s="2"/>
      <c r="CI1257" s="2">
        <v>1</v>
      </c>
      <c r="CJ1257" s="2">
        <v>1</v>
      </c>
      <c r="CK1257" s="2">
        <v>21</v>
      </c>
      <c r="CL1257" s="2" t="s">
        <v>88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"FES1162506802"</f>
        <v>FES1162506802</v>
      </c>
      <c r="F1258" s="3">
        <v>42657</v>
      </c>
      <c r="G1258" s="2">
        <v>201704</v>
      </c>
      <c r="H1258" s="2" t="s">
        <v>74</v>
      </c>
      <c r="I1258" s="2" t="s">
        <v>75</v>
      </c>
      <c r="J1258" s="2" t="s">
        <v>76</v>
      </c>
      <c r="K1258" s="2" t="s">
        <v>77</v>
      </c>
      <c r="L1258" s="2" t="s">
        <v>269</v>
      </c>
      <c r="M1258" s="2" t="s">
        <v>270</v>
      </c>
      <c r="N1258" s="2" t="s">
        <v>778</v>
      </c>
      <c r="O1258" s="2" t="s">
        <v>96</v>
      </c>
      <c r="P1258" s="2" t="str">
        <f>"2170530319                    "</f>
        <v xml:space="preserve">2170530319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3.32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0.4</v>
      </c>
      <c r="BJ1258" s="2">
        <v>1.1000000000000001</v>
      </c>
      <c r="BK1258" s="2">
        <v>1.5</v>
      </c>
      <c r="BL1258" s="2">
        <v>40.76</v>
      </c>
      <c r="BM1258" s="2">
        <v>5.71</v>
      </c>
      <c r="BN1258" s="2">
        <v>46.47</v>
      </c>
      <c r="BO1258" s="2">
        <v>46.47</v>
      </c>
      <c r="BP1258" s="2"/>
      <c r="BQ1258" s="2"/>
      <c r="BR1258" s="2" t="s">
        <v>83</v>
      </c>
      <c r="BS1258" s="3">
        <v>42660</v>
      </c>
      <c r="BT1258" s="4">
        <v>0.4375</v>
      </c>
      <c r="BU1258" s="2" t="s">
        <v>1594</v>
      </c>
      <c r="BV1258" s="2" t="s">
        <v>85</v>
      </c>
      <c r="BW1258" s="2"/>
      <c r="BX1258" s="2"/>
      <c r="BY1258" s="2">
        <v>5485.73</v>
      </c>
      <c r="BZ1258" s="2"/>
      <c r="CA1258" s="2" t="s">
        <v>129</v>
      </c>
      <c r="CB1258" s="2"/>
      <c r="CC1258" s="2" t="s">
        <v>270</v>
      </c>
      <c r="CD1258" s="2">
        <v>3600</v>
      </c>
      <c r="CE1258" s="2" t="s">
        <v>108</v>
      </c>
      <c r="CF1258" s="5">
        <v>42661</v>
      </c>
      <c r="CG1258" s="2"/>
      <c r="CH1258" s="2"/>
      <c r="CI1258" s="2">
        <v>1</v>
      </c>
      <c r="CJ1258" s="2">
        <v>1</v>
      </c>
      <c r="CK1258" s="2">
        <v>21</v>
      </c>
      <c r="CL1258" s="2" t="s">
        <v>88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"FES1162506801"</f>
        <v>FES1162506801</v>
      </c>
      <c r="F1259" s="3">
        <v>42657</v>
      </c>
      <c r="G1259" s="2">
        <v>201704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148</v>
      </c>
      <c r="M1259" s="2" t="s">
        <v>149</v>
      </c>
      <c r="N1259" s="2" t="s">
        <v>473</v>
      </c>
      <c r="O1259" s="2" t="s">
        <v>96</v>
      </c>
      <c r="P1259" s="2" t="str">
        <f>"2170530317                    "</f>
        <v xml:space="preserve">2170530317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3.32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1</v>
      </c>
      <c r="BJ1259" s="2">
        <v>0.2</v>
      </c>
      <c r="BK1259" s="2">
        <v>1</v>
      </c>
      <c r="BL1259" s="2">
        <v>40.76</v>
      </c>
      <c r="BM1259" s="2">
        <v>5.71</v>
      </c>
      <c r="BN1259" s="2">
        <v>46.47</v>
      </c>
      <c r="BO1259" s="2">
        <v>46.47</v>
      </c>
      <c r="BP1259" s="2"/>
      <c r="BQ1259" s="2" t="s">
        <v>117</v>
      </c>
      <c r="BR1259" s="2" t="s">
        <v>83</v>
      </c>
      <c r="BS1259" s="3">
        <v>42660</v>
      </c>
      <c r="BT1259" s="4">
        <v>0.54166666666666663</v>
      </c>
      <c r="BU1259" s="2" t="s">
        <v>1595</v>
      </c>
      <c r="BV1259" s="2" t="s">
        <v>88</v>
      </c>
      <c r="BW1259" s="2" t="s">
        <v>277</v>
      </c>
      <c r="BX1259" s="2" t="s">
        <v>426</v>
      </c>
      <c r="BY1259" s="2">
        <v>1200</v>
      </c>
      <c r="BZ1259" s="2"/>
      <c r="CA1259" s="2" t="s">
        <v>129</v>
      </c>
      <c r="CB1259" s="2"/>
      <c r="CC1259" s="2" t="s">
        <v>149</v>
      </c>
      <c r="CD1259" s="2">
        <v>4052</v>
      </c>
      <c r="CE1259" s="2" t="s">
        <v>108</v>
      </c>
      <c r="CF1259" s="5">
        <v>42661</v>
      </c>
      <c r="CG1259" s="2"/>
      <c r="CH1259" s="2"/>
      <c r="CI1259" s="2">
        <v>1</v>
      </c>
      <c r="CJ1259" s="2">
        <v>1</v>
      </c>
      <c r="CK1259" s="2">
        <v>21</v>
      </c>
      <c r="CL1259" s="2" t="s">
        <v>88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"FES1162506742"</f>
        <v>FES1162506742</v>
      </c>
      <c r="F1260" s="3">
        <v>42657</v>
      </c>
      <c r="G1260" s="2">
        <v>201704</v>
      </c>
      <c r="H1260" s="2" t="s">
        <v>74</v>
      </c>
      <c r="I1260" s="2" t="s">
        <v>75</v>
      </c>
      <c r="J1260" s="2" t="s">
        <v>76</v>
      </c>
      <c r="K1260" s="2" t="s">
        <v>77</v>
      </c>
      <c r="L1260" s="2" t="s">
        <v>160</v>
      </c>
      <c r="M1260" s="2" t="s">
        <v>161</v>
      </c>
      <c r="N1260" s="2" t="s">
        <v>622</v>
      </c>
      <c r="O1260" s="2" t="s">
        <v>96</v>
      </c>
      <c r="P1260" s="2" t="str">
        <f>"2170527054                    "</f>
        <v xml:space="preserve">2170527054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22.39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13.5</v>
      </c>
      <c r="BJ1260" s="2">
        <v>9</v>
      </c>
      <c r="BK1260" s="2">
        <v>13.5</v>
      </c>
      <c r="BL1260" s="2">
        <v>275.11</v>
      </c>
      <c r="BM1260" s="2">
        <v>38.520000000000003</v>
      </c>
      <c r="BN1260" s="2">
        <v>313.63</v>
      </c>
      <c r="BO1260" s="2">
        <v>313.63</v>
      </c>
      <c r="BP1260" s="2"/>
      <c r="BQ1260" s="2" t="s">
        <v>623</v>
      </c>
      <c r="BR1260" s="2" t="s">
        <v>83</v>
      </c>
      <c r="BS1260" s="3">
        <v>42660</v>
      </c>
      <c r="BT1260" s="4">
        <v>0.40972222222222227</v>
      </c>
      <c r="BU1260" s="2" t="s">
        <v>1596</v>
      </c>
      <c r="BV1260" s="2" t="s">
        <v>85</v>
      </c>
      <c r="BW1260" s="2"/>
      <c r="BX1260" s="2"/>
      <c r="BY1260" s="2">
        <v>45108.34</v>
      </c>
      <c r="BZ1260" s="2"/>
      <c r="CA1260" s="2" t="s">
        <v>129</v>
      </c>
      <c r="CB1260" s="2"/>
      <c r="CC1260" s="2" t="s">
        <v>161</v>
      </c>
      <c r="CD1260" s="2">
        <v>7490</v>
      </c>
      <c r="CE1260" s="2" t="s">
        <v>86</v>
      </c>
      <c r="CF1260" s="5">
        <v>42661</v>
      </c>
      <c r="CG1260" s="2"/>
      <c r="CH1260" s="2"/>
      <c r="CI1260" s="2">
        <v>1</v>
      </c>
      <c r="CJ1260" s="2">
        <v>1</v>
      </c>
      <c r="CK1260" s="2">
        <v>21</v>
      </c>
      <c r="CL1260" s="2" t="s">
        <v>88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"FES1162506790"</f>
        <v>FES1162506790</v>
      </c>
      <c r="F1261" s="3">
        <v>42657</v>
      </c>
      <c r="G1261" s="2">
        <v>201704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269</v>
      </c>
      <c r="M1261" s="2" t="s">
        <v>270</v>
      </c>
      <c r="N1261" s="2" t="s">
        <v>496</v>
      </c>
      <c r="O1261" s="2" t="s">
        <v>96</v>
      </c>
      <c r="P1261" s="2" t="str">
        <f>"2170530298                    "</f>
        <v xml:space="preserve">2170530298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3.32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0.9</v>
      </c>
      <c r="BJ1261" s="2">
        <v>1</v>
      </c>
      <c r="BK1261" s="2">
        <v>1</v>
      </c>
      <c r="BL1261" s="2">
        <v>40.76</v>
      </c>
      <c r="BM1261" s="2">
        <v>5.71</v>
      </c>
      <c r="BN1261" s="2">
        <v>46.47</v>
      </c>
      <c r="BO1261" s="2">
        <v>46.47</v>
      </c>
      <c r="BP1261" s="2"/>
      <c r="BQ1261" s="2" t="s">
        <v>892</v>
      </c>
      <c r="BR1261" s="2" t="s">
        <v>83</v>
      </c>
      <c r="BS1261" s="3">
        <v>42660</v>
      </c>
      <c r="BT1261" s="4">
        <v>0.4375</v>
      </c>
      <c r="BU1261" s="2" t="s">
        <v>1597</v>
      </c>
      <c r="BV1261" s="2" t="s">
        <v>85</v>
      </c>
      <c r="BW1261" s="2"/>
      <c r="BX1261" s="2"/>
      <c r="BY1261" s="2">
        <v>5031.9399999999996</v>
      </c>
      <c r="BZ1261" s="2"/>
      <c r="CA1261" s="2" t="s">
        <v>129</v>
      </c>
      <c r="CB1261" s="2"/>
      <c r="CC1261" s="2" t="s">
        <v>270</v>
      </c>
      <c r="CD1261" s="2">
        <v>3610</v>
      </c>
      <c r="CE1261" s="2" t="s">
        <v>86</v>
      </c>
      <c r="CF1261" s="5">
        <v>42661</v>
      </c>
      <c r="CG1261" s="2"/>
      <c r="CH1261" s="2"/>
      <c r="CI1261" s="2">
        <v>1</v>
      </c>
      <c r="CJ1261" s="2">
        <v>1</v>
      </c>
      <c r="CK1261" s="2">
        <v>21</v>
      </c>
      <c r="CL1261" s="2" t="s">
        <v>88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"FES1162506728"</f>
        <v>FES1162506728</v>
      </c>
      <c r="F1262" s="3">
        <v>42657</v>
      </c>
      <c r="G1262" s="2">
        <v>201704</v>
      </c>
      <c r="H1262" s="2" t="s">
        <v>74</v>
      </c>
      <c r="I1262" s="2" t="s">
        <v>75</v>
      </c>
      <c r="J1262" s="2" t="s">
        <v>76</v>
      </c>
      <c r="K1262" s="2" t="s">
        <v>77</v>
      </c>
      <c r="L1262" s="2" t="s">
        <v>98</v>
      </c>
      <c r="M1262" s="2" t="s">
        <v>99</v>
      </c>
      <c r="N1262" s="2" t="s">
        <v>1598</v>
      </c>
      <c r="O1262" s="2" t="s">
        <v>96</v>
      </c>
      <c r="P1262" s="2" t="str">
        <f>"2170529773                    "</f>
        <v xml:space="preserve">2170529773 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3.32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1</v>
      </c>
      <c r="BJ1262" s="2">
        <v>0.2</v>
      </c>
      <c r="BK1262" s="2">
        <v>1</v>
      </c>
      <c r="BL1262" s="2">
        <v>40.76</v>
      </c>
      <c r="BM1262" s="2">
        <v>5.71</v>
      </c>
      <c r="BN1262" s="2">
        <v>46.47</v>
      </c>
      <c r="BO1262" s="2">
        <v>46.47</v>
      </c>
      <c r="BP1262" s="2"/>
      <c r="BQ1262" s="2" t="s">
        <v>168</v>
      </c>
      <c r="BR1262" s="2" t="s">
        <v>83</v>
      </c>
      <c r="BS1262" s="3">
        <v>42660</v>
      </c>
      <c r="BT1262" s="4">
        <v>0.36805555555555558</v>
      </c>
      <c r="BU1262" s="2" t="s">
        <v>1599</v>
      </c>
      <c r="BV1262" s="2"/>
      <c r="BW1262" s="2"/>
      <c r="BX1262" s="2"/>
      <c r="BY1262" s="2">
        <v>1200</v>
      </c>
      <c r="BZ1262" s="2"/>
      <c r="CA1262" s="2"/>
      <c r="CB1262" s="2"/>
      <c r="CC1262" s="2" t="s">
        <v>99</v>
      </c>
      <c r="CD1262" s="2">
        <v>6001</v>
      </c>
      <c r="CE1262" s="2" t="s">
        <v>108</v>
      </c>
      <c r="CF1262" s="5">
        <v>42661</v>
      </c>
      <c r="CG1262" s="2"/>
      <c r="CH1262" s="2"/>
      <c r="CI1262" s="2">
        <v>0</v>
      </c>
      <c r="CJ1262" s="2">
        <v>0</v>
      </c>
      <c r="CK1262" s="2">
        <v>21</v>
      </c>
      <c r="CL1262" s="2" t="s">
        <v>88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"FES1162506774"</f>
        <v>FES1162506774</v>
      </c>
      <c r="F1263" s="3">
        <v>42657</v>
      </c>
      <c r="G1263" s="2">
        <v>201704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160</v>
      </c>
      <c r="M1263" s="2" t="s">
        <v>161</v>
      </c>
      <c r="N1263" s="2" t="s">
        <v>279</v>
      </c>
      <c r="O1263" s="2" t="s">
        <v>96</v>
      </c>
      <c r="P1263" s="2" t="str">
        <f>"2170530153                    "</f>
        <v xml:space="preserve">2170530153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6.63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3.6</v>
      </c>
      <c r="BJ1263" s="2">
        <v>1.5</v>
      </c>
      <c r="BK1263" s="2">
        <v>4</v>
      </c>
      <c r="BL1263" s="2">
        <v>81.510000000000005</v>
      </c>
      <c r="BM1263" s="2">
        <v>11.41</v>
      </c>
      <c r="BN1263" s="2">
        <v>92.92</v>
      </c>
      <c r="BO1263" s="2">
        <v>92.92</v>
      </c>
      <c r="BP1263" s="2"/>
      <c r="BQ1263" s="2" t="s">
        <v>280</v>
      </c>
      <c r="BR1263" s="2" t="s">
        <v>83</v>
      </c>
      <c r="BS1263" s="3">
        <v>42660</v>
      </c>
      <c r="BT1263" s="4">
        <v>0.30555555555555552</v>
      </c>
      <c r="BU1263" s="2" t="s">
        <v>626</v>
      </c>
      <c r="BV1263" s="2" t="s">
        <v>85</v>
      </c>
      <c r="BW1263" s="2"/>
      <c r="BX1263" s="2"/>
      <c r="BY1263" s="2">
        <v>7287.32</v>
      </c>
      <c r="BZ1263" s="2"/>
      <c r="CA1263" s="2"/>
      <c r="CB1263" s="2"/>
      <c r="CC1263" s="2" t="s">
        <v>161</v>
      </c>
      <c r="CD1263" s="2">
        <v>7441</v>
      </c>
      <c r="CE1263" s="2" t="s">
        <v>86</v>
      </c>
      <c r="CF1263" s="5">
        <v>42661</v>
      </c>
      <c r="CG1263" s="2"/>
      <c r="CH1263" s="2"/>
      <c r="CI1263" s="2">
        <v>1</v>
      </c>
      <c r="CJ1263" s="2">
        <v>1</v>
      </c>
      <c r="CK1263" s="2">
        <v>21</v>
      </c>
      <c r="CL1263" s="2" t="s">
        <v>88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"FES1162506793"</f>
        <v>FES1162506793</v>
      </c>
      <c r="F1264" s="3">
        <v>42657</v>
      </c>
      <c r="G1264" s="2">
        <v>201704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98</v>
      </c>
      <c r="M1264" s="2" t="s">
        <v>99</v>
      </c>
      <c r="N1264" s="2" t="s">
        <v>1098</v>
      </c>
      <c r="O1264" s="2" t="s">
        <v>96</v>
      </c>
      <c r="P1264" s="2" t="str">
        <f>"2170530303                    "</f>
        <v xml:space="preserve">2170530303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5.81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2.9</v>
      </c>
      <c r="BJ1264" s="2">
        <v>3.5</v>
      </c>
      <c r="BK1264" s="2">
        <v>3.5</v>
      </c>
      <c r="BL1264" s="2">
        <v>71.33</v>
      </c>
      <c r="BM1264" s="2">
        <v>9.99</v>
      </c>
      <c r="BN1264" s="2">
        <v>81.319999999999993</v>
      </c>
      <c r="BO1264" s="2">
        <v>81.319999999999993</v>
      </c>
      <c r="BP1264" s="2"/>
      <c r="BQ1264" s="2" t="s">
        <v>1099</v>
      </c>
      <c r="BR1264" s="2" t="s">
        <v>83</v>
      </c>
      <c r="BS1264" s="3">
        <v>42660</v>
      </c>
      <c r="BT1264" s="4">
        <v>0.3125</v>
      </c>
      <c r="BU1264" s="2" t="s">
        <v>603</v>
      </c>
      <c r="BV1264" s="2" t="s">
        <v>85</v>
      </c>
      <c r="BW1264" s="2"/>
      <c r="BX1264" s="2"/>
      <c r="BY1264" s="2">
        <v>17609.57</v>
      </c>
      <c r="BZ1264" s="2"/>
      <c r="CA1264" s="2" t="s">
        <v>107</v>
      </c>
      <c r="CB1264" s="2"/>
      <c r="CC1264" s="2" t="s">
        <v>99</v>
      </c>
      <c r="CD1264" s="2">
        <v>6012</v>
      </c>
      <c r="CE1264" s="2" t="s">
        <v>86</v>
      </c>
      <c r="CF1264" s="5">
        <v>42660</v>
      </c>
      <c r="CG1264" s="2"/>
      <c r="CH1264" s="2"/>
      <c r="CI1264" s="2">
        <v>1</v>
      </c>
      <c r="CJ1264" s="2">
        <v>1</v>
      </c>
      <c r="CK1264" s="2">
        <v>21</v>
      </c>
      <c r="CL1264" s="2" t="s">
        <v>88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"FES1162506796"</f>
        <v>FES1162506796</v>
      </c>
      <c r="F1265" s="3">
        <v>42657</v>
      </c>
      <c r="G1265" s="2">
        <v>201704</v>
      </c>
      <c r="H1265" s="2" t="s">
        <v>74</v>
      </c>
      <c r="I1265" s="2" t="s">
        <v>75</v>
      </c>
      <c r="J1265" s="2" t="s">
        <v>76</v>
      </c>
      <c r="K1265" s="2" t="s">
        <v>77</v>
      </c>
      <c r="L1265" s="2" t="s">
        <v>98</v>
      </c>
      <c r="M1265" s="2" t="s">
        <v>99</v>
      </c>
      <c r="N1265" s="2" t="s">
        <v>907</v>
      </c>
      <c r="O1265" s="2" t="s">
        <v>96</v>
      </c>
      <c r="P1265" s="2" t="str">
        <f>"2170530309                    "</f>
        <v xml:space="preserve">2170530309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3.32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</v>
      </c>
      <c r="BJ1265" s="2">
        <v>0.2</v>
      </c>
      <c r="BK1265" s="2">
        <v>1</v>
      </c>
      <c r="BL1265" s="2">
        <v>40.76</v>
      </c>
      <c r="BM1265" s="2">
        <v>5.71</v>
      </c>
      <c r="BN1265" s="2">
        <v>46.47</v>
      </c>
      <c r="BO1265" s="2">
        <v>46.47</v>
      </c>
      <c r="BP1265" s="2"/>
      <c r="BQ1265" s="2" t="s">
        <v>1600</v>
      </c>
      <c r="BR1265" s="2" t="s">
        <v>83</v>
      </c>
      <c r="BS1265" s="3">
        <v>42660</v>
      </c>
      <c r="BT1265" s="4">
        <v>0.3263888888888889</v>
      </c>
      <c r="BU1265" s="2" t="s">
        <v>956</v>
      </c>
      <c r="BV1265" s="2"/>
      <c r="BW1265" s="2"/>
      <c r="BX1265" s="2"/>
      <c r="BY1265" s="2">
        <v>1200</v>
      </c>
      <c r="BZ1265" s="2"/>
      <c r="CA1265" s="2" t="s">
        <v>129</v>
      </c>
      <c r="CB1265" s="2"/>
      <c r="CC1265" s="2" t="s">
        <v>99</v>
      </c>
      <c r="CD1265" s="2">
        <v>6000</v>
      </c>
      <c r="CE1265" s="2" t="s">
        <v>108</v>
      </c>
      <c r="CF1265" s="5">
        <v>42661</v>
      </c>
      <c r="CG1265" s="2"/>
      <c r="CH1265" s="2"/>
      <c r="CI1265" s="2">
        <v>0</v>
      </c>
      <c r="CJ1265" s="2">
        <v>0</v>
      </c>
      <c r="CK1265" s="2">
        <v>21</v>
      </c>
      <c r="CL1265" s="2" t="s">
        <v>88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"FES1162506800"</f>
        <v>FES1162506800</v>
      </c>
      <c r="F1266" s="3">
        <v>42657</v>
      </c>
      <c r="G1266" s="2">
        <v>201704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160</v>
      </c>
      <c r="M1266" s="2" t="s">
        <v>161</v>
      </c>
      <c r="N1266" s="2" t="s">
        <v>622</v>
      </c>
      <c r="O1266" s="2" t="s">
        <v>96</v>
      </c>
      <c r="P1266" s="2" t="str">
        <f>"2170530316                    "</f>
        <v xml:space="preserve">2170530316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3.32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1</v>
      </c>
      <c r="BJ1266" s="2">
        <v>0.2</v>
      </c>
      <c r="BK1266" s="2">
        <v>1</v>
      </c>
      <c r="BL1266" s="2">
        <v>40.76</v>
      </c>
      <c r="BM1266" s="2">
        <v>5.71</v>
      </c>
      <c r="BN1266" s="2">
        <v>46.47</v>
      </c>
      <c r="BO1266" s="2">
        <v>46.47</v>
      </c>
      <c r="BP1266" s="2"/>
      <c r="BQ1266" s="2" t="s">
        <v>623</v>
      </c>
      <c r="BR1266" s="2" t="s">
        <v>83</v>
      </c>
      <c r="BS1266" s="3">
        <v>42660</v>
      </c>
      <c r="BT1266" s="4">
        <v>0.40972222222222227</v>
      </c>
      <c r="BU1266" s="2" t="s">
        <v>1596</v>
      </c>
      <c r="BV1266" s="2" t="s">
        <v>85</v>
      </c>
      <c r="BW1266" s="2"/>
      <c r="BX1266" s="2"/>
      <c r="BY1266" s="2">
        <v>1200</v>
      </c>
      <c r="BZ1266" s="2"/>
      <c r="CA1266" s="2" t="s">
        <v>129</v>
      </c>
      <c r="CB1266" s="2"/>
      <c r="CC1266" s="2" t="s">
        <v>161</v>
      </c>
      <c r="CD1266" s="2">
        <v>7490</v>
      </c>
      <c r="CE1266" s="2" t="s">
        <v>108</v>
      </c>
      <c r="CF1266" s="5">
        <v>42661</v>
      </c>
      <c r="CG1266" s="2"/>
      <c r="CH1266" s="2"/>
      <c r="CI1266" s="2">
        <v>1</v>
      </c>
      <c r="CJ1266" s="2">
        <v>1</v>
      </c>
      <c r="CK1266" s="2">
        <v>21</v>
      </c>
      <c r="CL1266" s="2" t="s">
        <v>88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"FES1162506791"</f>
        <v>FES1162506791</v>
      </c>
      <c r="F1267" s="3">
        <v>42657</v>
      </c>
      <c r="G1267" s="2">
        <v>201704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269</v>
      </c>
      <c r="M1267" s="2" t="s">
        <v>270</v>
      </c>
      <c r="N1267" s="2" t="s">
        <v>496</v>
      </c>
      <c r="O1267" s="2" t="s">
        <v>96</v>
      </c>
      <c r="P1267" s="2" t="str">
        <f>"2170530299                    "</f>
        <v xml:space="preserve">2170530299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3.32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1</v>
      </c>
      <c r="BJ1267" s="2">
        <v>0.2</v>
      </c>
      <c r="BK1267" s="2">
        <v>1</v>
      </c>
      <c r="BL1267" s="2">
        <v>40.76</v>
      </c>
      <c r="BM1267" s="2">
        <v>5.71</v>
      </c>
      <c r="BN1267" s="2">
        <v>46.47</v>
      </c>
      <c r="BO1267" s="2">
        <v>46.47</v>
      </c>
      <c r="BP1267" s="2"/>
      <c r="BQ1267" s="2" t="s">
        <v>892</v>
      </c>
      <c r="BR1267" s="2" t="s">
        <v>83</v>
      </c>
      <c r="BS1267" s="3">
        <v>42660</v>
      </c>
      <c r="BT1267" s="4">
        <v>0.4375</v>
      </c>
      <c r="BU1267" s="2" t="s">
        <v>1601</v>
      </c>
      <c r="BV1267" s="2" t="s">
        <v>85</v>
      </c>
      <c r="BW1267" s="2"/>
      <c r="BX1267" s="2"/>
      <c r="BY1267" s="2">
        <v>1200</v>
      </c>
      <c r="BZ1267" s="2"/>
      <c r="CA1267" s="2" t="s">
        <v>129</v>
      </c>
      <c r="CB1267" s="2"/>
      <c r="CC1267" s="2" t="s">
        <v>270</v>
      </c>
      <c r="CD1267" s="2">
        <v>3610</v>
      </c>
      <c r="CE1267" s="2" t="s">
        <v>108</v>
      </c>
      <c r="CF1267" s="5">
        <v>42661</v>
      </c>
      <c r="CG1267" s="2"/>
      <c r="CH1267" s="2"/>
      <c r="CI1267" s="2">
        <v>1</v>
      </c>
      <c r="CJ1267" s="2">
        <v>1</v>
      </c>
      <c r="CK1267" s="2">
        <v>21</v>
      </c>
      <c r="CL1267" s="2" t="s">
        <v>88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"FES1162506807"</f>
        <v>FES1162506807</v>
      </c>
      <c r="F1268" s="3">
        <v>42657</v>
      </c>
      <c r="G1268" s="2">
        <v>201704</v>
      </c>
      <c r="H1268" s="2" t="s">
        <v>74</v>
      </c>
      <c r="I1268" s="2" t="s">
        <v>75</v>
      </c>
      <c r="J1268" s="2" t="s">
        <v>76</v>
      </c>
      <c r="K1268" s="2" t="s">
        <v>77</v>
      </c>
      <c r="L1268" s="2" t="s">
        <v>160</v>
      </c>
      <c r="M1268" s="2" t="s">
        <v>161</v>
      </c>
      <c r="N1268" s="2" t="s">
        <v>176</v>
      </c>
      <c r="O1268" s="2" t="s">
        <v>96</v>
      </c>
      <c r="P1268" s="2" t="str">
        <f>"2170530327                    "</f>
        <v xml:space="preserve">2170530327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8.2899999999999991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5</v>
      </c>
      <c r="BJ1268" s="2">
        <v>1.7</v>
      </c>
      <c r="BK1268" s="2">
        <v>5</v>
      </c>
      <c r="BL1268" s="2">
        <v>101.89</v>
      </c>
      <c r="BM1268" s="2">
        <v>14.26</v>
      </c>
      <c r="BN1268" s="2">
        <v>116.15</v>
      </c>
      <c r="BO1268" s="2">
        <v>116.15</v>
      </c>
      <c r="BP1268" s="2"/>
      <c r="BQ1268" s="2" t="s">
        <v>258</v>
      </c>
      <c r="BR1268" s="2" t="s">
        <v>83</v>
      </c>
      <c r="BS1268" s="3">
        <v>42660</v>
      </c>
      <c r="BT1268" s="4">
        <v>0.41666666666666669</v>
      </c>
      <c r="BU1268" s="2" t="s">
        <v>1602</v>
      </c>
      <c r="BV1268" s="2" t="s">
        <v>85</v>
      </c>
      <c r="BW1268" s="2"/>
      <c r="BX1268" s="2"/>
      <c r="BY1268" s="2">
        <v>8670</v>
      </c>
      <c r="BZ1268" s="2"/>
      <c r="CA1268" s="2" t="s">
        <v>129</v>
      </c>
      <c r="CB1268" s="2"/>
      <c r="CC1268" s="2" t="s">
        <v>161</v>
      </c>
      <c r="CD1268" s="2">
        <v>7405</v>
      </c>
      <c r="CE1268" s="2" t="s">
        <v>86</v>
      </c>
      <c r="CF1268" s="5">
        <v>42661</v>
      </c>
      <c r="CG1268" s="2"/>
      <c r="CH1268" s="2"/>
      <c r="CI1268" s="2">
        <v>1</v>
      </c>
      <c r="CJ1268" s="2">
        <v>1</v>
      </c>
      <c r="CK1268" s="2">
        <v>21</v>
      </c>
      <c r="CL1268" s="2" t="s">
        <v>88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"FES1162506808"</f>
        <v>FES1162506808</v>
      </c>
      <c r="F1269" s="3">
        <v>42657</v>
      </c>
      <c r="G1269" s="2">
        <v>201704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160</v>
      </c>
      <c r="M1269" s="2" t="s">
        <v>161</v>
      </c>
      <c r="N1269" s="2" t="s">
        <v>176</v>
      </c>
      <c r="O1269" s="2" t="s">
        <v>96</v>
      </c>
      <c r="P1269" s="2" t="str">
        <f>"2170530328                    "</f>
        <v xml:space="preserve">2170530328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4.1500000000000004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2.2999999999999998</v>
      </c>
      <c r="BJ1269" s="2">
        <v>1.1000000000000001</v>
      </c>
      <c r="BK1269" s="2">
        <v>2.5</v>
      </c>
      <c r="BL1269" s="2">
        <v>50.95</v>
      </c>
      <c r="BM1269" s="2">
        <v>7.13</v>
      </c>
      <c r="BN1269" s="2">
        <v>58.08</v>
      </c>
      <c r="BO1269" s="2">
        <v>58.08</v>
      </c>
      <c r="BP1269" s="2"/>
      <c r="BQ1269" s="2" t="s">
        <v>258</v>
      </c>
      <c r="BR1269" s="2" t="s">
        <v>83</v>
      </c>
      <c r="BS1269" s="3">
        <v>42660</v>
      </c>
      <c r="BT1269" s="4">
        <v>0.41666666666666669</v>
      </c>
      <c r="BU1269" s="2" t="s">
        <v>1602</v>
      </c>
      <c r="BV1269" s="2" t="s">
        <v>85</v>
      </c>
      <c r="BW1269" s="2"/>
      <c r="BX1269" s="2"/>
      <c r="BY1269" s="2">
        <v>5561.26</v>
      </c>
      <c r="BZ1269" s="2"/>
      <c r="CA1269" s="2" t="s">
        <v>129</v>
      </c>
      <c r="CB1269" s="2"/>
      <c r="CC1269" s="2" t="s">
        <v>161</v>
      </c>
      <c r="CD1269" s="2">
        <v>7405</v>
      </c>
      <c r="CE1269" s="2" t="s">
        <v>86</v>
      </c>
      <c r="CF1269" s="5">
        <v>42661</v>
      </c>
      <c r="CG1269" s="2"/>
      <c r="CH1269" s="2"/>
      <c r="CI1269" s="2">
        <v>1</v>
      </c>
      <c r="CJ1269" s="2">
        <v>1</v>
      </c>
      <c r="CK1269" s="2">
        <v>21</v>
      </c>
      <c r="CL1269" s="2" t="s">
        <v>88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"FES1162506799"</f>
        <v>FES1162506799</v>
      </c>
      <c r="F1270" s="3">
        <v>42657</v>
      </c>
      <c r="G1270" s="2">
        <v>201704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160</v>
      </c>
      <c r="M1270" s="2" t="s">
        <v>161</v>
      </c>
      <c r="N1270" s="2" t="s">
        <v>622</v>
      </c>
      <c r="O1270" s="2" t="s">
        <v>96</v>
      </c>
      <c r="P1270" s="2" t="str">
        <f>"2170530312                    "</f>
        <v xml:space="preserve">2170530312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3.32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1</v>
      </c>
      <c r="BJ1270" s="2">
        <v>0.2</v>
      </c>
      <c r="BK1270" s="2">
        <v>1</v>
      </c>
      <c r="BL1270" s="2">
        <v>40.76</v>
      </c>
      <c r="BM1270" s="2">
        <v>5.71</v>
      </c>
      <c r="BN1270" s="2">
        <v>46.47</v>
      </c>
      <c r="BO1270" s="2">
        <v>46.47</v>
      </c>
      <c r="BP1270" s="2"/>
      <c r="BQ1270" s="2" t="s">
        <v>623</v>
      </c>
      <c r="BR1270" s="2" t="s">
        <v>83</v>
      </c>
      <c r="BS1270" s="3">
        <v>42660</v>
      </c>
      <c r="BT1270" s="4">
        <v>0.40972222222222227</v>
      </c>
      <c r="BU1270" s="2" t="s">
        <v>1596</v>
      </c>
      <c r="BV1270" s="2" t="s">
        <v>85</v>
      </c>
      <c r="BW1270" s="2"/>
      <c r="BX1270" s="2"/>
      <c r="BY1270" s="2">
        <v>1200</v>
      </c>
      <c r="BZ1270" s="2"/>
      <c r="CA1270" s="2" t="s">
        <v>129</v>
      </c>
      <c r="CB1270" s="2"/>
      <c r="CC1270" s="2" t="s">
        <v>161</v>
      </c>
      <c r="CD1270" s="2">
        <v>7490</v>
      </c>
      <c r="CE1270" s="2" t="s">
        <v>108</v>
      </c>
      <c r="CF1270" s="5">
        <v>42661</v>
      </c>
      <c r="CG1270" s="2"/>
      <c r="CH1270" s="2"/>
      <c r="CI1270" s="2">
        <v>1</v>
      </c>
      <c r="CJ1270" s="2">
        <v>1</v>
      </c>
      <c r="CK1270" s="2">
        <v>21</v>
      </c>
      <c r="CL1270" s="2" t="s">
        <v>88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"FES1162506813"</f>
        <v>FES1162506813</v>
      </c>
      <c r="F1271" s="3">
        <v>42657</v>
      </c>
      <c r="G1271" s="2">
        <v>201704</v>
      </c>
      <c r="H1271" s="2" t="s">
        <v>74</v>
      </c>
      <c r="I1271" s="2" t="s">
        <v>75</v>
      </c>
      <c r="J1271" s="2" t="s">
        <v>76</v>
      </c>
      <c r="K1271" s="2" t="s">
        <v>77</v>
      </c>
      <c r="L1271" s="2" t="s">
        <v>160</v>
      </c>
      <c r="M1271" s="2" t="s">
        <v>161</v>
      </c>
      <c r="N1271" s="2" t="s">
        <v>954</v>
      </c>
      <c r="O1271" s="2" t="s">
        <v>96</v>
      </c>
      <c r="P1271" s="2" t="str">
        <f>"2170530335                    "</f>
        <v xml:space="preserve">2170530335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4.1500000000000004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0.4</v>
      </c>
      <c r="BJ1271" s="2">
        <v>2.1</v>
      </c>
      <c r="BK1271" s="2">
        <v>2.5</v>
      </c>
      <c r="BL1271" s="2">
        <v>50.95</v>
      </c>
      <c r="BM1271" s="2">
        <v>7.13</v>
      </c>
      <c r="BN1271" s="2">
        <v>58.08</v>
      </c>
      <c r="BO1271" s="2">
        <v>58.08</v>
      </c>
      <c r="BP1271" s="2"/>
      <c r="BQ1271" s="2" t="s">
        <v>91</v>
      </c>
      <c r="BR1271" s="2" t="s">
        <v>83</v>
      </c>
      <c r="BS1271" s="3">
        <v>42660</v>
      </c>
      <c r="BT1271" s="4">
        <v>0.41666666666666669</v>
      </c>
      <c r="BU1271" s="2" t="s">
        <v>1603</v>
      </c>
      <c r="BV1271" s="2" t="s">
        <v>85</v>
      </c>
      <c r="BW1271" s="2"/>
      <c r="BX1271" s="2"/>
      <c r="BY1271" s="2">
        <v>10478.879999999999</v>
      </c>
      <c r="BZ1271" s="2"/>
      <c r="CA1271" s="2" t="s">
        <v>129</v>
      </c>
      <c r="CB1271" s="2"/>
      <c r="CC1271" s="2" t="s">
        <v>161</v>
      </c>
      <c r="CD1271" s="2">
        <v>7405</v>
      </c>
      <c r="CE1271" s="2" t="s">
        <v>108</v>
      </c>
      <c r="CF1271" s="5">
        <v>42661</v>
      </c>
      <c r="CG1271" s="2"/>
      <c r="CH1271" s="2"/>
      <c r="CI1271" s="2">
        <v>1</v>
      </c>
      <c r="CJ1271" s="2">
        <v>1</v>
      </c>
      <c r="CK1271" s="2">
        <v>21</v>
      </c>
      <c r="CL1271" s="2" t="s">
        <v>88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"FES1162506810"</f>
        <v>FES1162506810</v>
      </c>
      <c r="F1272" s="3">
        <v>42657</v>
      </c>
      <c r="G1272" s="2">
        <v>201704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143</v>
      </c>
      <c r="M1272" s="2" t="s">
        <v>144</v>
      </c>
      <c r="N1272" s="2" t="s">
        <v>1081</v>
      </c>
      <c r="O1272" s="2" t="s">
        <v>96</v>
      </c>
      <c r="P1272" s="2" t="str">
        <f>"2170530331                    "</f>
        <v xml:space="preserve">2170530331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3.32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1</v>
      </c>
      <c r="BJ1272" s="2">
        <v>0.2</v>
      </c>
      <c r="BK1272" s="2">
        <v>1</v>
      </c>
      <c r="BL1272" s="2">
        <v>40.76</v>
      </c>
      <c r="BM1272" s="2">
        <v>5.71</v>
      </c>
      <c r="BN1272" s="2">
        <v>46.47</v>
      </c>
      <c r="BO1272" s="2">
        <v>46.47</v>
      </c>
      <c r="BP1272" s="2"/>
      <c r="BQ1272" s="2" t="s">
        <v>168</v>
      </c>
      <c r="BR1272" s="2" t="s">
        <v>83</v>
      </c>
      <c r="BS1272" s="3">
        <v>42660</v>
      </c>
      <c r="BT1272" s="4">
        <v>0.4375</v>
      </c>
      <c r="BU1272" s="2" t="s">
        <v>1604</v>
      </c>
      <c r="BV1272" s="2"/>
      <c r="BW1272" s="2"/>
      <c r="BX1272" s="2"/>
      <c r="BY1272" s="2">
        <v>1200</v>
      </c>
      <c r="BZ1272" s="2"/>
      <c r="CA1272" s="2" t="s">
        <v>129</v>
      </c>
      <c r="CB1272" s="2"/>
      <c r="CC1272" s="2" t="s">
        <v>144</v>
      </c>
      <c r="CD1272" s="2">
        <v>5201</v>
      </c>
      <c r="CE1272" s="2" t="s">
        <v>108</v>
      </c>
      <c r="CF1272" s="5">
        <v>42661</v>
      </c>
      <c r="CG1272" s="2"/>
      <c r="CH1272" s="2"/>
      <c r="CI1272" s="2">
        <v>0</v>
      </c>
      <c r="CJ1272" s="2">
        <v>0</v>
      </c>
      <c r="CK1272" s="2">
        <v>21</v>
      </c>
      <c r="CL1272" s="2" t="s">
        <v>88</v>
      </c>
      <c r="CM1272" s="2"/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"FES1162506815"</f>
        <v>FES1162506815</v>
      </c>
      <c r="F1273" s="3">
        <v>42657</v>
      </c>
      <c r="G1273" s="2">
        <v>201704</v>
      </c>
      <c r="H1273" s="2" t="s">
        <v>74</v>
      </c>
      <c r="I1273" s="2" t="s">
        <v>75</v>
      </c>
      <c r="J1273" s="2" t="s">
        <v>76</v>
      </c>
      <c r="K1273" s="2" t="s">
        <v>77</v>
      </c>
      <c r="L1273" s="2" t="s">
        <v>98</v>
      </c>
      <c r="M1273" s="2" t="s">
        <v>99</v>
      </c>
      <c r="N1273" s="2" t="s">
        <v>1605</v>
      </c>
      <c r="O1273" s="2" t="s">
        <v>96</v>
      </c>
      <c r="P1273" s="2" t="str">
        <f>"2170530338                    "</f>
        <v xml:space="preserve">2170530338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3.32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1</v>
      </c>
      <c r="BJ1273" s="2">
        <v>0.2</v>
      </c>
      <c r="BK1273" s="2">
        <v>1</v>
      </c>
      <c r="BL1273" s="2">
        <v>40.76</v>
      </c>
      <c r="BM1273" s="2">
        <v>5.71</v>
      </c>
      <c r="BN1273" s="2">
        <v>46.47</v>
      </c>
      <c r="BO1273" s="2">
        <v>46.47</v>
      </c>
      <c r="BP1273" s="2"/>
      <c r="BQ1273" s="2" t="s">
        <v>168</v>
      </c>
      <c r="BR1273" s="2" t="s">
        <v>83</v>
      </c>
      <c r="BS1273" s="3">
        <v>42660</v>
      </c>
      <c r="BT1273" s="4">
        <v>0.37152777777777773</v>
      </c>
      <c r="BU1273" s="2" t="s">
        <v>1606</v>
      </c>
      <c r="BV1273" s="2"/>
      <c r="BW1273" s="2"/>
      <c r="BX1273" s="2"/>
      <c r="BY1273" s="2">
        <v>1200</v>
      </c>
      <c r="BZ1273" s="2"/>
      <c r="CA1273" s="2"/>
      <c r="CB1273" s="2"/>
      <c r="CC1273" s="2" t="s">
        <v>99</v>
      </c>
      <c r="CD1273" s="2">
        <v>6000</v>
      </c>
      <c r="CE1273" s="2" t="s">
        <v>108</v>
      </c>
      <c r="CF1273" s="5">
        <v>42661</v>
      </c>
      <c r="CG1273" s="2"/>
      <c r="CH1273" s="2"/>
      <c r="CI1273" s="2">
        <v>0</v>
      </c>
      <c r="CJ1273" s="2">
        <v>0</v>
      </c>
      <c r="CK1273" s="2">
        <v>21</v>
      </c>
      <c r="CL1273" s="2" t="s">
        <v>88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"FES1162506785"</f>
        <v>FES1162506785</v>
      </c>
      <c r="F1274" s="3">
        <v>42657</v>
      </c>
      <c r="G1274" s="2">
        <v>201704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160</v>
      </c>
      <c r="M1274" s="2" t="s">
        <v>161</v>
      </c>
      <c r="N1274" s="2" t="s">
        <v>622</v>
      </c>
      <c r="O1274" s="2" t="s">
        <v>96</v>
      </c>
      <c r="P1274" s="2" t="str">
        <f>"2170527054                    "</f>
        <v xml:space="preserve">2170527054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3.32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1</v>
      </c>
      <c r="BJ1274" s="2">
        <v>0.2</v>
      </c>
      <c r="BK1274" s="2">
        <v>1</v>
      </c>
      <c r="BL1274" s="2">
        <v>40.76</v>
      </c>
      <c r="BM1274" s="2">
        <v>5.71</v>
      </c>
      <c r="BN1274" s="2">
        <v>46.47</v>
      </c>
      <c r="BO1274" s="2">
        <v>46.47</v>
      </c>
      <c r="BP1274" s="2"/>
      <c r="BQ1274" s="2" t="s">
        <v>623</v>
      </c>
      <c r="BR1274" s="2" t="s">
        <v>83</v>
      </c>
      <c r="BS1274" s="3">
        <v>42660</v>
      </c>
      <c r="BT1274" s="4">
        <v>0.40972222222222227</v>
      </c>
      <c r="BU1274" s="2" t="s">
        <v>1596</v>
      </c>
      <c r="BV1274" s="2" t="s">
        <v>85</v>
      </c>
      <c r="BW1274" s="2"/>
      <c r="BX1274" s="2"/>
      <c r="BY1274" s="2">
        <v>1200</v>
      </c>
      <c r="BZ1274" s="2"/>
      <c r="CA1274" s="2" t="s">
        <v>129</v>
      </c>
      <c r="CB1274" s="2"/>
      <c r="CC1274" s="2" t="s">
        <v>161</v>
      </c>
      <c r="CD1274" s="2">
        <v>7490</v>
      </c>
      <c r="CE1274" s="2" t="s">
        <v>108</v>
      </c>
      <c r="CF1274" s="5">
        <v>42661</v>
      </c>
      <c r="CG1274" s="2"/>
      <c r="CH1274" s="2"/>
      <c r="CI1274" s="2">
        <v>1</v>
      </c>
      <c r="CJ1274" s="2">
        <v>1</v>
      </c>
      <c r="CK1274" s="2">
        <v>21</v>
      </c>
      <c r="CL1274" s="2" t="s">
        <v>88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"FES1162506739"</f>
        <v>FES1162506739</v>
      </c>
      <c r="F1275" s="3">
        <v>42657</v>
      </c>
      <c r="G1275" s="2">
        <v>201704</v>
      </c>
      <c r="H1275" s="2" t="s">
        <v>74</v>
      </c>
      <c r="I1275" s="2" t="s">
        <v>75</v>
      </c>
      <c r="J1275" s="2" t="s">
        <v>76</v>
      </c>
      <c r="K1275" s="2" t="s">
        <v>77</v>
      </c>
      <c r="L1275" s="2" t="s">
        <v>160</v>
      </c>
      <c r="M1275" s="2" t="s">
        <v>161</v>
      </c>
      <c r="N1275" s="2" t="s">
        <v>179</v>
      </c>
      <c r="O1275" s="2" t="s">
        <v>96</v>
      </c>
      <c r="P1275" s="2" t="str">
        <f>"2170530241                    "</f>
        <v xml:space="preserve">2170530241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4.1500000000000004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1.2</v>
      </c>
      <c r="BJ1275" s="2">
        <v>2.1</v>
      </c>
      <c r="BK1275" s="2">
        <v>2.5</v>
      </c>
      <c r="BL1275" s="2">
        <v>50.95</v>
      </c>
      <c r="BM1275" s="2">
        <v>7.13</v>
      </c>
      <c r="BN1275" s="2">
        <v>58.08</v>
      </c>
      <c r="BO1275" s="2">
        <v>58.08</v>
      </c>
      <c r="BP1275" s="2"/>
      <c r="BQ1275" s="2" t="s">
        <v>180</v>
      </c>
      <c r="BR1275" s="2" t="s">
        <v>83</v>
      </c>
      <c r="BS1275" s="3">
        <v>42660</v>
      </c>
      <c r="BT1275" s="4">
        <v>0.41666666666666669</v>
      </c>
      <c r="BU1275" s="2" t="s">
        <v>1172</v>
      </c>
      <c r="BV1275" s="2" t="s">
        <v>85</v>
      </c>
      <c r="BW1275" s="2"/>
      <c r="BX1275" s="2"/>
      <c r="BY1275" s="2">
        <v>10494.08</v>
      </c>
      <c r="BZ1275" s="2"/>
      <c r="CA1275" s="2" t="s">
        <v>129</v>
      </c>
      <c r="CB1275" s="2"/>
      <c r="CC1275" s="2" t="s">
        <v>161</v>
      </c>
      <c r="CD1275" s="2">
        <v>7405</v>
      </c>
      <c r="CE1275" s="2" t="s">
        <v>368</v>
      </c>
      <c r="CF1275" s="5">
        <v>42661</v>
      </c>
      <c r="CG1275" s="2"/>
      <c r="CH1275" s="2"/>
      <c r="CI1275" s="2">
        <v>1</v>
      </c>
      <c r="CJ1275" s="2">
        <v>1</v>
      </c>
      <c r="CK1275" s="2">
        <v>21</v>
      </c>
      <c r="CL1275" s="2" t="s">
        <v>88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"FES1162506743"</f>
        <v>FES1162506743</v>
      </c>
      <c r="F1276" s="3">
        <v>42657</v>
      </c>
      <c r="G1276" s="2">
        <v>201704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160</v>
      </c>
      <c r="M1276" s="2" t="s">
        <v>161</v>
      </c>
      <c r="N1276" s="2" t="s">
        <v>622</v>
      </c>
      <c r="O1276" s="2" t="s">
        <v>96</v>
      </c>
      <c r="P1276" s="2" t="str">
        <f>"2170527212                    "</f>
        <v xml:space="preserve">2170527212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23.22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13.9</v>
      </c>
      <c r="BJ1276" s="2">
        <v>9.1</v>
      </c>
      <c r="BK1276" s="2">
        <v>14</v>
      </c>
      <c r="BL1276" s="2">
        <v>285.3</v>
      </c>
      <c r="BM1276" s="2">
        <v>39.94</v>
      </c>
      <c r="BN1276" s="2">
        <v>325.24</v>
      </c>
      <c r="BO1276" s="2">
        <v>325.24</v>
      </c>
      <c r="BP1276" s="2"/>
      <c r="BQ1276" s="2" t="s">
        <v>623</v>
      </c>
      <c r="BR1276" s="2" t="s">
        <v>83</v>
      </c>
      <c r="BS1276" s="3">
        <v>42660</v>
      </c>
      <c r="BT1276" s="4">
        <v>0.40972222222222227</v>
      </c>
      <c r="BU1276" s="2" t="s">
        <v>1596</v>
      </c>
      <c r="BV1276" s="2" t="s">
        <v>85</v>
      </c>
      <c r="BW1276" s="2"/>
      <c r="BX1276" s="2"/>
      <c r="BY1276" s="2">
        <v>45368.800000000003</v>
      </c>
      <c r="BZ1276" s="2"/>
      <c r="CA1276" s="2" t="s">
        <v>129</v>
      </c>
      <c r="CB1276" s="2"/>
      <c r="CC1276" s="2" t="s">
        <v>161</v>
      </c>
      <c r="CD1276" s="2">
        <v>7490</v>
      </c>
      <c r="CE1276" s="2" t="s">
        <v>86</v>
      </c>
      <c r="CF1276" s="5">
        <v>42661</v>
      </c>
      <c r="CG1276" s="2"/>
      <c r="CH1276" s="2"/>
      <c r="CI1276" s="2">
        <v>1</v>
      </c>
      <c r="CJ1276" s="2">
        <v>1</v>
      </c>
      <c r="CK1276" s="2">
        <v>21</v>
      </c>
      <c r="CL1276" s="2" t="s">
        <v>88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"FES1162506753"</f>
        <v>FES1162506753</v>
      </c>
      <c r="F1277" s="3">
        <v>42657</v>
      </c>
      <c r="G1277" s="2">
        <v>201704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160</v>
      </c>
      <c r="M1277" s="2" t="s">
        <v>161</v>
      </c>
      <c r="N1277" s="2" t="s">
        <v>1607</v>
      </c>
      <c r="O1277" s="2" t="s">
        <v>96</v>
      </c>
      <c r="P1277" s="2" t="str">
        <f>"2170528640                    "</f>
        <v xml:space="preserve">2170528640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5.81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1.9</v>
      </c>
      <c r="BJ1277" s="2">
        <v>3.3</v>
      </c>
      <c r="BK1277" s="2">
        <v>3.5</v>
      </c>
      <c r="BL1277" s="2">
        <v>71.33</v>
      </c>
      <c r="BM1277" s="2">
        <v>9.99</v>
      </c>
      <c r="BN1277" s="2">
        <v>81.319999999999993</v>
      </c>
      <c r="BO1277" s="2">
        <v>81.319999999999993</v>
      </c>
      <c r="BP1277" s="2"/>
      <c r="BQ1277" s="2" t="s">
        <v>117</v>
      </c>
      <c r="BR1277" s="2" t="s">
        <v>83</v>
      </c>
      <c r="BS1277" s="3">
        <v>42660</v>
      </c>
      <c r="BT1277" s="4">
        <v>0.43055555555555558</v>
      </c>
      <c r="BU1277" s="2" t="s">
        <v>1608</v>
      </c>
      <c r="BV1277" s="2" t="s">
        <v>85</v>
      </c>
      <c r="BW1277" s="2"/>
      <c r="BX1277" s="2"/>
      <c r="BY1277" s="2">
        <v>16543.439999999999</v>
      </c>
      <c r="BZ1277" s="2"/>
      <c r="CA1277" s="2" t="s">
        <v>129</v>
      </c>
      <c r="CB1277" s="2"/>
      <c r="CC1277" s="2" t="s">
        <v>161</v>
      </c>
      <c r="CD1277" s="2">
        <v>7580</v>
      </c>
      <c r="CE1277" s="2" t="s">
        <v>368</v>
      </c>
      <c r="CF1277" s="5">
        <v>42661</v>
      </c>
      <c r="CG1277" s="2"/>
      <c r="CH1277" s="2"/>
      <c r="CI1277" s="2">
        <v>1</v>
      </c>
      <c r="CJ1277" s="2">
        <v>1</v>
      </c>
      <c r="CK1277" s="2">
        <v>21</v>
      </c>
      <c r="CL1277" s="2" t="s">
        <v>88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"FES1162506735"</f>
        <v>FES1162506735</v>
      </c>
      <c r="F1278" s="3">
        <v>42657</v>
      </c>
      <c r="G1278" s="2">
        <v>201704</v>
      </c>
      <c r="H1278" s="2" t="s">
        <v>74</v>
      </c>
      <c r="I1278" s="2" t="s">
        <v>75</v>
      </c>
      <c r="J1278" s="2" t="s">
        <v>76</v>
      </c>
      <c r="K1278" s="2" t="s">
        <v>77</v>
      </c>
      <c r="L1278" s="2" t="s">
        <v>160</v>
      </c>
      <c r="M1278" s="2" t="s">
        <v>161</v>
      </c>
      <c r="N1278" s="2" t="s">
        <v>334</v>
      </c>
      <c r="O1278" s="2" t="s">
        <v>96</v>
      </c>
      <c r="P1278" s="2" t="str">
        <f>"2170530234                    "</f>
        <v xml:space="preserve">2170530234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8.2899999999999991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3</v>
      </c>
      <c r="BJ1278" s="2">
        <v>4.8</v>
      </c>
      <c r="BK1278" s="2">
        <v>5</v>
      </c>
      <c r="BL1278" s="2">
        <v>101.89</v>
      </c>
      <c r="BM1278" s="2">
        <v>14.26</v>
      </c>
      <c r="BN1278" s="2">
        <v>116.15</v>
      </c>
      <c r="BO1278" s="2">
        <v>116.15</v>
      </c>
      <c r="BP1278" s="2"/>
      <c r="BQ1278" s="2" t="s">
        <v>168</v>
      </c>
      <c r="BR1278" s="2" t="s">
        <v>83</v>
      </c>
      <c r="BS1278" s="3">
        <v>42660</v>
      </c>
      <c r="BT1278" s="4">
        <v>0.45833333333333331</v>
      </c>
      <c r="BU1278" s="2" t="s">
        <v>1323</v>
      </c>
      <c r="BV1278" s="2" t="s">
        <v>85</v>
      </c>
      <c r="BW1278" s="2"/>
      <c r="BX1278" s="2"/>
      <c r="BY1278" s="2">
        <v>24064</v>
      </c>
      <c r="BZ1278" s="2"/>
      <c r="CA1278" s="2"/>
      <c r="CB1278" s="2"/>
      <c r="CC1278" s="2" t="s">
        <v>161</v>
      </c>
      <c r="CD1278" s="2">
        <v>7945</v>
      </c>
      <c r="CE1278" s="2" t="s">
        <v>368</v>
      </c>
      <c r="CF1278" s="5">
        <v>42661</v>
      </c>
      <c r="CG1278" s="2"/>
      <c r="CH1278" s="2"/>
      <c r="CI1278" s="2">
        <v>1</v>
      </c>
      <c r="CJ1278" s="2">
        <v>1</v>
      </c>
      <c r="CK1278" s="2">
        <v>21</v>
      </c>
      <c r="CL1278" s="2" t="s">
        <v>88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"FES1162506908"</f>
        <v>FES1162506908</v>
      </c>
      <c r="F1279" s="3">
        <v>42657</v>
      </c>
      <c r="G1279" s="2">
        <v>201704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98</v>
      </c>
      <c r="M1279" s="2" t="s">
        <v>99</v>
      </c>
      <c r="N1279" s="2" t="s">
        <v>894</v>
      </c>
      <c r="O1279" s="2" t="s">
        <v>96</v>
      </c>
      <c r="P1279" s="2" t="str">
        <f>"2170530422                    "</f>
        <v xml:space="preserve">2170530422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3.32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</v>
      </c>
      <c r="BJ1279" s="2">
        <v>0.2</v>
      </c>
      <c r="BK1279" s="2">
        <v>1</v>
      </c>
      <c r="BL1279" s="2">
        <v>40.76</v>
      </c>
      <c r="BM1279" s="2">
        <v>5.71</v>
      </c>
      <c r="BN1279" s="2">
        <v>46.47</v>
      </c>
      <c r="BO1279" s="2">
        <v>46.47</v>
      </c>
      <c r="BP1279" s="2"/>
      <c r="BQ1279" s="2" t="s">
        <v>895</v>
      </c>
      <c r="BR1279" s="2" t="s">
        <v>83</v>
      </c>
      <c r="BS1279" s="3">
        <v>42660</v>
      </c>
      <c r="BT1279" s="4">
        <v>0.30208333333333331</v>
      </c>
      <c r="BU1279" s="2" t="s">
        <v>1143</v>
      </c>
      <c r="BV1279" s="2" t="s">
        <v>85</v>
      </c>
      <c r="BW1279" s="2"/>
      <c r="BX1279" s="2"/>
      <c r="BY1279" s="2">
        <v>1200</v>
      </c>
      <c r="BZ1279" s="2"/>
      <c r="CA1279" s="2" t="s">
        <v>107</v>
      </c>
      <c r="CB1279" s="2"/>
      <c r="CC1279" s="2" t="s">
        <v>99</v>
      </c>
      <c r="CD1279" s="2">
        <v>6012</v>
      </c>
      <c r="CE1279" s="2" t="s">
        <v>108</v>
      </c>
      <c r="CF1279" s="5">
        <v>42660</v>
      </c>
      <c r="CG1279" s="2"/>
      <c r="CH1279" s="2"/>
      <c r="CI1279" s="2">
        <v>1</v>
      </c>
      <c r="CJ1279" s="2">
        <v>1</v>
      </c>
      <c r="CK1279" s="2">
        <v>21</v>
      </c>
      <c r="CL1279" s="2" t="s">
        <v>88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"FES1162506882"</f>
        <v>FES1162506882</v>
      </c>
      <c r="F1280" s="3">
        <v>42657</v>
      </c>
      <c r="G1280" s="2">
        <v>201704</v>
      </c>
      <c r="H1280" s="2" t="s">
        <v>74</v>
      </c>
      <c r="I1280" s="2" t="s">
        <v>75</v>
      </c>
      <c r="J1280" s="2" t="s">
        <v>76</v>
      </c>
      <c r="K1280" s="2" t="s">
        <v>77</v>
      </c>
      <c r="L1280" s="2" t="s">
        <v>93</v>
      </c>
      <c r="M1280" s="2" t="s">
        <v>94</v>
      </c>
      <c r="N1280" s="2" t="s">
        <v>130</v>
      </c>
      <c r="O1280" s="2" t="s">
        <v>96</v>
      </c>
      <c r="P1280" s="2" t="str">
        <f>"2170527629                    "</f>
        <v xml:space="preserve">2170527629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4.1500000000000004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2.4</v>
      </c>
      <c r="BJ1280" s="2">
        <v>1</v>
      </c>
      <c r="BK1280" s="2">
        <v>2.5</v>
      </c>
      <c r="BL1280" s="2">
        <v>50.95</v>
      </c>
      <c r="BM1280" s="2">
        <v>7.13</v>
      </c>
      <c r="BN1280" s="2">
        <v>58.08</v>
      </c>
      <c r="BO1280" s="2">
        <v>58.08</v>
      </c>
      <c r="BP1280" s="2"/>
      <c r="BQ1280" s="2" t="s">
        <v>131</v>
      </c>
      <c r="BR1280" s="2" t="s">
        <v>83</v>
      </c>
      <c r="BS1280" s="3">
        <v>42660</v>
      </c>
      <c r="BT1280" s="4">
        <v>0.4375</v>
      </c>
      <c r="BU1280" s="2" t="s">
        <v>132</v>
      </c>
      <c r="BV1280" s="2" t="s">
        <v>85</v>
      </c>
      <c r="BW1280" s="2"/>
      <c r="BX1280" s="2"/>
      <c r="BY1280" s="2">
        <v>4983.01</v>
      </c>
      <c r="BZ1280" s="2"/>
      <c r="CA1280" s="2"/>
      <c r="CB1280" s="2"/>
      <c r="CC1280" s="2" t="s">
        <v>94</v>
      </c>
      <c r="CD1280" s="2">
        <v>4302</v>
      </c>
      <c r="CE1280" s="2" t="s">
        <v>86</v>
      </c>
      <c r="CF1280" s="5">
        <v>42661</v>
      </c>
      <c r="CG1280" s="2"/>
      <c r="CH1280" s="2"/>
      <c r="CI1280" s="2">
        <v>1</v>
      </c>
      <c r="CJ1280" s="2">
        <v>1</v>
      </c>
      <c r="CK1280" s="2">
        <v>21</v>
      </c>
      <c r="CL1280" s="2" t="s">
        <v>88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"FES1162506901"</f>
        <v>FES1162506901</v>
      </c>
      <c r="F1281" s="3">
        <v>42657</v>
      </c>
      <c r="G1281" s="2">
        <v>201704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160</v>
      </c>
      <c r="M1281" s="2" t="s">
        <v>161</v>
      </c>
      <c r="N1281" s="2" t="s">
        <v>179</v>
      </c>
      <c r="O1281" s="2" t="s">
        <v>96</v>
      </c>
      <c r="P1281" s="2" t="str">
        <f>"2170530452                    "</f>
        <v xml:space="preserve">2170530452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3.32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0.8</v>
      </c>
      <c r="BJ1281" s="2">
        <v>1.2</v>
      </c>
      <c r="BK1281" s="2">
        <v>1.5</v>
      </c>
      <c r="BL1281" s="2">
        <v>40.76</v>
      </c>
      <c r="BM1281" s="2">
        <v>5.71</v>
      </c>
      <c r="BN1281" s="2">
        <v>46.47</v>
      </c>
      <c r="BO1281" s="2">
        <v>46.47</v>
      </c>
      <c r="BP1281" s="2"/>
      <c r="BQ1281" s="2" t="s">
        <v>180</v>
      </c>
      <c r="BR1281" s="2" t="s">
        <v>83</v>
      </c>
      <c r="BS1281" s="3">
        <v>42660</v>
      </c>
      <c r="BT1281" s="4">
        <v>0.41666666666666669</v>
      </c>
      <c r="BU1281" s="2" t="s">
        <v>1137</v>
      </c>
      <c r="BV1281" s="2" t="s">
        <v>85</v>
      </c>
      <c r="BW1281" s="2"/>
      <c r="BX1281" s="2"/>
      <c r="BY1281" s="2">
        <v>6165.64</v>
      </c>
      <c r="BZ1281" s="2"/>
      <c r="CA1281" s="2" t="s">
        <v>129</v>
      </c>
      <c r="CB1281" s="2"/>
      <c r="CC1281" s="2" t="s">
        <v>161</v>
      </c>
      <c r="CD1281" s="2">
        <v>7405</v>
      </c>
      <c r="CE1281" s="2" t="s">
        <v>108</v>
      </c>
      <c r="CF1281" s="5">
        <v>42661</v>
      </c>
      <c r="CG1281" s="2"/>
      <c r="CH1281" s="2"/>
      <c r="CI1281" s="2">
        <v>1</v>
      </c>
      <c r="CJ1281" s="2">
        <v>1</v>
      </c>
      <c r="CK1281" s="2">
        <v>21</v>
      </c>
      <c r="CL1281" s="2" t="s">
        <v>88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"FES1162506894"</f>
        <v>FES1162506894</v>
      </c>
      <c r="F1282" s="3">
        <v>42657</v>
      </c>
      <c r="G1282" s="2">
        <v>201704</v>
      </c>
      <c r="H1282" s="2" t="s">
        <v>74</v>
      </c>
      <c r="I1282" s="2" t="s">
        <v>75</v>
      </c>
      <c r="J1282" s="2" t="s">
        <v>76</v>
      </c>
      <c r="K1282" s="2" t="s">
        <v>77</v>
      </c>
      <c r="L1282" s="2" t="s">
        <v>160</v>
      </c>
      <c r="M1282" s="2" t="s">
        <v>161</v>
      </c>
      <c r="N1282" s="2" t="s">
        <v>176</v>
      </c>
      <c r="O1282" s="2" t="s">
        <v>96</v>
      </c>
      <c r="P1282" s="2" t="str">
        <f>"2170530441                    "</f>
        <v xml:space="preserve">2170530441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3.32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40.76</v>
      </c>
      <c r="BM1282" s="2">
        <v>5.71</v>
      </c>
      <c r="BN1282" s="2">
        <v>46.47</v>
      </c>
      <c r="BO1282" s="2">
        <v>46.47</v>
      </c>
      <c r="BP1282" s="2"/>
      <c r="BQ1282" s="2" t="s">
        <v>258</v>
      </c>
      <c r="BR1282" s="2" t="s">
        <v>83</v>
      </c>
      <c r="BS1282" s="3">
        <v>42660</v>
      </c>
      <c r="BT1282" s="4">
        <v>0.41666666666666669</v>
      </c>
      <c r="BU1282" s="2" t="s">
        <v>1602</v>
      </c>
      <c r="BV1282" s="2" t="s">
        <v>85</v>
      </c>
      <c r="BW1282" s="2"/>
      <c r="BX1282" s="2"/>
      <c r="BY1282" s="2">
        <v>1200</v>
      </c>
      <c r="BZ1282" s="2"/>
      <c r="CA1282" s="2" t="s">
        <v>129</v>
      </c>
      <c r="CB1282" s="2"/>
      <c r="CC1282" s="2" t="s">
        <v>161</v>
      </c>
      <c r="CD1282" s="2">
        <v>7405</v>
      </c>
      <c r="CE1282" s="2" t="s">
        <v>108</v>
      </c>
      <c r="CF1282" s="5">
        <v>42661</v>
      </c>
      <c r="CG1282" s="2"/>
      <c r="CH1282" s="2"/>
      <c r="CI1282" s="2">
        <v>1</v>
      </c>
      <c r="CJ1282" s="2">
        <v>1</v>
      </c>
      <c r="CK1282" s="2">
        <v>21</v>
      </c>
      <c r="CL1282" s="2" t="s">
        <v>88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"FES1162506903"</f>
        <v>FES1162506903</v>
      </c>
      <c r="F1283" s="3">
        <v>42657</v>
      </c>
      <c r="G1283" s="2">
        <v>201704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269</v>
      </c>
      <c r="M1283" s="2" t="s">
        <v>270</v>
      </c>
      <c r="N1283" s="2" t="s">
        <v>1609</v>
      </c>
      <c r="O1283" s="2" t="s">
        <v>96</v>
      </c>
      <c r="P1283" s="2" t="str">
        <f>"2170530463                    "</f>
        <v xml:space="preserve">2170530463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3.32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40.76</v>
      </c>
      <c r="BM1283" s="2">
        <v>5.71</v>
      </c>
      <c r="BN1283" s="2">
        <v>46.47</v>
      </c>
      <c r="BO1283" s="2">
        <v>46.47</v>
      </c>
      <c r="BP1283" s="2"/>
      <c r="BQ1283" s="2" t="s">
        <v>1610</v>
      </c>
      <c r="BR1283" s="2" t="s">
        <v>83</v>
      </c>
      <c r="BS1283" s="3">
        <v>42660</v>
      </c>
      <c r="BT1283" s="4">
        <v>0.36319444444444443</v>
      </c>
      <c r="BU1283" s="2" t="s">
        <v>1611</v>
      </c>
      <c r="BV1283" s="2" t="s">
        <v>85</v>
      </c>
      <c r="BW1283" s="2"/>
      <c r="BX1283" s="2"/>
      <c r="BY1283" s="2">
        <v>1200</v>
      </c>
      <c r="BZ1283" s="2"/>
      <c r="CA1283" s="2"/>
      <c r="CB1283" s="2"/>
      <c r="CC1283" s="2" t="s">
        <v>270</v>
      </c>
      <c r="CD1283" s="2">
        <v>3610</v>
      </c>
      <c r="CE1283" s="2" t="s">
        <v>108</v>
      </c>
      <c r="CF1283" s="5">
        <v>42661</v>
      </c>
      <c r="CG1283" s="2"/>
      <c r="CH1283" s="2"/>
      <c r="CI1283" s="2">
        <v>1</v>
      </c>
      <c r="CJ1283" s="2">
        <v>1</v>
      </c>
      <c r="CK1283" s="2">
        <v>21</v>
      </c>
      <c r="CL1283" s="2" t="s">
        <v>88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"FES1162506904"</f>
        <v>FES1162506904</v>
      </c>
      <c r="F1284" s="3">
        <v>42657</v>
      </c>
      <c r="G1284" s="2">
        <v>201704</v>
      </c>
      <c r="H1284" s="2" t="s">
        <v>74</v>
      </c>
      <c r="I1284" s="2" t="s">
        <v>75</v>
      </c>
      <c r="J1284" s="2" t="s">
        <v>76</v>
      </c>
      <c r="K1284" s="2" t="s">
        <v>77</v>
      </c>
      <c r="L1284" s="2" t="s">
        <v>160</v>
      </c>
      <c r="M1284" s="2" t="s">
        <v>161</v>
      </c>
      <c r="N1284" s="2" t="s">
        <v>622</v>
      </c>
      <c r="O1284" s="2" t="s">
        <v>96</v>
      </c>
      <c r="P1284" s="2" t="str">
        <f>"2170530458                    "</f>
        <v xml:space="preserve">2170530458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3.32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1</v>
      </c>
      <c r="BJ1284" s="2">
        <v>0.2</v>
      </c>
      <c r="BK1284" s="2">
        <v>1</v>
      </c>
      <c r="BL1284" s="2">
        <v>40.76</v>
      </c>
      <c r="BM1284" s="2">
        <v>5.71</v>
      </c>
      <c r="BN1284" s="2">
        <v>46.47</v>
      </c>
      <c r="BO1284" s="2">
        <v>46.47</v>
      </c>
      <c r="BP1284" s="2"/>
      <c r="BQ1284" s="2" t="s">
        <v>623</v>
      </c>
      <c r="BR1284" s="2" t="s">
        <v>83</v>
      </c>
      <c r="BS1284" s="3">
        <v>42660</v>
      </c>
      <c r="BT1284" s="4">
        <v>0.40972222222222227</v>
      </c>
      <c r="BU1284" s="2" t="s">
        <v>1596</v>
      </c>
      <c r="BV1284" s="2" t="s">
        <v>85</v>
      </c>
      <c r="BW1284" s="2"/>
      <c r="BX1284" s="2"/>
      <c r="BY1284" s="2">
        <v>1200</v>
      </c>
      <c r="BZ1284" s="2"/>
      <c r="CA1284" s="2" t="s">
        <v>129</v>
      </c>
      <c r="CB1284" s="2"/>
      <c r="CC1284" s="2" t="s">
        <v>161</v>
      </c>
      <c r="CD1284" s="2">
        <v>7490</v>
      </c>
      <c r="CE1284" s="2" t="s">
        <v>108</v>
      </c>
      <c r="CF1284" s="5">
        <v>42661</v>
      </c>
      <c r="CG1284" s="2"/>
      <c r="CH1284" s="2"/>
      <c r="CI1284" s="2">
        <v>1</v>
      </c>
      <c r="CJ1284" s="2">
        <v>1</v>
      </c>
      <c r="CK1284" s="2">
        <v>21</v>
      </c>
      <c r="CL1284" s="2" t="s">
        <v>88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"FES1162506900"</f>
        <v>FES1162506900</v>
      </c>
      <c r="F1285" s="3">
        <v>42657</v>
      </c>
      <c r="G1285" s="2">
        <v>201704</v>
      </c>
      <c r="H1285" s="2" t="s">
        <v>74</v>
      </c>
      <c r="I1285" s="2" t="s">
        <v>75</v>
      </c>
      <c r="J1285" s="2" t="s">
        <v>76</v>
      </c>
      <c r="K1285" s="2" t="s">
        <v>77</v>
      </c>
      <c r="L1285" s="2" t="s">
        <v>98</v>
      </c>
      <c r="M1285" s="2" t="s">
        <v>99</v>
      </c>
      <c r="N1285" s="2" t="s">
        <v>190</v>
      </c>
      <c r="O1285" s="2" t="s">
        <v>96</v>
      </c>
      <c r="P1285" s="2" t="str">
        <f>"2170530448                    "</f>
        <v xml:space="preserve">2170530448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4.1500000000000004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2.4</v>
      </c>
      <c r="BJ1285" s="2">
        <v>1.6</v>
      </c>
      <c r="BK1285" s="2">
        <v>2.5</v>
      </c>
      <c r="BL1285" s="2">
        <v>50.95</v>
      </c>
      <c r="BM1285" s="2">
        <v>7.13</v>
      </c>
      <c r="BN1285" s="2">
        <v>58.08</v>
      </c>
      <c r="BO1285" s="2">
        <v>58.08</v>
      </c>
      <c r="BP1285" s="2"/>
      <c r="BQ1285" s="2" t="s">
        <v>1034</v>
      </c>
      <c r="BR1285" s="2" t="s">
        <v>83</v>
      </c>
      <c r="BS1285" s="3">
        <v>42660</v>
      </c>
      <c r="BT1285" s="4">
        <v>0.36805555555555558</v>
      </c>
      <c r="BU1285" s="2" t="s">
        <v>238</v>
      </c>
      <c r="BV1285" s="2" t="s">
        <v>85</v>
      </c>
      <c r="BW1285" s="2"/>
      <c r="BX1285" s="2"/>
      <c r="BY1285" s="2">
        <v>8173.44</v>
      </c>
      <c r="BZ1285" s="2"/>
      <c r="CA1285" s="2"/>
      <c r="CB1285" s="2"/>
      <c r="CC1285" s="2" t="s">
        <v>99</v>
      </c>
      <c r="CD1285" s="2">
        <v>6001</v>
      </c>
      <c r="CE1285" s="2" t="s">
        <v>86</v>
      </c>
      <c r="CF1285" s="5">
        <v>42661</v>
      </c>
      <c r="CG1285" s="2"/>
      <c r="CH1285" s="2"/>
      <c r="CI1285" s="2">
        <v>1</v>
      </c>
      <c r="CJ1285" s="2">
        <v>1</v>
      </c>
      <c r="CK1285" s="2">
        <v>21</v>
      </c>
      <c r="CL1285" s="2" t="s">
        <v>88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"FES1162506910"</f>
        <v>FES1162506910</v>
      </c>
      <c r="F1286" s="3">
        <v>42657</v>
      </c>
      <c r="G1286" s="2">
        <v>201704</v>
      </c>
      <c r="H1286" s="2" t="s">
        <v>74</v>
      </c>
      <c r="I1286" s="2" t="s">
        <v>75</v>
      </c>
      <c r="J1286" s="2" t="s">
        <v>76</v>
      </c>
      <c r="K1286" s="2" t="s">
        <v>77</v>
      </c>
      <c r="L1286" s="2" t="s">
        <v>143</v>
      </c>
      <c r="M1286" s="2" t="s">
        <v>144</v>
      </c>
      <c r="N1286" s="2" t="s">
        <v>475</v>
      </c>
      <c r="O1286" s="2" t="s">
        <v>96</v>
      </c>
      <c r="P1286" s="2" t="str">
        <f>"2170530469                    "</f>
        <v xml:space="preserve">2170530469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3.32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0.4</v>
      </c>
      <c r="BJ1286" s="2">
        <v>1.4</v>
      </c>
      <c r="BK1286" s="2">
        <v>1.5</v>
      </c>
      <c r="BL1286" s="2">
        <v>40.76</v>
      </c>
      <c r="BM1286" s="2">
        <v>5.71</v>
      </c>
      <c r="BN1286" s="2">
        <v>46.47</v>
      </c>
      <c r="BO1286" s="2">
        <v>46.47</v>
      </c>
      <c r="BP1286" s="2"/>
      <c r="BQ1286" s="2" t="s">
        <v>476</v>
      </c>
      <c r="BR1286" s="2" t="s">
        <v>83</v>
      </c>
      <c r="BS1286" s="3">
        <v>42660</v>
      </c>
      <c r="BT1286" s="4">
        <v>0.4375</v>
      </c>
      <c r="BU1286" s="2" t="s">
        <v>1612</v>
      </c>
      <c r="BV1286" s="2" t="s">
        <v>85</v>
      </c>
      <c r="BW1286" s="2"/>
      <c r="BX1286" s="2"/>
      <c r="BY1286" s="2">
        <v>7164.14</v>
      </c>
      <c r="BZ1286" s="2"/>
      <c r="CA1286" s="2" t="s">
        <v>129</v>
      </c>
      <c r="CB1286" s="2"/>
      <c r="CC1286" s="2" t="s">
        <v>144</v>
      </c>
      <c r="CD1286" s="2">
        <v>5201</v>
      </c>
      <c r="CE1286" s="2" t="s">
        <v>108</v>
      </c>
      <c r="CF1286" s="5">
        <v>42661</v>
      </c>
      <c r="CG1286" s="2"/>
      <c r="CH1286" s="2"/>
      <c r="CI1286" s="2">
        <v>1</v>
      </c>
      <c r="CJ1286" s="2">
        <v>1</v>
      </c>
      <c r="CK1286" s="2">
        <v>21</v>
      </c>
      <c r="CL1286" s="2" t="s">
        <v>88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"FES1162506911"</f>
        <v>FES1162506911</v>
      </c>
      <c r="F1287" s="3">
        <v>42657</v>
      </c>
      <c r="G1287" s="2">
        <v>201704</v>
      </c>
      <c r="H1287" s="2" t="s">
        <v>74</v>
      </c>
      <c r="I1287" s="2" t="s">
        <v>75</v>
      </c>
      <c r="J1287" s="2" t="s">
        <v>76</v>
      </c>
      <c r="K1287" s="2" t="s">
        <v>77</v>
      </c>
      <c r="L1287" s="2" t="s">
        <v>98</v>
      </c>
      <c r="M1287" s="2" t="s">
        <v>99</v>
      </c>
      <c r="N1287" s="2" t="s">
        <v>109</v>
      </c>
      <c r="O1287" s="2" t="s">
        <v>96</v>
      </c>
      <c r="P1287" s="2" t="str">
        <f>"2170529836                    "</f>
        <v xml:space="preserve">2170529836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9.1199999999999992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5.4</v>
      </c>
      <c r="BJ1287" s="2">
        <v>2.2999999999999998</v>
      </c>
      <c r="BK1287" s="2">
        <v>5.5</v>
      </c>
      <c r="BL1287" s="2">
        <v>112.08</v>
      </c>
      <c r="BM1287" s="2">
        <v>15.69</v>
      </c>
      <c r="BN1287" s="2">
        <v>127.77</v>
      </c>
      <c r="BO1287" s="2">
        <v>127.77</v>
      </c>
      <c r="BP1287" s="2"/>
      <c r="BQ1287" s="2" t="s">
        <v>110</v>
      </c>
      <c r="BR1287" s="2" t="s">
        <v>83</v>
      </c>
      <c r="BS1287" s="3">
        <v>42660</v>
      </c>
      <c r="BT1287" s="4">
        <v>0.3611111111111111</v>
      </c>
      <c r="BU1287" s="2" t="s">
        <v>1613</v>
      </c>
      <c r="BV1287" s="2" t="s">
        <v>85</v>
      </c>
      <c r="BW1287" s="2"/>
      <c r="BX1287" s="2"/>
      <c r="BY1287" s="2">
        <v>11554.74</v>
      </c>
      <c r="BZ1287" s="2"/>
      <c r="CA1287" s="2" t="s">
        <v>107</v>
      </c>
      <c r="CB1287" s="2"/>
      <c r="CC1287" s="2" t="s">
        <v>99</v>
      </c>
      <c r="CD1287" s="2">
        <v>6001</v>
      </c>
      <c r="CE1287" s="2" t="s">
        <v>86</v>
      </c>
      <c r="CF1287" s="5">
        <v>42660</v>
      </c>
      <c r="CG1287" s="2"/>
      <c r="CH1287" s="2"/>
      <c r="CI1287" s="2">
        <v>1</v>
      </c>
      <c r="CJ1287" s="2">
        <v>1</v>
      </c>
      <c r="CK1287" s="2">
        <v>21</v>
      </c>
      <c r="CL1287" s="2" t="s">
        <v>88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"FES1162506884"</f>
        <v>FES1162506884</v>
      </c>
      <c r="F1288" s="3">
        <v>42657</v>
      </c>
      <c r="G1288" s="2">
        <v>201704</v>
      </c>
      <c r="H1288" s="2" t="s">
        <v>74</v>
      </c>
      <c r="I1288" s="2" t="s">
        <v>75</v>
      </c>
      <c r="J1288" s="2" t="s">
        <v>76</v>
      </c>
      <c r="K1288" s="2" t="s">
        <v>77</v>
      </c>
      <c r="L1288" s="2" t="s">
        <v>148</v>
      </c>
      <c r="M1288" s="2" t="s">
        <v>149</v>
      </c>
      <c r="N1288" s="2" t="s">
        <v>242</v>
      </c>
      <c r="O1288" s="2" t="s">
        <v>96</v>
      </c>
      <c r="P1288" s="2" t="str">
        <f>"2170530427                    "</f>
        <v xml:space="preserve">2170530427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3.32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0.4</v>
      </c>
      <c r="BJ1288" s="2">
        <v>1.1000000000000001</v>
      </c>
      <c r="BK1288" s="2">
        <v>1.5</v>
      </c>
      <c r="BL1288" s="2">
        <v>40.76</v>
      </c>
      <c r="BM1288" s="2">
        <v>5.71</v>
      </c>
      <c r="BN1288" s="2">
        <v>46.47</v>
      </c>
      <c r="BO1288" s="2">
        <v>46.47</v>
      </c>
      <c r="BP1288" s="2"/>
      <c r="BQ1288" s="2" t="s">
        <v>91</v>
      </c>
      <c r="BR1288" s="2" t="s">
        <v>83</v>
      </c>
      <c r="BS1288" s="3">
        <v>42660</v>
      </c>
      <c r="BT1288" s="4">
        <v>0.4375</v>
      </c>
      <c r="BU1288" s="2" t="s">
        <v>1614</v>
      </c>
      <c r="BV1288" s="2"/>
      <c r="BW1288" s="2"/>
      <c r="BX1288" s="2"/>
      <c r="BY1288" s="2">
        <v>5515.78</v>
      </c>
      <c r="BZ1288" s="2"/>
      <c r="CA1288" s="2"/>
      <c r="CB1288" s="2"/>
      <c r="CC1288" s="2" t="s">
        <v>149</v>
      </c>
      <c r="CD1288" s="2">
        <v>4001</v>
      </c>
      <c r="CE1288" s="2" t="s">
        <v>108</v>
      </c>
      <c r="CF1288" s="5">
        <v>42661</v>
      </c>
      <c r="CG1288" s="2"/>
      <c r="CH1288" s="2"/>
      <c r="CI1288" s="2">
        <v>0</v>
      </c>
      <c r="CJ1288" s="2">
        <v>0</v>
      </c>
      <c r="CK1288" s="2">
        <v>21</v>
      </c>
      <c r="CL1288" s="2" t="s">
        <v>88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"FES1162506885"</f>
        <v>FES1162506885</v>
      </c>
      <c r="F1289" s="3">
        <v>42657</v>
      </c>
      <c r="G1289" s="2">
        <v>201704</v>
      </c>
      <c r="H1289" s="2" t="s">
        <v>74</v>
      </c>
      <c r="I1289" s="2" t="s">
        <v>75</v>
      </c>
      <c r="J1289" s="2" t="s">
        <v>76</v>
      </c>
      <c r="K1289" s="2" t="s">
        <v>77</v>
      </c>
      <c r="L1289" s="2" t="s">
        <v>119</v>
      </c>
      <c r="M1289" s="2" t="s">
        <v>120</v>
      </c>
      <c r="N1289" s="2" t="s">
        <v>1615</v>
      </c>
      <c r="O1289" s="2" t="s">
        <v>96</v>
      </c>
      <c r="P1289" s="2" t="str">
        <f>"2170530430                    "</f>
        <v xml:space="preserve">2170530430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3.32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</v>
      </c>
      <c r="BJ1289" s="2">
        <v>0.2</v>
      </c>
      <c r="BK1289" s="2">
        <v>1</v>
      </c>
      <c r="BL1289" s="2">
        <v>40.76</v>
      </c>
      <c r="BM1289" s="2">
        <v>5.71</v>
      </c>
      <c r="BN1289" s="2">
        <v>46.47</v>
      </c>
      <c r="BO1289" s="2">
        <v>46.47</v>
      </c>
      <c r="BP1289" s="2"/>
      <c r="BQ1289" s="2" t="s">
        <v>1616</v>
      </c>
      <c r="BR1289" s="2" t="s">
        <v>83</v>
      </c>
      <c r="BS1289" s="3">
        <v>42660</v>
      </c>
      <c r="BT1289" s="4">
        <v>0.38750000000000001</v>
      </c>
      <c r="BU1289" s="2" t="s">
        <v>1617</v>
      </c>
      <c r="BV1289" s="2" t="s">
        <v>85</v>
      </c>
      <c r="BW1289" s="2"/>
      <c r="BX1289" s="2"/>
      <c r="BY1289" s="2">
        <v>1200</v>
      </c>
      <c r="BZ1289" s="2"/>
      <c r="CA1289" s="2" t="s">
        <v>129</v>
      </c>
      <c r="CB1289" s="2"/>
      <c r="CC1289" s="2" t="s">
        <v>120</v>
      </c>
      <c r="CD1289" s="2">
        <v>6230</v>
      </c>
      <c r="CE1289" s="2" t="s">
        <v>108</v>
      </c>
      <c r="CF1289" s="5">
        <v>42661</v>
      </c>
      <c r="CG1289" s="2"/>
      <c r="CH1289" s="2"/>
      <c r="CI1289" s="2">
        <v>1</v>
      </c>
      <c r="CJ1289" s="2">
        <v>1</v>
      </c>
      <c r="CK1289" s="2">
        <v>21</v>
      </c>
      <c r="CL1289" s="2" t="s">
        <v>88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"009932186815"</f>
        <v>009932186815</v>
      </c>
      <c r="F1290" s="3">
        <v>42657</v>
      </c>
      <c r="G1290" s="2">
        <v>201704</v>
      </c>
      <c r="H1290" s="2" t="s">
        <v>74</v>
      </c>
      <c r="I1290" s="2" t="s">
        <v>75</v>
      </c>
      <c r="J1290" s="2" t="s">
        <v>76</v>
      </c>
      <c r="K1290" s="2" t="s">
        <v>77</v>
      </c>
      <c r="L1290" s="2" t="s">
        <v>124</v>
      </c>
      <c r="M1290" s="2" t="s">
        <v>125</v>
      </c>
      <c r="N1290" s="2" t="s">
        <v>1618</v>
      </c>
      <c r="O1290" s="2" t="s">
        <v>96</v>
      </c>
      <c r="P1290" s="2" t="str">
        <f>"1162505842   REFER D N 08394  "</f>
        <v xml:space="preserve">1162505842   REFER D N 08394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3.32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234</v>
      </c>
      <c r="BF1290" s="2">
        <v>0</v>
      </c>
      <c r="BG1290" s="2">
        <v>0</v>
      </c>
      <c r="BH1290" s="2">
        <v>1</v>
      </c>
      <c r="BI1290" s="2">
        <v>0.6</v>
      </c>
      <c r="BJ1290" s="2">
        <v>1.3</v>
      </c>
      <c r="BK1290" s="2">
        <v>1.5</v>
      </c>
      <c r="BL1290" s="2">
        <v>274.76</v>
      </c>
      <c r="BM1290" s="2">
        <v>38.47</v>
      </c>
      <c r="BN1290" s="2">
        <v>313.23</v>
      </c>
      <c r="BO1290" s="2">
        <v>313.23</v>
      </c>
      <c r="BP1290" s="2" t="s">
        <v>1619</v>
      </c>
      <c r="BQ1290" s="2" t="s">
        <v>1620</v>
      </c>
      <c r="BR1290" s="2" t="s">
        <v>83</v>
      </c>
      <c r="BS1290" s="3">
        <v>42660</v>
      </c>
      <c r="BT1290" s="4">
        <v>0.39583333333333331</v>
      </c>
      <c r="BU1290" s="2" t="s">
        <v>1621</v>
      </c>
      <c r="BV1290" s="2" t="s">
        <v>88</v>
      </c>
      <c r="BW1290" s="2"/>
      <c r="BX1290" s="2"/>
      <c r="BY1290" s="2">
        <v>6513.36</v>
      </c>
      <c r="BZ1290" s="2" t="s">
        <v>1622</v>
      </c>
      <c r="CA1290" s="2"/>
      <c r="CB1290" s="2"/>
      <c r="CC1290" s="2" t="s">
        <v>125</v>
      </c>
      <c r="CD1290" s="2">
        <v>7140</v>
      </c>
      <c r="CE1290" s="2" t="s">
        <v>86</v>
      </c>
      <c r="CF1290" s="5">
        <v>42661</v>
      </c>
      <c r="CG1290" s="2"/>
      <c r="CH1290" s="2"/>
      <c r="CI1290" s="2">
        <v>1</v>
      </c>
      <c r="CJ1290" s="2">
        <v>3</v>
      </c>
      <c r="CK1290" s="2">
        <v>21</v>
      </c>
      <c r="CL1290" s="2" t="s">
        <v>88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"FES1162506870"</f>
        <v>FES1162506870</v>
      </c>
      <c r="F1291" s="3">
        <v>42657</v>
      </c>
      <c r="G1291" s="2">
        <v>201704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160</v>
      </c>
      <c r="M1291" s="2" t="s">
        <v>161</v>
      </c>
      <c r="N1291" s="2" t="s">
        <v>179</v>
      </c>
      <c r="O1291" s="2" t="s">
        <v>96</v>
      </c>
      <c r="P1291" s="2" t="str">
        <f>"2170530401                    "</f>
        <v xml:space="preserve">2170530401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7.46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4.5</v>
      </c>
      <c r="BJ1291" s="2">
        <v>1.5</v>
      </c>
      <c r="BK1291" s="2">
        <v>4.5</v>
      </c>
      <c r="BL1291" s="2">
        <v>91.7</v>
      </c>
      <c r="BM1291" s="2">
        <v>12.84</v>
      </c>
      <c r="BN1291" s="2">
        <v>104.54</v>
      </c>
      <c r="BO1291" s="2">
        <v>104.54</v>
      </c>
      <c r="BP1291" s="2"/>
      <c r="BQ1291" s="2" t="s">
        <v>180</v>
      </c>
      <c r="BR1291" s="2" t="s">
        <v>83</v>
      </c>
      <c r="BS1291" s="3">
        <v>42660</v>
      </c>
      <c r="BT1291" s="4">
        <v>0.41666666666666669</v>
      </c>
      <c r="BU1291" s="2" t="s">
        <v>1623</v>
      </c>
      <c r="BV1291" s="2" t="s">
        <v>85</v>
      </c>
      <c r="BW1291" s="2"/>
      <c r="BX1291" s="2"/>
      <c r="BY1291" s="2">
        <v>7588.36</v>
      </c>
      <c r="BZ1291" s="2"/>
      <c r="CA1291" s="2" t="s">
        <v>129</v>
      </c>
      <c r="CB1291" s="2"/>
      <c r="CC1291" s="2" t="s">
        <v>161</v>
      </c>
      <c r="CD1291" s="2">
        <v>7405</v>
      </c>
      <c r="CE1291" s="2" t="s">
        <v>86</v>
      </c>
      <c r="CF1291" s="5">
        <v>42661</v>
      </c>
      <c r="CG1291" s="2"/>
      <c r="CH1291" s="2"/>
      <c r="CI1291" s="2">
        <v>1</v>
      </c>
      <c r="CJ1291" s="2">
        <v>1</v>
      </c>
      <c r="CK1291" s="2">
        <v>21</v>
      </c>
      <c r="CL1291" s="2" t="s">
        <v>88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"FES1162506888"</f>
        <v>FES1162506888</v>
      </c>
      <c r="F1292" s="3">
        <v>42657</v>
      </c>
      <c r="G1292" s="2">
        <v>201704</v>
      </c>
      <c r="H1292" s="2" t="s">
        <v>74</v>
      </c>
      <c r="I1292" s="2" t="s">
        <v>75</v>
      </c>
      <c r="J1292" s="2" t="s">
        <v>76</v>
      </c>
      <c r="K1292" s="2" t="s">
        <v>77</v>
      </c>
      <c r="L1292" s="2" t="s">
        <v>160</v>
      </c>
      <c r="M1292" s="2" t="s">
        <v>161</v>
      </c>
      <c r="N1292" s="2" t="s">
        <v>1624</v>
      </c>
      <c r="O1292" s="2" t="s">
        <v>96</v>
      </c>
      <c r="P1292" s="2" t="str">
        <f>"2170530283                    "</f>
        <v xml:space="preserve">2170530283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11.61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7</v>
      </c>
      <c r="BJ1292" s="2">
        <v>2</v>
      </c>
      <c r="BK1292" s="2">
        <v>7</v>
      </c>
      <c r="BL1292" s="2">
        <v>142.65</v>
      </c>
      <c r="BM1292" s="2">
        <v>19.97</v>
      </c>
      <c r="BN1292" s="2">
        <v>162.62</v>
      </c>
      <c r="BO1292" s="2">
        <v>162.62</v>
      </c>
      <c r="BP1292" s="2"/>
      <c r="BQ1292" s="2" t="s">
        <v>1625</v>
      </c>
      <c r="BR1292" s="2" t="s">
        <v>83</v>
      </c>
      <c r="BS1292" s="3">
        <v>42660</v>
      </c>
      <c r="BT1292" s="4">
        <v>0.375</v>
      </c>
      <c r="BU1292" s="2" t="s">
        <v>1626</v>
      </c>
      <c r="BV1292" s="2" t="s">
        <v>85</v>
      </c>
      <c r="BW1292" s="2"/>
      <c r="BX1292" s="2"/>
      <c r="BY1292" s="2">
        <v>9900</v>
      </c>
      <c r="BZ1292" s="2"/>
      <c r="CA1292" s="2"/>
      <c r="CB1292" s="2"/>
      <c r="CC1292" s="2" t="s">
        <v>161</v>
      </c>
      <c r="CD1292" s="2">
        <v>7945</v>
      </c>
      <c r="CE1292" s="2" t="s">
        <v>86</v>
      </c>
      <c r="CF1292" s="5">
        <v>42661</v>
      </c>
      <c r="CG1292" s="2"/>
      <c r="CH1292" s="2"/>
      <c r="CI1292" s="2">
        <v>1</v>
      </c>
      <c r="CJ1292" s="2">
        <v>1</v>
      </c>
      <c r="CK1292" s="2">
        <v>21</v>
      </c>
      <c r="CL1292" s="2" t="s">
        <v>88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"FES1162506878"</f>
        <v>FES1162506878</v>
      </c>
      <c r="F1293" s="3">
        <v>42657</v>
      </c>
      <c r="G1293" s="2">
        <v>201704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160</v>
      </c>
      <c r="M1293" s="2" t="s">
        <v>161</v>
      </c>
      <c r="N1293" s="2" t="s">
        <v>994</v>
      </c>
      <c r="O1293" s="2" t="s">
        <v>96</v>
      </c>
      <c r="P1293" s="2" t="str">
        <f>"2170530416                    "</f>
        <v xml:space="preserve">2170530416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3.32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1</v>
      </c>
      <c r="BK1293" s="2">
        <v>1</v>
      </c>
      <c r="BL1293" s="2">
        <v>40.76</v>
      </c>
      <c r="BM1293" s="2">
        <v>5.71</v>
      </c>
      <c r="BN1293" s="2">
        <v>46.47</v>
      </c>
      <c r="BO1293" s="2">
        <v>46.47</v>
      </c>
      <c r="BP1293" s="2"/>
      <c r="BQ1293" s="2" t="s">
        <v>1627</v>
      </c>
      <c r="BR1293" s="2" t="s">
        <v>83</v>
      </c>
      <c r="BS1293" s="3">
        <v>42660</v>
      </c>
      <c r="BT1293" s="4">
        <v>0.43472222222222223</v>
      </c>
      <c r="BU1293" s="2" t="s">
        <v>245</v>
      </c>
      <c r="BV1293" s="2" t="s">
        <v>85</v>
      </c>
      <c r="BW1293" s="2"/>
      <c r="BX1293" s="2"/>
      <c r="BY1293" s="2">
        <v>4985.75</v>
      </c>
      <c r="BZ1293" s="2"/>
      <c r="CA1293" s="2"/>
      <c r="CB1293" s="2"/>
      <c r="CC1293" s="2" t="s">
        <v>161</v>
      </c>
      <c r="CD1293" s="2">
        <v>7580</v>
      </c>
      <c r="CE1293" s="2" t="s">
        <v>86</v>
      </c>
      <c r="CF1293" s="5">
        <v>42661</v>
      </c>
      <c r="CG1293" s="2"/>
      <c r="CH1293" s="2"/>
      <c r="CI1293" s="2">
        <v>1</v>
      </c>
      <c r="CJ1293" s="2">
        <v>1</v>
      </c>
      <c r="CK1293" s="2">
        <v>21</v>
      </c>
      <c r="CL1293" s="2" t="s">
        <v>88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"FES1162506879"</f>
        <v>FES1162506879</v>
      </c>
      <c r="F1294" s="3">
        <v>42657</v>
      </c>
      <c r="G1294" s="2">
        <v>201704</v>
      </c>
      <c r="H1294" s="2" t="s">
        <v>74</v>
      </c>
      <c r="I1294" s="2" t="s">
        <v>75</v>
      </c>
      <c r="J1294" s="2" t="s">
        <v>76</v>
      </c>
      <c r="K1294" s="2" t="s">
        <v>77</v>
      </c>
      <c r="L1294" s="2" t="s">
        <v>160</v>
      </c>
      <c r="M1294" s="2" t="s">
        <v>161</v>
      </c>
      <c r="N1294" s="2" t="s">
        <v>1150</v>
      </c>
      <c r="O1294" s="2" t="s">
        <v>96</v>
      </c>
      <c r="P1294" s="2" t="str">
        <f>"2170530417                    "</f>
        <v xml:space="preserve">2170530417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3.32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0.4</v>
      </c>
      <c r="BJ1294" s="2">
        <v>1.4</v>
      </c>
      <c r="BK1294" s="2">
        <v>1.5</v>
      </c>
      <c r="BL1294" s="2">
        <v>40.76</v>
      </c>
      <c r="BM1294" s="2">
        <v>5.71</v>
      </c>
      <c r="BN1294" s="2">
        <v>46.47</v>
      </c>
      <c r="BO1294" s="2">
        <v>46.47</v>
      </c>
      <c r="BP1294" s="2"/>
      <c r="BQ1294" s="2" t="s">
        <v>1151</v>
      </c>
      <c r="BR1294" s="2" t="s">
        <v>83</v>
      </c>
      <c r="BS1294" s="3">
        <v>42660</v>
      </c>
      <c r="BT1294" s="4">
        <v>0.34722222222222227</v>
      </c>
      <c r="BU1294" s="2" t="s">
        <v>1628</v>
      </c>
      <c r="BV1294" s="2" t="s">
        <v>85</v>
      </c>
      <c r="BW1294" s="2"/>
      <c r="BX1294" s="2"/>
      <c r="BY1294" s="2">
        <v>7227.26</v>
      </c>
      <c r="BZ1294" s="2"/>
      <c r="CA1294" s="2"/>
      <c r="CB1294" s="2"/>
      <c r="CC1294" s="2" t="s">
        <v>161</v>
      </c>
      <c r="CD1294" s="2">
        <v>7500</v>
      </c>
      <c r="CE1294" s="2" t="s">
        <v>108</v>
      </c>
      <c r="CF1294" s="5">
        <v>42661</v>
      </c>
      <c r="CG1294" s="2"/>
      <c r="CH1294" s="2"/>
      <c r="CI1294" s="2">
        <v>1</v>
      </c>
      <c r="CJ1294" s="2">
        <v>1</v>
      </c>
      <c r="CK1294" s="2">
        <v>21</v>
      </c>
      <c r="CL1294" s="2" t="s">
        <v>88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"FES1162506890"</f>
        <v>FES1162506890</v>
      </c>
      <c r="F1295" s="3">
        <v>42657</v>
      </c>
      <c r="G1295" s="2">
        <v>201704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260</v>
      </c>
      <c r="M1295" s="2" t="s">
        <v>261</v>
      </c>
      <c r="N1295" s="2" t="s">
        <v>665</v>
      </c>
      <c r="O1295" s="2" t="s">
        <v>96</v>
      </c>
      <c r="P1295" s="2" t="str">
        <f>"2170530433                    "</f>
        <v xml:space="preserve">2170530433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14.1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8.4</v>
      </c>
      <c r="BJ1295" s="2">
        <v>3.4</v>
      </c>
      <c r="BK1295" s="2">
        <v>8.5</v>
      </c>
      <c r="BL1295" s="2">
        <v>173.22</v>
      </c>
      <c r="BM1295" s="2">
        <v>24.25</v>
      </c>
      <c r="BN1295" s="2">
        <v>197.47</v>
      </c>
      <c r="BO1295" s="2">
        <v>197.47</v>
      </c>
      <c r="BP1295" s="2"/>
      <c r="BQ1295" s="2" t="s">
        <v>91</v>
      </c>
      <c r="BR1295" s="2" t="s">
        <v>83</v>
      </c>
      <c r="BS1295" s="3">
        <v>42660</v>
      </c>
      <c r="BT1295" s="4">
        <v>0.40138888888888885</v>
      </c>
      <c r="BU1295" s="2" t="s">
        <v>666</v>
      </c>
      <c r="BV1295" s="2" t="s">
        <v>85</v>
      </c>
      <c r="BW1295" s="2"/>
      <c r="BX1295" s="2"/>
      <c r="BY1295" s="2">
        <v>17000.14</v>
      </c>
      <c r="BZ1295" s="2"/>
      <c r="CA1295" s="2" t="s">
        <v>451</v>
      </c>
      <c r="CB1295" s="2"/>
      <c r="CC1295" s="2" t="s">
        <v>261</v>
      </c>
      <c r="CD1295" s="2">
        <v>6850</v>
      </c>
      <c r="CE1295" s="2" t="s">
        <v>86</v>
      </c>
      <c r="CF1295" s="5">
        <v>42660</v>
      </c>
      <c r="CG1295" s="2"/>
      <c r="CH1295" s="2"/>
      <c r="CI1295" s="2">
        <v>3</v>
      </c>
      <c r="CJ1295" s="2">
        <v>1</v>
      </c>
      <c r="CK1295" s="2">
        <v>21</v>
      </c>
      <c r="CL1295" s="2" t="s">
        <v>88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"FES1162506891"</f>
        <v>FES1162506891</v>
      </c>
      <c r="F1296" s="3">
        <v>42657</v>
      </c>
      <c r="G1296" s="2">
        <v>201704</v>
      </c>
      <c r="H1296" s="2" t="s">
        <v>74</v>
      </c>
      <c r="I1296" s="2" t="s">
        <v>75</v>
      </c>
      <c r="J1296" s="2" t="s">
        <v>76</v>
      </c>
      <c r="K1296" s="2" t="s">
        <v>77</v>
      </c>
      <c r="L1296" s="2" t="s">
        <v>153</v>
      </c>
      <c r="M1296" s="2" t="s">
        <v>153</v>
      </c>
      <c r="N1296" s="2" t="s">
        <v>200</v>
      </c>
      <c r="O1296" s="2" t="s">
        <v>96</v>
      </c>
      <c r="P1296" s="2" t="str">
        <f>"2170530434                    "</f>
        <v xml:space="preserve">2170530434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8.2899999999999991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4.9000000000000004</v>
      </c>
      <c r="BJ1296" s="2">
        <v>3.3</v>
      </c>
      <c r="BK1296" s="2">
        <v>5</v>
      </c>
      <c r="BL1296" s="2">
        <v>101.89</v>
      </c>
      <c r="BM1296" s="2">
        <v>14.26</v>
      </c>
      <c r="BN1296" s="2">
        <v>116.15</v>
      </c>
      <c r="BO1296" s="2">
        <v>116.15</v>
      </c>
      <c r="BP1296" s="2"/>
      <c r="BQ1296" s="2" t="s">
        <v>201</v>
      </c>
      <c r="BR1296" s="2" t="s">
        <v>83</v>
      </c>
      <c r="BS1296" s="3">
        <v>42660</v>
      </c>
      <c r="BT1296" s="4">
        <v>0.44305555555555554</v>
      </c>
      <c r="BU1296" s="2" t="s">
        <v>448</v>
      </c>
      <c r="BV1296" s="2" t="s">
        <v>85</v>
      </c>
      <c r="BW1296" s="2"/>
      <c r="BX1296" s="2"/>
      <c r="BY1296" s="2">
        <v>16695.82</v>
      </c>
      <c r="BZ1296" s="2"/>
      <c r="CA1296" s="2"/>
      <c r="CB1296" s="2"/>
      <c r="CC1296" s="2" t="s">
        <v>153</v>
      </c>
      <c r="CD1296" s="2">
        <v>7646</v>
      </c>
      <c r="CE1296" s="2" t="s">
        <v>108</v>
      </c>
      <c r="CF1296" s="5">
        <v>42661</v>
      </c>
      <c r="CG1296" s="2"/>
      <c r="CH1296" s="2"/>
      <c r="CI1296" s="2">
        <v>1</v>
      </c>
      <c r="CJ1296" s="2">
        <v>1</v>
      </c>
      <c r="CK1296" s="2">
        <v>21</v>
      </c>
      <c r="CL1296" s="2" t="s">
        <v>88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"FES1162506893"</f>
        <v>FES1162506893</v>
      </c>
      <c r="F1297" s="3">
        <v>42657</v>
      </c>
      <c r="G1297" s="2">
        <v>201704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153</v>
      </c>
      <c r="M1297" s="2" t="s">
        <v>153</v>
      </c>
      <c r="N1297" s="2" t="s">
        <v>200</v>
      </c>
      <c r="O1297" s="2" t="s">
        <v>96</v>
      </c>
      <c r="P1297" s="2" t="str">
        <f>"2170530440                    "</f>
        <v xml:space="preserve">2170530440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6.63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3.8</v>
      </c>
      <c r="BJ1297" s="2">
        <v>1.8</v>
      </c>
      <c r="BK1297" s="2">
        <v>4</v>
      </c>
      <c r="BL1297" s="2">
        <v>81.510000000000005</v>
      </c>
      <c r="BM1297" s="2">
        <v>11.41</v>
      </c>
      <c r="BN1297" s="2">
        <v>92.92</v>
      </c>
      <c r="BO1297" s="2">
        <v>92.92</v>
      </c>
      <c r="BP1297" s="2"/>
      <c r="BQ1297" s="2" t="s">
        <v>201</v>
      </c>
      <c r="BR1297" s="2" t="s">
        <v>83</v>
      </c>
      <c r="BS1297" s="3">
        <v>42660</v>
      </c>
      <c r="BT1297" s="4">
        <v>0.44305555555555554</v>
      </c>
      <c r="BU1297" s="2" t="s">
        <v>448</v>
      </c>
      <c r="BV1297" s="2" t="s">
        <v>85</v>
      </c>
      <c r="BW1297" s="2"/>
      <c r="BX1297" s="2"/>
      <c r="BY1297" s="2">
        <v>8970.56</v>
      </c>
      <c r="BZ1297" s="2"/>
      <c r="CA1297" s="2"/>
      <c r="CB1297" s="2"/>
      <c r="CC1297" s="2" t="s">
        <v>153</v>
      </c>
      <c r="CD1297" s="2">
        <v>7646</v>
      </c>
      <c r="CE1297" s="2" t="s">
        <v>86</v>
      </c>
      <c r="CF1297" s="5">
        <v>42661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88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"FES1162506895"</f>
        <v>FES1162506895</v>
      </c>
      <c r="F1298" s="3">
        <v>42657</v>
      </c>
      <c r="G1298" s="2">
        <v>201704</v>
      </c>
      <c r="H1298" s="2" t="s">
        <v>74</v>
      </c>
      <c r="I1298" s="2" t="s">
        <v>75</v>
      </c>
      <c r="J1298" s="2" t="s">
        <v>76</v>
      </c>
      <c r="K1298" s="2" t="s">
        <v>77</v>
      </c>
      <c r="L1298" s="2" t="s">
        <v>119</v>
      </c>
      <c r="M1298" s="2" t="s">
        <v>120</v>
      </c>
      <c r="N1298" s="2" t="s">
        <v>1517</v>
      </c>
      <c r="O1298" s="2" t="s">
        <v>96</v>
      </c>
      <c r="P1298" s="2" t="str">
        <f>"2170530443                    "</f>
        <v xml:space="preserve">2170530443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3.32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1</v>
      </c>
      <c r="BJ1298" s="2">
        <v>0.2</v>
      </c>
      <c r="BK1298" s="2">
        <v>1</v>
      </c>
      <c r="BL1298" s="2">
        <v>40.76</v>
      </c>
      <c r="BM1298" s="2">
        <v>5.71</v>
      </c>
      <c r="BN1298" s="2">
        <v>46.47</v>
      </c>
      <c r="BO1298" s="2">
        <v>46.47</v>
      </c>
      <c r="BP1298" s="2"/>
      <c r="BQ1298" s="2" t="s">
        <v>1518</v>
      </c>
      <c r="BR1298" s="2" t="s">
        <v>83</v>
      </c>
      <c r="BS1298" s="3">
        <v>42660</v>
      </c>
      <c r="BT1298" s="4">
        <v>0.40138888888888885</v>
      </c>
      <c r="BU1298" s="2" t="s">
        <v>1629</v>
      </c>
      <c r="BV1298" s="2" t="s">
        <v>85</v>
      </c>
      <c r="BW1298" s="2"/>
      <c r="BX1298" s="2"/>
      <c r="BY1298" s="2">
        <v>1200</v>
      </c>
      <c r="BZ1298" s="2"/>
      <c r="CA1298" s="2" t="s">
        <v>129</v>
      </c>
      <c r="CB1298" s="2"/>
      <c r="CC1298" s="2" t="s">
        <v>120</v>
      </c>
      <c r="CD1298" s="2">
        <v>6229</v>
      </c>
      <c r="CE1298" s="2" t="s">
        <v>108</v>
      </c>
      <c r="CF1298" s="5">
        <v>42661</v>
      </c>
      <c r="CG1298" s="2"/>
      <c r="CH1298" s="2"/>
      <c r="CI1298" s="2">
        <v>1</v>
      </c>
      <c r="CJ1298" s="2">
        <v>1</v>
      </c>
      <c r="CK1298" s="2">
        <v>21</v>
      </c>
      <c r="CL1298" s="2" t="s">
        <v>88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"FES1162506877"</f>
        <v>FES1162506877</v>
      </c>
      <c r="F1299" s="3">
        <v>42657</v>
      </c>
      <c r="G1299" s="2">
        <v>201704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148</v>
      </c>
      <c r="M1299" s="2" t="s">
        <v>149</v>
      </c>
      <c r="N1299" s="2" t="s">
        <v>815</v>
      </c>
      <c r="O1299" s="2" t="s">
        <v>96</v>
      </c>
      <c r="P1299" s="2" t="str">
        <f>"2170530415                    "</f>
        <v xml:space="preserve">2170530415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3.32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</v>
      </c>
      <c r="BJ1299" s="2">
        <v>0.2</v>
      </c>
      <c r="BK1299" s="2">
        <v>1</v>
      </c>
      <c r="BL1299" s="2">
        <v>40.76</v>
      </c>
      <c r="BM1299" s="2">
        <v>5.71</v>
      </c>
      <c r="BN1299" s="2">
        <v>46.47</v>
      </c>
      <c r="BO1299" s="2">
        <v>46.47</v>
      </c>
      <c r="BP1299" s="2"/>
      <c r="BQ1299" s="2" t="s">
        <v>91</v>
      </c>
      <c r="BR1299" s="2" t="s">
        <v>83</v>
      </c>
      <c r="BS1299" s="3">
        <v>42660</v>
      </c>
      <c r="BT1299" s="4">
        <v>0.4375</v>
      </c>
      <c r="BU1299" s="2" t="s">
        <v>816</v>
      </c>
      <c r="BV1299" s="2" t="s">
        <v>85</v>
      </c>
      <c r="BW1299" s="2"/>
      <c r="BX1299" s="2"/>
      <c r="BY1299" s="2">
        <v>1200</v>
      </c>
      <c r="BZ1299" s="2"/>
      <c r="CA1299" s="2"/>
      <c r="CB1299" s="2"/>
      <c r="CC1299" s="2" t="s">
        <v>149</v>
      </c>
      <c r="CD1299" s="2">
        <v>4068</v>
      </c>
      <c r="CE1299" s="2" t="s">
        <v>108</v>
      </c>
      <c r="CF1299" s="5">
        <v>42661</v>
      </c>
      <c r="CG1299" s="2"/>
      <c r="CH1299" s="2"/>
      <c r="CI1299" s="2">
        <v>1</v>
      </c>
      <c r="CJ1299" s="2">
        <v>1</v>
      </c>
      <c r="CK1299" s="2">
        <v>21</v>
      </c>
      <c r="CL1299" s="2" t="s">
        <v>88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"FES1162506874"</f>
        <v>FES1162506874</v>
      </c>
      <c r="F1300" s="3">
        <v>42657</v>
      </c>
      <c r="G1300" s="2">
        <v>201704</v>
      </c>
      <c r="H1300" s="2" t="s">
        <v>74</v>
      </c>
      <c r="I1300" s="2" t="s">
        <v>75</v>
      </c>
      <c r="J1300" s="2" t="s">
        <v>76</v>
      </c>
      <c r="K1300" s="2" t="s">
        <v>77</v>
      </c>
      <c r="L1300" s="2" t="s">
        <v>137</v>
      </c>
      <c r="M1300" s="2" t="s">
        <v>138</v>
      </c>
      <c r="N1300" s="2" t="s">
        <v>203</v>
      </c>
      <c r="O1300" s="2" t="s">
        <v>96</v>
      </c>
      <c r="P1300" s="2" t="str">
        <f>"2170530407                    "</f>
        <v xml:space="preserve">2170530407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3.32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1</v>
      </c>
      <c r="BJ1300" s="2">
        <v>0.2</v>
      </c>
      <c r="BK1300" s="2">
        <v>1</v>
      </c>
      <c r="BL1300" s="2">
        <v>40.76</v>
      </c>
      <c r="BM1300" s="2">
        <v>5.71</v>
      </c>
      <c r="BN1300" s="2">
        <v>46.47</v>
      </c>
      <c r="BO1300" s="2">
        <v>46.47</v>
      </c>
      <c r="BP1300" s="2"/>
      <c r="BQ1300" s="2" t="s">
        <v>168</v>
      </c>
      <c r="BR1300" s="2" t="s">
        <v>83</v>
      </c>
      <c r="BS1300" s="3">
        <v>42660</v>
      </c>
      <c r="BT1300" s="4">
        <v>0.36458333333333331</v>
      </c>
      <c r="BU1300" s="2" t="s">
        <v>768</v>
      </c>
      <c r="BV1300" s="2"/>
      <c r="BW1300" s="2"/>
      <c r="BX1300" s="2"/>
      <c r="BY1300" s="2">
        <v>1200</v>
      </c>
      <c r="BZ1300" s="2"/>
      <c r="CA1300" s="2" t="s">
        <v>613</v>
      </c>
      <c r="CB1300" s="2"/>
      <c r="CC1300" s="2" t="s">
        <v>138</v>
      </c>
      <c r="CD1300" s="2">
        <v>3201</v>
      </c>
      <c r="CE1300" s="2" t="s">
        <v>108</v>
      </c>
      <c r="CF1300" s="5">
        <v>42660</v>
      </c>
      <c r="CG1300" s="2"/>
      <c r="CH1300" s="2"/>
      <c r="CI1300" s="2">
        <v>0</v>
      </c>
      <c r="CJ1300" s="2">
        <v>0</v>
      </c>
      <c r="CK1300" s="2">
        <v>21</v>
      </c>
      <c r="CL1300" s="2" t="s">
        <v>88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"FES1162506860"</f>
        <v>FES1162506860</v>
      </c>
      <c r="F1301" s="3">
        <v>42657</v>
      </c>
      <c r="G1301" s="2">
        <v>201704</v>
      </c>
      <c r="H1301" s="2" t="s">
        <v>74</v>
      </c>
      <c r="I1301" s="2" t="s">
        <v>75</v>
      </c>
      <c r="J1301" s="2" t="s">
        <v>76</v>
      </c>
      <c r="K1301" s="2" t="s">
        <v>77</v>
      </c>
      <c r="L1301" s="2" t="s">
        <v>269</v>
      </c>
      <c r="M1301" s="2" t="s">
        <v>270</v>
      </c>
      <c r="N1301" s="2" t="s">
        <v>804</v>
      </c>
      <c r="O1301" s="2" t="s">
        <v>96</v>
      </c>
      <c r="P1301" s="2" t="str">
        <f>"2170530388                    "</f>
        <v xml:space="preserve">2170530388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3.32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1.6</v>
      </c>
      <c r="BJ1301" s="2">
        <v>1</v>
      </c>
      <c r="BK1301" s="2">
        <v>2</v>
      </c>
      <c r="BL1301" s="2">
        <v>40.76</v>
      </c>
      <c r="BM1301" s="2">
        <v>5.71</v>
      </c>
      <c r="BN1301" s="2">
        <v>46.47</v>
      </c>
      <c r="BO1301" s="2">
        <v>46.47</v>
      </c>
      <c r="BP1301" s="2"/>
      <c r="BQ1301" s="2" t="s">
        <v>805</v>
      </c>
      <c r="BR1301" s="2" t="s">
        <v>83</v>
      </c>
      <c r="BS1301" s="3">
        <v>42660</v>
      </c>
      <c r="BT1301" s="4">
        <v>0.31388888888888888</v>
      </c>
      <c r="BU1301" s="2" t="s">
        <v>806</v>
      </c>
      <c r="BV1301" s="2" t="s">
        <v>85</v>
      </c>
      <c r="BW1301" s="2"/>
      <c r="BX1301" s="2"/>
      <c r="BY1301" s="2">
        <v>5115.47</v>
      </c>
      <c r="BZ1301" s="2"/>
      <c r="CA1301" s="2"/>
      <c r="CB1301" s="2"/>
      <c r="CC1301" s="2" t="s">
        <v>270</v>
      </c>
      <c r="CD1301" s="2">
        <v>3610</v>
      </c>
      <c r="CE1301" s="2" t="s">
        <v>86</v>
      </c>
      <c r="CF1301" s="5">
        <v>42661</v>
      </c>
      <c r="CG1301" s="2"/>
      <c r="CH1301" s="2"/>
      <c r="CI1301" s="2">
        <v>1</v>
      </c>
      <c r="CJ1301" s="2">
        <v>1</v>
      </c>
      <c r="CK1301" s="2">
        <v>21</v>
      </c>
      <c r="CL1301" s="2" t="s">
        <v>88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"FES1162506852"</f>
        <v>FES1162506852</v>
      </c>
      <c r="F1302" s="3">
        <v>42657</v>
      </c>
      <c r="G1302" s="2">
        <v>201704</v>
      </c>
      <c r="H1302" s="2" t="s">
        <v>74</v>
      </c>
      <c r="I1302" s="2" t="s">
        <v>75</v>
      </c>
      <c r="J1302" s="2" t="s">
        <v>76</v>
      </c>
      <c r="K1302" s="2" t="s">
        <v>77</v>
      </c>
      <c r="L1302" s="2" t="s">
        <v>148</v>
      </c>
      <c r="M1302" s="2" t="s">
        <v>149</v>
      </c>
      <c r="N1302" s="2" t="s">
        <v>815</v>
      </c>
      <c r="O1302" s="2" t="s">
        <v>96</v>
      </c>
      <c r="P1302" s="2" t="str">
        <f>"2170530380                    "</f>
        <v xml:space="preserve">2170530380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3.32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0.8</v>
      </c>
      <c r="BJ1302" s="2">
        <v>1.6</v>
      </c>
      <c r="BK1302" s="2">
        <v>2</v>
      </c>
      <c r="BL1302" s="2">
        <v>40.76</v>
      </c>
      <c r="BM1302" s="2">
        <v>5.71</v>
      </c>
      <c r="BN1302" s="2">
        <v>46.47</v>
      </c>
      <c r="BO1302" s="2">
        <v>46.47</v>
      </c>
      <c r="BP1302" s="2"/>
      <c r="BQ1302" s="2" t="s">
        <v>91</v>
      </c>
      <c r="BR1302" s="2" t="s">
        <v>83</v>
      </c>
      <c r="BS1302" s="3">
        <v>42660</v>
      </c>
      <c r="BT1302" s="4">
        <v>0.4375</v>
      </c>
      <c r="BU1302" s="2" t="s">
        <v>816</v>
      </c>
      <c r="BV1302" s="2" t="s">
        <v>85</v>
      </c>
      <c r="BW1302" s="2"/>
      <c r="BX1302" s="2"/>
      <c r="BY1302" s="2">
        <v>8143.13</v>
      </c>
      <c r="BZ1302" s="2"/>
      <c r="CA1302" s="2"/>
      <c r="CB1302" s="2"/>
      <c r="CC1302" s="2" t="s">
        <v>149</v>
      </c>
      <c r="CD1302" s="2">
        <v>4068</v>
      </c>
      <c r="CE1302" s="2" t="s">
        <v>86</v>
      </c>
      <c r="CF1302" s="5">
        <v>42661</v>
      </c>
      <c r="CG1302" s="2"/>
      <c r="CH1302" s="2"/>
      <c r="CI1302" s="2">
        <v>1</v>
      </c>
      <c r="CJ1302" s="2">
        <v>1</v>
      </c>
      <c r="CK1302" s="2">
        <v>21</v>
      </c>
      <c r="CL1302" s="2" t="s">
        <v>88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"FES1162506858"</f>
        <v>FES1162506858</v>
      </c>
      <c r="F1303" s="3">
        <v>42657</v>
      </c>
      <c r="G1303" s="2">
        <v>201704</v>
      </c>
      <c r="H1303" s="2" t="s">
        <v>74</v>
      </c>
      <c r="I1303" s="2" t="s">
        <v>75</v>
      </c>
      <c r="J1303" s="2" t="s">
        <v>76</v>
      </c>
      <c r="K1303" s="2" t="s">
        <v>77</v>
      </c>
      <c r="L1303" s="2" t="s">
        <v>260</v>
      </c>
      <c r="M1303" s="2" t="s">
        <v>261</v>
      </c>
      <c r="N1303" s="2" t="s">
        <v>347</v>
      </c>
      <c r="O1303" s="2" t="s">
        <v>96</v>
      </c>
      <c r="P1303" s="2" t="str">
        <f>"2170530386                    "</f>
        <v xml:space="preserve">2170530386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9.9499999999999993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6</v>
      </c>
      <c r="BJ1303" s="2">
        <v>3.4</v>
      </c>
      <c r="BK1303" s="2">
        <v>6</v>
      </c>
      <c r="BL1303" s="2">
        <v>122.27</v>
      </c>
      <c r="BM1303" s="2">
        <v>17.12</v>
      </c>
      <c r="BN1303" s="2">
        <v>139.38999999999999</v>
      </c>
      <c r="BO1303" s="2">
        <v>139.38999999999999</v>
      </c>
      <c r="BP1303" s="2"/>
      <c r="BQ1303" s="2" t="s">
        <v>91</v>
      </c>
      <c r="BR1303" s="2" t="s">
        <v>83</v>
      </c>
      <c r="BS1303" s="3">
        <v>42660</v>
      </c>
      <c r="BT1303" s="4">
        <v>0.39652777777777781</v>
      </c>
      <c r="BU1303" s="2" t="s">
        <v>1630</v>
      </c>
      <c r="BV1303" s="2" t="s">
        <v>85</v>
      </c>
      <c r="BW1303" s="2"/>
      <c r="BX1303" s="2"/>
      <c r="BY1303" s="2">
        <v>16931.330000000002</v>
      </c>
      <c r="BZ1303" s="2"/>
      <c r="CA1303" s="2" t="s">
        <v>451</v>
      </c>
      <c r="CB1303" s="2"/>
      <c r="CC1303" s="2" t="s">
        <v>261</v>
      </c>
      <c r="CD1303" s="2">
        <v>6850</v>
      </c>
      <c r="CE1303" s="2" t="s">
        <v>86</v>
      </c>
      <c r="CF1303" s="5">
        <v>42660</v>
      </c>
      <c r="CG1303" s="2"/>
      <c r="CH1303" s="2"/>
      <c r="CI1303" s="2">
        <v>3</v>
      </c>
      <c r="CJ1303" s="2">
        <v>1</v>
      </c>
      <c r="CK1303" s="2">
        <v>21</v>
      </c>
      <c r="CL1303" s="2" t="s">
        <v>88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"FES1162506857"</f>
        <v>FES1162506857</v>
      </c>
      <c r="F1304" s="3">
        <v>42657</v>
      </c>
      <c r="G1304" s="2">
        <v>201704</v>
      </c>
      <c r="H1304" s="2" t="s">
        <v>74</v>
      </c>
      <c r="I1304" s="2" t="s">
        <v>75</v>
      </c>
      <c r="J1304" s="2" t="s">
        <v>76</v>
      </c>
      <c r="K1304" s="2" t="s">
        <v>77</v>
      </c>
      <c r="L1304" s="2" t="s">
        <v>148</v>
      </c>
      <c r="M1304" s="2" t="s">
        <v>149</v>
      </c>
      <c r="N1304" s="2" t="s">
        <v>233</v>
      </c>
      <c r="O1304" s="2" t="s">
        <v>96</v>
      </c>
      <c r="P1304" s="2" t="str">
        <f>"2170530286                    "</f>
        <v xml:space="preserve">2170530286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3.32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0.8</v>
      </c>
      <c r="BJ1304" s="2">
        <v>1.5</v>
      </c>
      <c r="BK1304" s="2">
        <v>1.5</v>
      </c>
      <c r="BL1304" s="2">
        <v>40.76</v>
      </c>
      <c r="BM1304" s="2">
        <v>5.71</v>
      </c>
      <c r="BN1304" s="2">
        <v>46.47</v>
      </c>
      <c r="BO1304" s="2">
        <v>46.47</v>
      </c>
      <c r="BP1304" s="2"/>
      <c r="BQ1304" s="2" t="s">
        <v>234</v>
      </c>
      <c r="BR1304" s="2" t="s">
        <v>83</v>
      </c>
      <c r="BS1304" s="3">
        <v>42660</v>
      </c>
      <c r="BT1304" s="4">
        <v>0.4375</v>
      </c>
      <c r="BU1304" s="2" t="s">
        <v>1631</v>
      </c>
      <c r="BV1304" s="2"/>
      <c r="BW1304" s="2"/>
      <c r="BX1304" s="2"/>
      <c r="BY1304" s="2">
        <v>7405.09</v>
      </c>
      <c r="BZ1304" s="2"/>
      <c r="CA1304" s="2"/>
      <c r="CB1304" s="2"/>
      <c r="CC1304" s="2" t="s">
        <v>149</v>
      </c>
      <c r="CD1304" s="2">
        <v>4001</v>
      </c>
      <c r="CE1304" s="2" t="s">
        <v>108</v>
      </c>
      <c r="CF1304" s="5">
        <v>42661</v>
      </c>
      <c r="CG1304" s="2"/>
      <c r="CH1304" s="2"/>
      <c r="CI1304" s="2">
        <v>0</v>
      </c>
      <c r="CJ1304" s="2">
        <v>0</v>
      </c>
      <c r="CK1304" s="2">
        <v>21</v>
      </c>
      <c r="CL1304" s="2" t="s">
        <v>88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"FES1162506861"</f>
        <v>FES1162506861</v>
      </c>
      <c r="F1305" s="3">
        <v>42657</v>
      </c>
      <c r="G1305" s="2">
        <v>201704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286</v>
      </c>
      <c r="M1305" s="2" t="s">
        <v>287</v>
      </c>
      <c r="N1305" s="2" t="s">
        <v>673</v>
      </c>
      <c r="O1305" s="2" t="s">
        <v>96</v>
      </c>
      <c r="P1305" s="2" t="str">
        <f>"2170530390                    "</f>
        <v xml:space="preserve">2170530390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3.32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0.8</v>
      </c>
      <c r="BJ1305" s="2">
        <v>1.4</v>
      </c>
      <c r="BK1305" s="2">
        <v>1.5</v>
      </c>
      <c r="BL1305" s="2">
        <v>40.76</v>
      </c>
      <c r="BM1305" s="2">
        <v>5.71</v>
      </c>
      <c r="BN1305" s="2">
        <v>46.47</v>
      </c>
      <c r="BO1305" s="2">
        <v>46.47</v>
      </c>
      <c r="BP1305" s="2"/>
      <c r="BQ1305" s="2" t="s">
        <v>674</v>
      </c>
      <c r="BR1305" s="2" t="s">
        <v>83</v>
      </c>
      <c r="BS1305" s="3">
        <v>42660</v>
      </c>
      <c r="BT1305" s="4">
        <v>0.41666666666666669</v>
      </c>
      <c r="BU1305" s="2" t="s">
        <v>1191</v>
      </c>
      <c r="BV1305" s="2" t="s">
        <v>85</v>
      </c>
      <c r="BW1305" s="2"/>
      <c r="BX1305" s="2"/>
      <c r="BY1305" s="2">
        <v>6814.62</v>
      </c>
      <c r="BZ1305" s="2"/>
      <c r="CA1305" s="2" t="s">
        <v>129</v>
      </c>
      <c r="CB1305" s="2"/>
      <c r="CC1305" s="2" t="s">
        <v>287</v>
      </c>
      <c r="CD1305" s="2">
        <v>1947</v>
      </c>
      <c r="CE1305" s="2" t="s">
        <v>108</v>
      </c>
      <c r="CF1305" s="5">
        <v>42662</v>
      </c>
      <c r="CG1305" s="2"/>
      <c r="CH1305" s="2"/>
      <c r="CI1305" s="2">
        <v>1</v>
      </c>
      <c r="CJ1305" s="2">
        <v>1</v>
      </c>
      <c r="CK1305" s="2">
        <v>21</v>
      </c>
      <c r="CL1305" s="2" t="s">
        <v>88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"FES1162506880"</f>
        <v>FES1162506880</v>
      </c>
      <c r="F1306" s="3">
        <v>42657</v>
      </c>
      <c r="G1306" s="2">
        <v>201704</v>
      </c>
      <c r="H1306" s="2" t="s">
        <v>74</v>
      </c>
      <c r="I1306" s="2" t="s">
        <v>75</v>
      </c>
      <c r="J1306" s="2" t="s">
        <v>76</v>
      </c>
      <c r="K1306" s="2" t="s">
        <v>77</v>
      </c>
      <c r="L1306" s="2" t="s">
        <v>119</v>
      </c>
      <c r="M1306" s="2" t="s">
        <v>120</v>
      </c>
      <c r="N1306" s="2" t="s">
        <v>1632</v>
      </c>
      <c r="O1306" s="2" t="s">
        <v>96</v>
      </c>
      <c r="P1306" s="2" t="str">
        <f>"2170530419                    "</f>
        <v xml:space="preserve">2170530419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3.32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40.76</v>
      </c>
      <c r="BM1306" s="2">
        <v>5.71</v>
      </c>
      <c r="BN1306" s="2">
        <v>46.47</v>
      </c>
      <c r="BO1306" s="2">
        <v>46.47</v>
      </c>
      <c r="BP1306" s="2"/>
      <c r="BQ1306" s="2" t="s">
        <v>1633</v>
      </c>
      <c r="BR1306" s="2" t="s">
        <v>83</v>
      </c>
      <c r="BS1306" s="3">
        <v>42660</v>
      </c>
      <c r="BT1306" s="4">
        <v>0.39027777777777778</v>
      </c>
      <c r="BU1306" s="2" t="s">
        <v>1634</v>
      </c>
      <c r="BV1306" s="2" t="s">
        <v>85</v>
      </c>
      <c r="BW1306" s="2"/>
      <c r="BX1306" s="2"/>
      <c r="BY1306" s="2">
        <v>1200</v>
      </c>
      <c r="BZ1306" s="2"/>
      <c r="CA1306" s="2" t="s">
        <v>129</v>
      </c>
      <c r="CB1306" s="2"/>
      <c r="CC1306" s="2" t="s">
        <v>120</v>
      </c>
      <c r="CD1306" s="2">
        <v>6229</v>
      </c>
      <c r="CE1306" s="2" t="s">
        <v>108</v>
      </c>
      <c r="CF1306" s="5">
        <v>42661</v>
      </c>
      <c r="CG1306" s="2"/>
      <c r="CH1306" s="2"/>
      <c r="CI1306" s="2">
        <v>1</v>
      </c>
      <c r="CJ1306" s="2">
        <v>1</v>
      </c>
      <c r="CK1306" s="2">
        <v>21</v>
      </c>
      <c r="CL1306" s="2" t="s">
        <v>88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"FES1162506869"</f>
        <v>FES1162506869</v>
      </c>
      <c r="F1307" s="3">
        <v>42657</v>
      </c>
      <c r="G1307" s="2">
        <v>201704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98</v>
      </c>
      <c r="M1307" s="2" t="s">
        <v>99</v>
      </c>
      <c r="N1307" s="2" t="s">
        <v>133</v>
      </c>
      <c r="O1307" s="2" t="s">
        <v>96</v>
      </c>
      <c r="P1307" s="2" t="str">
        <f>"2170530400                    "</f>
        <v xml:space="preserve">2170530400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8.2899999999999991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4</v>
      </c>
      <c r="BJ1307" s="2">
        <v>4.9000000000000004</v>
      </c>
      <c r="BK1307" s="2">
        <v>5</v>
      </c>
      <c r="BL1307" s="2">
        <v>101.89</v>
      </c>
      <c r="BM1307" s="2">
        <v>14.26</v>
      </c>
      <c r="BN1307" s="2">
        <v>116.15</v>
      </c>
      <c r="BO1307" s="2">
        <v>116.15</v>
      </c>
      <c r="BP1307" s="2"/>
      <c r="BQ1307" s="2" t="s">
        <v>134</v>
      </c>
      <c r="BR1307" s="2" t="s">
        <v>83</v>
      </c>
      <c r="BS1307" s="3">
        <v>42660</v>
      </c>
      <c r="BT1307" s="4">
        <v>0.41666666666666669</v>
      </c>
      <c r="BU1307" s="2" t="s">
        <v>1635</v>
      </c>
      <c r="BV1307" s="2" t="s">
        <v>85</v>
      </c>
      <c r="BW1307" s="2"/>
      <c r="BX1307" s="2"/>
      <c r="BY1307" s="2">
        <v>24576</v>
      </c>
      <c r="BZ1307" s="2"/>
      <c r="CA1307" s="2"/>
      <c r="CB1307" s="2"/>
      <c r="CC1307" s="2" t="s">
        <v>99</v>
      </c>
      <c r="CD1307" s="2">
        <v>6001</v>
      </c>
      <c r="CE1307" s="2" t="s">
        <v>86</v>
      </c>
      <c r="CF1307" s="5">
        <v>42661</v>
      </c>
      <c r="CG1307" s="2"/>
      <c r="CH1307" s="2"/>
      <c r="CI1307" s="2">
        <v>1</v>
      </c>
      <c r="CJ1307" s="2">
        <v>1</v>
      </c>
      <c r="CK1307" s="2">
        <v>21</v>
      </c>
      <c r="CL1307" s="2" t="s">
        <v>88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"FES1162506812"</f>
        <v>FES1162506812</v>
      </c>
      <c r="F1308" s="3">
        <v>42657</v>
      </c>
      <c r="G1308" s="2">
        <v>201704</v>
      </c>
      <c r="H1308" s="2" t="s">
        <v>74</v>
      </c>
      <c r="I1308" s="2" t="s">
        <v>75</v>
      </c>
      <c r="J1308" s="2" t="s">
        <v>76</v>
      </c>
      <c r="K1308" s="2" t="s">
        <v>77</v>
      </c>
      <c r="L1308" s="2" t="s">
        <v>93</v>
      </c>
      <c r="M1308" s="2" t="s">
        <v>94</v>
      </c>
      <c r="N1308" s="2" t="s">
        <v>536</v>
      </c>
      <c r="O1308" s="2" t="s">
        <v>96</v>
      </c>
      <c r="P1308" s="2" t="str">
        <f>"2170530334                    "</f>
        <v xml:space="preserve">2170530334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7.46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4.2</v>
      </c>
      <c r="BJ1308" s="2">
        <v>1.4</v>
      </c>
      <c r="BK1308" s="2">
        <v>4.5</v>
      </c>
      <c r="BL1308" s="2">
        <v>91.7</v>
      </c>
      <c r="BM1308" s="2">
        <v>12.84</v>
      </c>
      <c r="BN1308" s="2">
        <v>104.54</v>
      </c>
      <c r="BO1308" s="2">
        <v>104.54</v>
      </c>
      <c r="BP1308" s="2"/>
      <c r="BQ1308" s="2" t="s">
        <v>537</v>
      </c>
      <c r="BR1308" s="2" t="s">
        <v>83</v>
      </c>
      <c r="BS1308" s="3">
        <v>42660</v>
      </c>
      <c r="BT1308" s="4">
        <v>0.4375</v>
      </c>
      <c r="BU1308" s="2" t="s">
        <v>1636</v>
      </c>
      <c r="BV1308" s="2" t="s">
        <v>85</v>
      </c>
      <c r="BW1308" s="2"/>
      <c r="BX1308" s="2"/>
      <c r="BY1308" s="2">
        <v>6905.05</v>
      </c>
      <c r="BZ1308" s="2"/>
      <c r="CA1308" s="2" t="s">
        <v>129</v>
      </c>
      <c r="CB1308" s="2"/>
      <c r="CC1308" s="2" t="s">
        <v>94</v>
      </c>
      <c r="CD1308" s="2">
        <v>4300</v>
      </c>
      <c r="CE1308" s="2" t="s">
        <v>368</v>
      </c>
      <c r="CF1308" s="5">
        <v>42661</v>
      </c>
      <c r="CG1308" s="2"/>
      <c r="CH1308" s="2"/>
      <c r="CI1308" s="2">
        <v>1</v>
      </c>
      <c r="CJ1308" s="2">
        <v>1</v>
      </c>
      <c r="CK1308" s="2">
        <v>21</v>
      </c>
      <c r="CL1308" s="2" t="s">
        <v>88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"FES1162506820"</f>
        <v>FES1162506820</v>
      </c>
      <c r="F1309" s="3">
        <v>42657</v>
      </c>
      <c r="G1309" s="2">
        <v>201704</v>
      </c>
      <c r="H1309" s="2" t="s">
        <v>74</v>
      </c>
      <c r="I1309" s="2" t="s">
        <v>75</v>
      </c>
      <c r="J1309" s="2" t="s">
        <v>76</v>
      </c>
      <c r="K1309" s="2" t="s">
        <v>77</v>
      </c>
      <c r="L1309" s="2" t="s">
        <v>160</v>
      </c>
      <c r="M1309" s="2" t="s">
        <v>161</v>
      </c>
      <c r="N1309" s="2" t="s">
        <v>267</v>
      </c>
      <c r="O1309" s="2" t="s">
        <v>96</v>
      </c>
      <c r="P1309" s="2" t="str">
        <f>"2170530308                    "</f>
        <v xml:space="preserve">2170530308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3.32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0.2</v>
      </c>
      <c r="BK1309" s="2">
        <v>1</v>
      </c>
      <c r="BL1309" s="2">
        <v>40.76</v>
      </c>
      <c r="BM1309" s="2">
        <v>5.71</v>
      </c>
      <c r="BN1309" s="2">
        <v>46.47</v>
      </c>
      <c r="BO1309" s="2">
        <v>46.47</v>
      </c>
      <c r="BP1309" s="2"/>
      <c r="BQ1309" s="2" t="s">
        <v>117</v>
      </c>
      <c r="BR1309" s="2" t="s">
        <v>83</v>
      </c>
      <c r="BS1309" s="3">
        <v>42660</v>
      </c>
      <c r="BT1309" s="4">
        <v>0.34027777777777773</v>
      </c>
      <c r="BU1309" s="2" t="s">
        <v>1637</v>
      </c>
      <c r="BV1309" s="2" t="s">
        <v>85</v>
      </c>
      <c r="BW1309" s="2"/>
      <c r="BX1309" s="2"/>
      <c r="BY1309" s="2">
        <v>1200</v>
      </c>
      <c r="BZ1309" s="2"/>
      <c r="CA1309" s="2"/>
      <c r="CB1309" s="2"/>
      <c r="CC1309" s="2" t="s">
        <v>161</v>
      </c>
      <c r="CD1309" s="2">
        <v>7441</v>
      </c>
      <c r="CE1309" s="2" t="s">
        <v>108</v>
      </c>
      <c r="CF1309" s="5">
        <v>42661</v>
      </c>
      <c r="CG1309" s="2"/>
      <c r="CH1309" s="2"/>
      <c r="CI1309" s="2">
        <v>1</v>
      </c>
      <c r="CJ1309" s="2">
        <v>1</v>
      </c>
      <c r="CK1309" s="2">
        <v>21</v>
      </c>
      <c r="CL1309" s="2" t="s">
        <v>88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"FES1162506834"</f>
        <v>FES1162506834</v>
      </c>
      <c r="F1310" s="3">
        <v>42657</v>
      </c>
      <c r="G1310" s="2">
        <v>201704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119</v>
      </c>
      <c r="M1310" s="2" t="s">
        <v>120</v>
      </c>
      <c r="N1310" s="2" t="s">
        <v>585</v>
      </c>
      <c r="O1310" s="2" t="s">
        <v>96</v>
      </c>
      <c r="P1310" s="2" t="str">
        <f>"2170530354                    "</f>
        <v xml:space="preserve">2170530354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3.32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1</v>
      </c>
      <c r="BJ1310" s="2">
        <v>0.2</v>
      </c>
      <c r="BK1310" s="2">
        <v>1</v>
      </c>
      <c r="BL1310" s="2">
        <v>40.76</v>
      </c>
      <c r="BM1310" s="2">
        <v>5.71</v>
      </c>
      <c r="BN1310" s="2">
        <v>46.47</v>
      </c>
      <c r="BO1310" s="2">
        <v>46.47</v>
      </c>
      <c r="BP1310" s="2"/>
      <c r="BQ1310" s="2" t="s">
        <v>586</v>
      </c>
      <c r="BR1310" s="2" t="s">
        <v>83</v>
      </c>
      <c r="BS1310" s="3">
        <v>42660</v>
      </c>
      <c r="BT1310" s="4">
        <v>0.38263888888888892</v>
      </c>
      <c r="BU1310" s="2" t="s">
        <v>1638</v>
      </c>
      <c r="BV1310" s="2" t="s">
        <v>85</v>
      </c>
      <c r="BW1310" s="2"/>
      <c r="BX1310" s="2"/>
      <c r="BY1310" s="2">
        <v>1200</v>
      </c>
      <c r="BZ1310" s="2"/>
      <c r="CA1310" s="2" t="s">
        <v>129</v>
      </c>
      <c r="CB1310" s="2"/>
      <c r="CC1310" s="2" t="s">
        <v>120</v>
      </c>
      <c r="CD1310" s="2">
        <v>6229</v>
      </c>
      <c r="CE1310" s="2" t="s">
        <v>108</v>
      </c>
      <c r="CF1310" s="5">
        <v>42661</v>
      </c>
      <c r="CG1310" s="2"/>
      <c r="CH1310" s="2"/>
      <c r="CI1310" s="2">
        <v>1</v>
      </c>
      <c r="CJ1310" s="2">
        <v>1</v>
      </c>
      <c r="CK1310" s="2">
        <v>21</v>
      </c>
      <c r="CL1310" s="2" t="s">
        <v>88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"FES1162506829"</f>
        <v>FES1162506829</v>
      </c>
      <c r="F1311" s="3">
        <v>42657</v>
      </c>
      <c r="G1311" s="2">
        <v>201704</v>
      </c>
      <c r="H1311" s="2" t="s">
        <v>74</v>
      </c>
      <c r="I1311" s="2" t="s">
        <v>75</v>
      </c>
      <c r="J1311" s="2" t="s">
        <v>76</v>
      </c>
      <c r="K1311" s="2" t="s">
        <v>77</v>
      </c>
      <c r="L1311" s="2" t="s">
        <v>510</v>
      </c>
      <c r="M1311" s="2" t="s">
        <v>511</v>
      </c>
      <c r="N1311" s="2" t="s">
        <v>982</v>
      </c>
      <c r="O1311" s="2" t="s">
        <v>96</v>
      </c>
      <c r="P1311" s="2" t="str">
        <f>"21705230353                   "</f>
        <v xml:space="preserve">21705230353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3.32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1</v>
      </c>
      <c r="BJ1311" s="2">
        <v>0.2</v>
      </c>
      <c r="BK1311" s="2">
        <v>1</v>
      </c>
      <c r="BL1311" s="2">
        <v>40.76</v>
      </c>
      <c r="BM1311" s="2">
        <v>5.71</v>
      </c>
      <c r="BN1311" s="2">
        <v>46.47</v>
      </c>
      <c r="BO1311" s="2">
        <v>46.47</v>
      </c>
      <c r="BP1311" s="2"/>
      <c r="BQ1311" s="2" t="s">
        <v>983</v>
      </c>
      <c r="BR1311" s="2" t="s">
        <v>83</v>
      </c>
      <c r="BS1311" s="3">
        <v>42660</v>
      </c>
      <c r="BT1311" s="4">
        <v>0.41666666666666669</v>
      </c>
      <c r="BU1311" s="2" t="s">
        <v>1639</v>
      </c>
      <c r="BV1311" s="2" t="s">
        <v>85</v>
      </c>
      <c r="BW1311" s="2"/>
      <c r="BX1311" s="2"/>
      <c r="BY1311" s="2">
        <v>1200</v>
      </c>
      <c r="BZ1311" s="2"/>
      <c r="CA1311" s="2"/>
      <c r="CB1311" s="2"/>
      <c r="CC1311" s="2" t="s">
        <v>511</v>
      </c>
      <c r="CD1311" s="2">
        <v>3290</v>
      </c>
      <c r="CE1311" s="2" t="s">
        <v>108</v>
      </c>
      <c r="CF1311" s="5">
        <v>42661</v>
      </c>
      <c r="CG1311" s="2"/>
      <c r="CH1311" s="2"/>
      <c r="CI1311" s="2">
        <v>1</v>
      </c>
      <c r="CJ1311" s="2">
        <v>1</v>
      </c>
      <c r="CK1311" s="2">
        <v>21</v>
      </c>
      <c r="CL1311" s="2" t="s">
        <v>88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"FES1162506827"</f>
        <v>FES1162506827</v>
      </c>
      <c r="F1312" s="3">
        <v>42657</v>
      </c>
      <c r="G1312" s="2">
        <v>201704</v>
      </c>
      <c r="H1312" s="2" t="s">
        <v>74</v>
      </c>
      <c r="I1312" s="2" t="s">
        <v>75</v>
      </c>
      <c r="J1312" s="2" t="s">
        <v>76</v>
      </c>
      <c r="K1312" s="2" t="s">
        <v>77</v>
      </c>
      <c r="L1312" s="2" t="s">
        <v>148</v>
      </c>
      <c r="M1312" s="2" t="s">
        <v>149</v>
      </c>
      <c r="N1312" s="2" t="s">
        <v>726</v>
      </c>
      <c r="O1312" s="2" t="s">
        <v>96</v>
      </c>
      <c r="P1312" s="2" t="str">
        <f>"2170530348                    "</f>
        <v xml:space="preserve">2170530348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3.32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1</v>
      </c>
      <c r="BJ1312" s="2">
        <v>0.2</v>
      </c>
      <c r="BK1312" s="2">
        <v>1</v>
      </c>
      <c r="BL1312" s="2">
        <v>40.76</v>
      </c>
      <c r="BM1312" s="2">
        <v>5.71</v>
      </c>
      <c r="BN1312" s="2">
        <v>46.47</v>
      </c>
      <c r="BO1312" s="2">
        <v>46.47</v>
      </c>
      <c r="BP1312" s="2"/>
      <c r="BQ1312" s="2" t="s">
        <v>117</v>
      </c>
      <c r="BR1312" s="2" t="s">
        <v>83</v>
      </c>
      <c r="BS1312" s="3">
        <v>42660</v>
      </c>
      <c r="BT1312" s="4">
        <v>0.4375</v>
      </c>
      <c r="BU1312" s="2" t="s">
        <v>1640</v>
      </c>
      <c r="BV1312" s="2" t="s">
        <v>85</v>
      </c>
      <c r="BW1312" s="2"/>
      <c r="BX1312" s="2"/>
      <c r="BY1312" s="2">
        <v>1200</v>
      </c>
      <c r="BZ1312" s="2"/>
      <c r="CA1312" s="2"/>
      <c r="CB1312" s="2"/>
      <c r="CC1312" s="2" t="s">
        <v>149</v>
      </c>
      <c r="CD1312" s="2">
        <v>4070</v>
      </c>
      <c r="CE1312" s="2" t="s">
        <v>108</v>
      </c>
      <c r="CF1312" s="5">
        <v>42661</v>
      </c>
      <c r="CG1312" s="2"/>
      <c r="CH1312" s="2"/>
      <c r="CI1312" s="2">
        <v>1</v>
      </c>
      <c r="CJ1312" s="2">
        <v>1</v>
      </c>
      <c r="CK1312" s="2">
        <v>21</v>
      </c>
      <c r="CL1312" s="2" t="s">
        <v>88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"FES1162506844"</f>
        <v>FES1162506844</v>
      </c>
      <c r="F1313" s="3">
        <v>42657</v>
      </c>
      <c r="G1313" s="2">
        <v>201704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938</v>
      </c>
      <c r="M1313" s="2" t="s">
        <v>939</v>
      </c>
      <c r="N1313" s="2" t="s">
        <v>1455</v>
      </c>
      <c r="O1313" s="2" t="s">
        <v>96</v>
      </c>
      <c r="P1313" s="2" t="str">
        <f>"2170529883                    "</f>
        <v xml:space="preserve">2170529883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6.43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78.97</v>
      </c>
      <c r="BM1313" s="2">
        <v>11.06</v>
      </c>
      <c r="BN1313" s="2">
        <v>90.03</v>
      </c>
      <c r="BO1313" s="2">
        <v>90.03</v>
      </c>
      <c r="BP1313" s="2"/>
      <c r="BQ1313" s="2"/>
      <c r="BR1313" s="2" t="s">
        <v>83</v>
      </c>
      <c r="BS1313" s="3">
        <v>42660</v>
      </c>
      <c r="BT1313" s="4">
        <v>0</v>
      </c>
      <c r="BU1313" s="2" t="s">
        <v>1591</v>
      </c>
      <c r="BV1313" s="2" t="s">
        <v>85</v>
      </c>
      <c r="BW1313" s="2"/>
      <c r="BX1313" s="2"/>
      <c r="BY1313" s="2">
        <v>1200</v>
      </c>
      <c r="BZ1313" s="2"/>
      <c r="CA1313" s="2"/>
      <c r="CB1313" s="2"/>
      <c r="CC1313" s="2" t="s">
        <v>939</v>
      </c>
      <c r="CD1313" s="2">
        <v>5319</v>
      </c>
      <c r="CE1313" s="2" t="s">
        <v>108</v>
      </c>
      <c r="CF1313" s="5">
        <v>42662</v>
      </c>
      <c r="CG1313" s="2"/>
      <c r="CH1313" s="2"/>
      <c r="CI1313" s="2">
        <v>4</v>
      </c>
      <c r="CJ1313" s="2">
        <v>1</v>
      </c>
      <c r="CK1313" s="2">
        <v>23</v>
      </c>
      <c r="CL1313" s="2" t="s">
        <v>88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"FES1162506843"</f>
        <v>FES1162506843</v>
      </c>
      <c r="F1314" s="3">
        <v>42657</v>
      </c>
      <c r="G1314" s="2">
        <v>201704</v>
      </c>
      <c r="H1314" s="2" t="s">
        <v>74</v>
      </c>
      <c r="I1314" s="2" t="s">
        <v>75</v>
      </c>
      <c r="J1314" s="2" t="s">
        <v>76</v>
      </c>
      <c r="K1314" s="2" t="s">
        <v>77</v>
      </c>
      <c r="L1314" s="2" t="s">
        <v>323</v>
      </c>
      <c r="M1314" s="2" t="s">
        <v>324</v>
      </c>
      <c r="N1314" s="2" t="s">
        <v>325</v>
      </c>
      <c r="O1314" s="2" t="s">
        <v>96</v>
      </c>
      <c r="P1314" s="2" t="str">
        <f>"2170529733                    "</f>
        <v xml:space="preserve">2170529733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3.32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</v>
      </c>
      <c r="BJ1314" s="2">
        <v>0.2</v>
      </c>
      <c r="BK1314" s="2">
        <v>1</v>
      </c>
      <c r="BL1314" s="2">
        <v>40.76</v>
      </c>
      <c r="BM1314" s="2">
        <v>5.71</v>
      </c>
      <c r="BN1314" s="2">
        <v>46.47</v>
      </c>
      <c r="BO1314" s="2">
        <v>46.47</v>
      </c>
      <c r="BP1314" s="2"/>
      <c r="BQ1314" s="2" t="s">
        <v>117</v>
      </c>
      <c r="BR1314" s="2" t="s">
        <v>83</v>
      </c>
      <c r="BS1314" s="3">
        <v>42660</v>
      </c>
      <c r="BT1314" s="4">
        <v>0.375</v>
      </c>
      <c r="BU1314" s="2" t="s">
        <v>736</v>
      </c>
      <c r="BV1314" s="2"/>
      <c r="BW1314" s="2"/>
      <c r="BX1314" s="2"/>
      <c r="BY1314" s="2">
        <v>1200</v>
      </c>
      <c r="BZ1314" s="2"/>
      <c r="CA1314" s="2"/>
      <c r="CB1314" s="2"/>
      <c r="CC1314" s="2" t="s">
        <v>324</v>
      </c>
      <c r="CD1314" s="2">
        <v>9301</v>
      </c>
      <c r="CE1314" s="2" t="s">
        <v>108</v>
      </c>
      <c r="CF1314" s="2"/>
      <c r="CG1314" s="2"/>
      <c r="CH1314" s="2"/>
      <c r="CI1314" s="2">
        <v>0</v>
      </c>
      <c r="CJ1314" s="2">
        <v>0</v>
      </c>
      <c r="CK1314" s="2">
        <v>21</v>
      </c>
      <c r="CL1314" s="2" t="s">
        <v>88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"FES1162506819"</f>
        <v>FES1162506819</v>
      </c>
      <c r="F1315" s="3">
        <v>42657</v>
      </c>
      <c r="G1315" s="2">
        <v>201704</v>
      </c>
      <c r="H1315" s="2" t="s">
        <v>74</v>
      </c>
      <c r="I1315" s="2" t="s">
        <v>75</v>
      </c>
      <c r="J1315" s="2" t="s">
        <v>76</v>
      </c>
      <c r="K1315" s="2" t="s">
        <v>77</v>
      </c>
      <c r="L1315" s="2" t="s">
        <v>137</v>
      </c>
      <c r="M1315" s="2" t="s">
        <v>138</v>
      </c>
      <c r="N1315" s="2" t="s">
        <v>420</v>
      </c>
      <c r="O1315" s="2" t="s">
        <v>96</v>
      </c>
      <c r="P1315" s="2" t="str">
        <f>"2170530281                    "</f>
        <v xml:space="preserve">2170530281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15.76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4.8</v>
      </c>
      <c r="BJ1315" s="2">
        <v>9.4</v>
      </c>
      <c r="BK1315" s="2">
        <v>9.5</v>
      </c>
      <c r="BL1315" s="2">
        <v>193.6</v>
      </c>
      <c r="BM1315" s="2">
        <v>27.1</v>
      </c>
      <c r="BN1315" s="2">
        <v>220.7</v>
      </c>
      <c r="BO1315" s="2">
        <v>220.7</v>
      </c>
      <c r="BP1315" s="2"/>
      <c r="BQ1315" s="2" t="s">
        <v>117</v>
      </c>
      <c r="BR1315" s="2" t="s">
        <v>83</v>
      </c>
      <c r="BS1315" s="3">
        <v>42660</v>
      </c>
      <c r="BT1315" s="4">
        <v>0.34375</v>
      </c>
      <c r="BU1315" s="2" t="s">
        <v>1221</v>
      </c>
      <c r="BV1315" s="2" t="s">
        <v>85</v>
      </c>
      <c r="BW1315" s="2"/>
      <c r="BX1315" s="2"/>
      <c r="BY1315" s="2">
        <v>46812.160000000003</v>
      </c>
      <c r="BZ1315" s="2"/>
      <c r="CA1315" s="2" t="s">
        <v>613</v>
      </c>
      <c r="CB1315" s="2"/>
      <c r="CC1315" s="2" t="s">
        <v>138</v>
      </c>
      <c r="CD1315" s="2">
        <v>3201</v>
      </c>
      <c r="CE1315" s="2" t="s">
        <v>86</v>
      </c>
      <c r="CF1315" s="5">
        <v>42660</v>
      </c>
      <c r="CG1315" s="2"/>
      <c r="CH1315" s="2"/>
      <c r="CI1315" s="2">
        <v>1</v>
      </c>
      <c r="CJ1315" s="2">
        <v>1</v>
      </c>
      <c r="CK1315" s="2">
        <v>21</v>
      </c>
      <c r="CL1315" s="2" t="s">
        <v>88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"FES1162506828"</f>
        <v>FES1162506828</v>
      </c>
      <c r="F1316" s="3">
        <v>42657</v>
      </c>
      <c r="G1316" s="2">
        <v>201704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137</v>
      </c>
      <c r="M1316" s="2" t="s">
        <v>138</v>
      </c>
      <c r="N1316" s="2" t="s">
        <v>203</v>
      </c>
      <c r="O1316" s="2" t="s">
        <v>96</v>
      </c>
      <c r="P1316" s="2" t="str">
        <f>"2170530349                    "</f>
        <v xml:space="preserve">2170530349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7.46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4.5</v>
      </c>
      <c r="BJ1316" s="2">
        <v>0.8</v>
      </c>
      <c r="BK1316" s="2">
        <v>4.5</v>
      </c>
      <c r="BL1316" s="2">
        <v>91.7</v>
      </c>
      <c r="BM1316" s="2">
        <v>12.84</v>
      </c>
      <c r="BN1316" s="2">
        <v>104.54</v>
      </c>
      <c r="BO1316" s="2">
        <v>104.54</v>
      </c>
      <c r="BP1316" s="2"/>
      <c r="BQ1316" s="2" t="s">
        <v>168</v>
      </c>
      <c r="BR1316" s="2" t="s">
        <v>83</v>
      </c>
      <c r="BS1316" s="3">
        <v>42660</v>
      </c>
      <c r="BT1316" s="4">
        <v>0.36249999999999999</v>
      </c>
      <c r="BU1316" s="2" t="s">
        <v>768</v>
      </c>
      <c r="BV1316" s="2"/>
      <c r="BW1316" s="2"/>
      <c r="BX1316" s="2"/>
      <c r="BY1316" s="2">
        <v>4244.53</v>
      </c>
      <c r="BZ1316" s="2"/>
      <c r="CA1316" s="2" t="s">
        <v>613</v>
      </c>
      <c r="CB1316" s="2"/>
      <c r="CC1316" s="2" t="s">
        <v>138</v>
      </c>
      <c r="CD1316" s="2">
        <v>3201</v>
      </c>
      <c r="CE1316" s="2" t="s">
        <v>368</v>
      </c>
      <c r="CF1316" s="5">
        <v>42660</v>
      </c>
      <c r="CG1316" s="2"/>
      <c r="CH1316" s="2"/>
      <c r="CI1316" s="2">
        <v>0</v>
      </c>
      <c r="CJ1316" s="2">
        <v>0</v>
      </c>
      <c r="CK1316" s="2">
        <v>21</v>
      </c>
      <c r="CL1316" s="2" t="s">
        <v>88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"FES1162506865"</f>
        <v>FES1162506865</v>
      </c>
      <c r="F1317" s="3">
        <v>42657</v>
      </c>
      <c r="G1317" s="2">
        <v>201704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148</v>
      </c>
      <c r="M1317" s="2" t="s">
        <v>149</v>
      </c>
      <c r="N1317" s="2" t="s">
        <v>521</v>
      </c>
      <c r="O1317" s="2" t="s">
        <v>96</v>
      </c>
      <c r="P1317" s="2" t="str">
        <f>"2170530396                    "</f>
        <v xml:space="preserve">2170530396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3.32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234</v>
      </c>
      <c r="BF1317" s="2">
        <v>0</v>
      </c>
      <c r="BG1317" s="2">
        <v>0</v>
      </c>
      <c r="BH1317" s="2">
        <v>1</v>
      </c>
      <c r="BI1317" s="2">
        <v>1</v>
      </c>
      <c r="BJ1317" s="2">
        <v>0.2</v>
      </c>
      <c r="BK1317" s="2">
        <v>1</v>
      </c>
      <c r="BL1317" s="2">
        <v>274.76</v>
      </c>
      <c r="BM1317" s="2">
        <v>38.47</v>
      </c>
      <c r="BN1317" s="2">
        <v>313.23</v>
      </c>
      <c r="BO1317" s="2">
        <v>313.23</v>
      </c>
      <c r="BP1317" s="2" t="s">
        <v>1641</v>
      </c>
      <c r="BQ1317" s="2" t="s">
        <v>1642</v>
      </c>
      <c r="BR1317" s="2" t="s">
        <v>83</v>
      </c>
      <c r="BS1317" s="3">
        <v>42658</v>
      </c>
      <c r="BT1317" s="4">
        <v>0.54166666666666663</v>
      </c>
      <c r="BU1317" s="2" t="s">
        <v>1643</v>
      </c>
      <c r="BV1317" s="2" t="s">
        <v>85</v>
      </c>
      <c r="BW1317" s="2"/>
      <c r="BX1317" s="2"/>
      <c r="BY1317" s="2">
        <v>1200</v>
      </c>
      <c r="BZ1317" s="2" t="s">
        <v>1622</v>
      </c>
      <c r="CA1317" s="2"/>
      <c r="CB1317" s="2"/>
      <c r="CC1317" s="2" t="s">
        <v>149</v>
      </c>
      <c r="CD1317" s="2">
        <v>4052</v>
      </c>
      <c r="CE1317" s="2" t="s">
        <v>108</v>
      </c>
      <c r="CF1317" s="5">
        <v>42661</v>
      </c>
      <c r="CG1317" s="2"/>
      <c r="CH1317" s="2"/>
      <c r="CI1317" s="2">
        <v>1</v>
      </c>
      <c r="CJ1317" s="2">
        <v>1</v>
      </c>
      <c r="CK1317" s="2">
        <v>21</v>
      </c>
      <c r="CL1317" s="2" t="s">
        <v>88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"FES1162506846"</f>
        <v>FES1162506846</v>
      </c>
      <c r="F1318" s="3">
        <v>42657</v>
      </c>
      <c r="G1318" s="2">
        <v>201704</v>
      </c>
      <c r="H1318" s="2" t="s">
        <v>74</v>
      </c>
      <c r="I1318" s="2" t="s">
        <v>75</v>
      </c>
      <c r="J1318" s="2" t="s">
        <v>76</v>
      </c>
      <c r="K1318" s="2" t="s">
        <v>77</v>
      </c>
      <c r="L1318" s="2" t="s">
        <v>160</v>
      </c>
      <c r="M1318" s="2" t="s">
        <v>161</v>
      </c>
      <c r="N1318" s="2" t="s">
        <v>279</v>
      </c>
      <c r="O1318" s="2" t="s">
        <v>96</v>
      </c>
      <c r="P1318" s="2" t="str">
        <f>"2170530265                    "</f>
        <v xml:space="preserve">2170530265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4.1500000000000004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2.2999999999999998</v>
      </c>
      <c r="BJ1318" s="2">
        <v>1</v>
      </c>
      <c r="BK1318" s="2">
        <v>2.5</v>
      </c>
      <c r="BL1318" s="2">
        <v>50.95</v>
      </c>
      <c r="BM1318" s="2">
        <v>7.13</v>
      </c>
      <c r="BN1318" s="2">
        <v>58.08</v>
      </c>
      <c r="BO1318" s="2">
        <v>58.08</v>
      </c>
      <c r="BP1318" s="2"/>
      <c r="BQ1318" s="2" t="s">
        <v>280</v>
      </c>
      <c r="BR1318" s="2" t="s">
        <v>83</v>
      </c>
      <c r="BS1318" s="3">
        <v>42660</v>
      </c>
      <c r="BT1318" s="4">
        <v>0.30555555555555552</v>
      </c>
      <c r="BU1318" s="2" t="s">
        <v>626</v>
      </c>
      <c r="BV1318" s="2" t="s">
        <v>85</v>
      </c>
      <c r="BW1318" s="2"/>
      <c r="BX1318" s="2"/>
      <c r="BY1318" s="2">
        <v>5128.7299999999996</v>
      </c>
      <c r="BZ1318" s="2"/>
      <c r="CA1318" s="2"/>
      <c r="CB1318" s="2"/>
      <c r="CC1318" s="2" t="s">
        <v>161</v>
      </c>
      <c r="CD1318" s="2">
        <v>7441</v>
      </c>
      <c r="CE1318" s="2" t="s">
        <v>86</v>
      </c>
      <c r="CF1318" s="5">
        <v>42661</v>
      </c>
      <c r="CG1318" s="2"/>
      <c r="CH1318" s="2"/>
      <c r="CI1318" s="2">
        <v>1</v>
      </c>
      <c r="CJ1318" s="2">
        <v>1</v>
      </c>
      <c r="CK1318" s="2">
        <v>21</v>
      </c>
      <c r="CL1318" s="2" t="s">
        <v>88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"FES1162506761"</f>
        <v>FES1162506761</v>
      </c>
      <c r="F1319" s="3">
        <v>42657</v>
      </c>
      <c r="G1319" s="2">
        <v>201704</v>
      </c>
      <c r="H1319" s="2" t="s">
        <v>74</v>
      </c>
      <c r="I1319" s="2" t="s">
        <v>75</v>
      </c>
      <c r="J1319" s="2" t="s">
        <v>76</v>
      </c>
      <c r="K1319" s="2" t="s">
        <v>77</v>
      </c>
      <c r="L1319" s="2" t="s">
        <v>207</v>
      </c>
      <c r="M1319" s="2" t="s">
        <v>208</v>
      </c>
      <c r="N1319" s="2" t="s">
        <v>209</v>
      </c>
      <c r="O1319" s="2" t="s">
        <v>96</v>
      </c>
      <c r="P1319" s="2" t="str">
        <f>"2170530260                    "</f>
        <v xml:space="preserve">2170530260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4.1500000000000004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2.1</v>
      </c>
      <c r="BJ1319" s="2">
        <v>1</v>
      </c>
      <c r="BK1319" s="2">
        <v>2.5</v>
      </c>
      <c r="BL1319" s="2">
        <v>50.95</v>
      </c>
      <c r="BM1319" s="2">
        <v>7.13</v>
      </c>
      <c r="BN1319" s="2">
        <v>58.08</v>
      </c>
      <c r="BO1319" s="2">
        <v>58.08</v>
      </c>
      <c r="BP1319" s="2"/>
      <c r="BQ1319" s="2" t="s">
        <v>82</v>
      </c>
      <c r="BR1319" s="2" t="s">
        <v>83</v>
      </c>
      <c r="BS1319" s="3">
        <v>42660</v>
      </c>
      <c r="BT1319" s="4">
        <v>0.4375</v>
      </c>
      <c r="BU1319" s="2" t="s">
        <v>433</v>
      </c>
      <c r="BV1319" s="2" t="s">
        <v>85</v>
      </c>
      <c r="BW1319" s="2"/>
      <c r="BX1319" s="2"/>
      <c r="BY1319" s="2">
        <v>4764.74</v>
      </c>
      <c r="BZ1319" s="2"/>
      <c r="CA1319" s="2"/>
      <c r="CB1319" s="2"/>
      <c r="CC1319" s="2" t="s">
        <v>208</v>
      </c>
      <c r="CD1319" s="2">
        <v>4133</v>
      </c>
      <c r="CE1319" s="2" t="s">
        <v>86</v>
      </c>
      <c r="CF1319" s="5">
        <v>42661</v>
      </c>
      <c r="CG1319" s="2"/>
      <c r="CH1319" s="2"/>
      <c r="CI1319" s="2">
        <v>1</v>
      </c>
      <c r="CJ1319" s="2">
        <v>1</v>
      </c>
      <c r="CK1319" s="2">
        <v>21</v>
      </c>
      <c r="CL1319" s="2" t="s">
        <v>88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"FES1162506740"</f>
        <v>FES1162506740</v>
      </c>
      <c r="F1320" s="3">
        <v>42657</v>
      </c>
      <c r="G1320" s="2">
        <v>201704</v>
      </c>
      <c r="H1320" s="2" t="s">
        <v>74</v>
      </c>
      <c r="I1320" s="2" t="s">
        <v>75</v>
      </c>
      <c r="J1320" s="2" t="s">
        <v>76</v>
      </c>
      <c r="K1320" s="2" t="s">
        <v>77</v>
      </c>
      <c r="L1320" s="2" t="s">
        <v>160</v>
      </c>
      <c r="M1320" s="2" t="s">
        <v>161</v>
      </c>
      <c r="N1320" s="2" t="s">
        <v>279</v>
      </c>
      <c r="O1320" s="2" t="s">
        <v>96</v>
      </c>
      <c r="P1320" s="2" t="str">
        <f>"2170530248                    "</f>
        <v xml:space="preserve">2170530248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5.81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3.5</v>
      </c>
      <c r="BJ1320" s="2">
        <v>1</v>
      </c>
      <c r="BK1320" s="2">
        <v>3.5</v>
      </c>
      <c r="BL1320" s="2">
        <v>71.33</v>
      </c>
      <c r="BM1320" s="2">
        <v>9.99</v>
      </c>
      <c r="BN1320" s="2">
        <v>81.319999999999993</v>
      </c>
      <c r="BO1320" s="2">
        <v>81.319999999999993</v>
      </c>
      <c r="BP1320" s="2"/>
      <c r="BQ1320" s="2" t="s">
        <v>280</v>
      </c>
      <c r="BR1320" s="2" t="s">
        <v>83</v>
      </c>
      <c r="BS1320" s="3">
        <v>42660</v>
      </c>
      <c r="BT1320" s="4">
        <v>0.30555555555555552</v>
      </c>
      <c r="BU1320" s="2" t="s">
        <v>626</v>
      </c>
      <c r="BV1320" s="2" t="s">
        <v>85</v>
      </c>
      <c r="BW1320" s="2"/>
      <c r="BX1320" s="2"/>
      <c r="BY1320" s="2">
        <v>5247.31</v>
      </c>
      <c r="BZ1320" s="2"/>
      <c r="CA1320" s="2"/>
      <c r="CB1320" s="2"/>
      <c r="CC1320" s="2" t="s">
        <v>161</v>
      </c>
      <c r="CD1320" s="2">
        <v>7441</v>
      </c>
      <c r="CE1320" s="2" t="s">
        <v>86</v>
      </c>
      <c r="CF1320" s="5">
        <v>42661</v>
      </c>
      <c r="CG1320" s="2"/>
      <c r="CH1320" s="2"/>
      <c r="CI1320" s="2">
        <v>1</v>
      </c>
      <c r="CJ1320" s="2">
        <v>1</v>
      </c>
      <c r="CK1320" s="2">
        <v>21</v>
      </c>
      <c r="CL1320" s="2" t="s">
        <v>88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"FES1162506741"</f>
        <v>FES1162506741</v>
      </c>
      <c r="F1321" s="3">
        <v>42657</v>
      </c>
      <c r="G1321" s="2">
        <v>201704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160</v>
      </c>
      <c r="M1321" s="2" t="s">
        <v>161</v>
      </c>
      <c r="N1321" s="2" t="s">
        <v>710</v>
      </c>
      <c r="O1321" s="2" t="s">
        <v>96</v>
      </c>
      <c r="P1321" s="2" t="str">
        <f>"2170530252                    "</f>
        <v xml:space="preserve">2170530252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9.1199999999999992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5.0999999999999996</v>
      </c>
      <c r="BJ1321" s="2">
        <v>1.9</v>
      </c>
      <c r="BK1321" s="2">
        <v>5.5</v>
      </c>
      <c r="BL1321" s="2">
        <v>112.08</v>
      </c>
      <c r="BM1321" s="2">
        <v>15.69</v>
      </c>
      <c r="BN1321" s="2">
        <v>127.77</v>
      </c>
      <c r="BO1321" s="2">
        <v>127.77</v>
      </c>
      <c r="BP1321" s="2"/>
      <c r="BQ1321" s="2" t="s">
        <v>711</v>
      </c>
      <c r="BR1321" s="2" t="s">
        <v>83</v>
      </c>
      <c r="BS1321" s="3">
        <v>42660</v>
      </c>
      <c r="BT1321" s="4">
        <v>0.41666666666666669</v>
      </c>
      <c r="BU1321" s="2" t="s">
        <v>1644</v>
      </c>
      <c r="BV1321" s="2" t="s">
        <v>85</v>
      </c>
      <c r="BW1321" s="2"/>
      <c r="BX1321" s="2"/>
      <c r="BY1321" s="2">
        <v>9630.7199999999993</v>
      </c>
      <c r="BZ1321" s="2"/>
      <c r="CA1321" s="2"/>
      <c r="CB1321" s="2"/>
      <c r="CC1321" s="2" t="s">
        <v>161</v>
      </c>
      <c r="CD1321" s="2">
        <v>7441</v>
      </c>
      <c r="CE1321" s="2" t="s">
        <v>86</v>
      </c>
      <c r="CF1321" s="5">
        <v>42661</v>
      </c>
      <c r="CG1321" s="2"/>
      <c r="CH1321" s="2"/>
      <c r="CI1321" s="2">
        <v>1</v>
      </c>
      <c r="CJ1321" s="2">
        <v>1</v>
      </c>
      <c r="CK1321" s="2">
        <v>21</v>
      </c>
      <c r="CL1321" s="2" t="s">
        <v>88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"FES1162506755"</f>
        <v>FES1162506755</v>
      </c>
      <c r="F1322" s="3">
        <v>42657</v>
      </c>
      <c r="G1322" s="2">
        <v>201704</v>
      </c>
      <c r="H1322" s="2" t="s">
        <v>74</v>
      </c>
      <c r="I1322" s="2" t="s">
        <v>75</v>
      </c>
      <c r="J1322" s="2" t="s">
        <v>76</v>
      </c>
      <c r="K1322" s="2" t="s">
        <v>77</v>
      </c>
      <c r="L1322" s="2" t="s">
        <v>207</v>
      </c>
      <c r="M1322" s="2" t="s">
        <v>208</v>
      </c>
      <c r="N1322" s="2" t="s">
        <v>917</v>
      </c>
      <c r="O1322" s="2" t="s">
        <v>96</v>
      </c>
      <c r="P1322" s="2" t="str">
        <f>"2170530256                    "</f>
        <v xml:space="preserve">2170530256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12.44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7.2</v>
      </c>
      <c r="BJ1322" s="2">
        <v>2.9</v>
      </c>
      <c r="BK1322" s="2">
        <v>7.5</v>
      </c>
      <c r="BL1322" s="2">
        <v>152.84</v>
      </c>
      <c r="BM1322" s="2">
        <v>21.4</v>
      </c>
      <c r="BN1322" s="2">
        <v>174.24</v>
      </c>
      <c r="BO1322" s="2">
        <v>174.24</v>
      </c>
      <c r="BP1322" s="2"/>
      <c r="BQ1322" s="2" t="s">
        <v>1645</v>
      </c>
      <c r="BR1322" s="2" t="s">
        <v>83</v>
      </c>
      <c r="BS1322" s="3">
        <v>42660</v>
      </c>
      <c r="BT1322" s="4">
        <v>0.4375</v>
      </c>
      <c r="BU1322" s="2" t="s">
        <v>1646</v>
      </c>
      <c r="BV1322" s="2" t="s">
        <v>85</v>
      </c>
      <c r="BW1322" s="2"/>
      <c r="BX1322" s="2"/>
      <c r="BY1322" s="2">
        <v>14364.86</v>
      </c>
      <c r="BZ1322" s="2"/>
      <c r="CA1322" s="2"/>
      <c r="CB1322" s="2"/>
      <c r="CC1322" s="2" t="s">
        <v>208</v>
      </c>
      <c r="CD1322" s="2">
        <v>4133</v>
      </c>
      <c r="CE1322" s="2" t="s">
        <v>86</v>
      </c>
      <c r="CF1322" s="5">
        <v>42661</v>
      </c>
      <c r="CG1322" s="2"/>
      <c r="CH1322" s="2"/>
      <c r="CI1322" s="2">
        <v>1</v>
      </c>
      <c r="CJ1322" s="2">
        <v>1</v>
      </c>
      <c r="CK1322" s="2">
        <v>21</v>
      </c>
      <c r="CL1322" s="2" t="s">
        <v>88</v>
      </c>
      <c r="CM1322" s="2"/>
    </row>
    <row r="1323" spans="1:91">
      <c r="A1323" s="2" t="s">
        <v>71</v>
      </c>
      <c r="B1323" s="2" t="s">
        <v>72</v>
      </c>
      <c r="C1323" s="2" t="s">
        <v>73</v>
      </c>
      <c r="D1323" s="2"/>
      <c r="E1323" s="2" t="str">
        <f>"FES1162506733"</f>
        <v>FES1162506733</v>
      </c>
      <c r="F1323" s="3">
        <v>42657</v>
      </c>
      <c r="G1323" s="2">
        <v>201704</v>
      </c>
      <c r="H1323" s="2" t="s">
        <v>74</v>
      </c>
      <c r="I1323" s="2" t="s">
        <v>75</v>
      </c>
      <c r="J1323" s="2" t="s">
        <v>76</v>
      </c>
      <c r="K1323" s="2" t="s">
        <v>77</v>
      </c>
      <c r="L1323" s="2" t="s">
        <v>788</v>
      </c>
      <c r="M1323" s="2" t="s">
        <v>789</v>
      </c>
      <c r="N1323" s="2" t="s">
        <v>790</v>
      </c>
      <c r="O1323" s="2" t="s">
        <v>96</v>
      </c>
      <c r="P1323" s="2" t="str">
        <f>"2170530203                    "</f>
        <v xml:space="preserve">2170530203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6.43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1</v>
      </c>
      <c r="BJ1323" s="2">
        <v>0.2</v>
      </c>
      <c r="BK1323" s="2">
        <v>1</v>
      </c>
      <c r="BL1323" s="2">
        <v>78.97</v>
      </c>
      <c r="BM1323" s="2">
        <v>11.06</v>
      </c>
      <c r="BN1323" s="2">
        <v>90.03</v>
      </c>
      <c r="BO1323" s="2">
        <v>90.03</v>
      </c>
      <c r="BP1323" s="2"/>
      <c r="BQ1323" s="2" t="s">
        <v>82</v>
      </c>
      <c r="BR1323" s="2" t="s">
        <v>83</v>
      </c>
      <c r="BS1323" s="3">
        <v>42660</v>
      </c>
      <c r="BT1323" s="4">
        <v>0.57291666666666663</v>
      </c>
      <c r="BU1323" s="2" t="s">
        <v>791</v>
      </c>
      <c r="BV1323" s="2" t="s">
        <v>85</v>
      </c>
      <c r="BW1323" s="2"/>
      <c r="BX1323" s="2"/>
      <c r="BY1323" s="2">
        <v>1200</v>
      </c>
      <c r="BZ1323" s="2"/>
      <c r="CA1323" s="2" t="s">
        <v>129</v>
      </c>
      <c r="CB1323" s="2"/>
      <c r="CC1323" s="2" t="s">
        <v>789</v>
      </c>
      <c r="CD1323" s="2">
        <v>6300</v>
      </c>
      <c r="CE1323" s="2" t="s">
        <v>108</v>
      </c>
      <c r="CF1323" s="5">
        <v>42661</v>
      </c>
      <c r="CG1323" s="2"/>
      <c r="CH1323" s="2"/>
      <c r="CI1323" s="2">
        <v>3</v>
      </c>
      <c r="CJ1323" s="2">
        <v>1</v>
      </c>
      <c r="CK1323" s="2">
        <v>23</v>
      </c>
      <c r="CL1323" s="2" t="s">
        <v>88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"FES1162506757"</f>
        <v>FES1162506757</v>
      </c>
      <c r="F1324" s="3">
        <v>42657</v>
      </c>
      <c r="G1324" s="2">
        <v>201704</v>
      </c>
      <c r="H1324" s="2" t="s">
        <v>74</v>
      </c>
      <c r="I1324" s="2" t="s">
        <v>75</v>
      </c>
      <c r="J1324" s="2" t="s">
        <v>76</v>
      </c>
      <c r="K1324" s="2" t="s">
        <v>77</v>
      </c>
      <c r="L1324" s="2" t="s">
        <v>148</v>
      </c>
      <c r="M1324" s="2" t="s">
        <v>149</v>
      </c>
      <c r="N1324" s="2" t="s">
        <v>1647</v>
      </c>
      <c r="O1324" s="2" t="s">
        <v>96</v>
      </c>
      <c r="P1324" s="2" t="str">
        <f>"2170530258                    "</f>
        <v xml:space="preserve">2170530258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3.32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</v>
      </c>
      <c r="BJ1324" s="2">
        <v>0.2</v>
      </c>
      <c r="BK1324" s="2">
        <v>1</v>
      </c>
      <c r="BL1324" s="2">
        <v>40.76</v>
      </c>
      <c r="BM1324" s="2">
        <v>5.71</v>
      </c>
      <c r="BN1324" s="2">
        <v>46.47</v>
      </c>
      <c r="BO1324" s="2">
        <v>46.47</v>
      </c>
      <c r="BP1324" s="2"/>
      <c r="BQ1324" s="2" t="s">
        <v>1648</v>
      </c>
      <c r="BR1324" s="2" t="s">
        <v>83</v>
      </c>
      <c r="BS1324" s="3">
        <v>42660</v>
      </c>
      <c r="BT1324" s="4">
        <v>0.4375</v>
      </c>
      <c r="BU1324" s="2" t="s">
        <v>1649</v>
      </c>
      <c r="BV1324" s="2" t="s">
        <v>85</v>
      </c>
      <c r="BW1324" s="2"/>
      <c r="BX1324" s="2"/>
      <c r="BY1324" s="2">
        <v>1200</v>
      </c>
      <c r="BZ1324" s="2"/>
      <c r="CA1324" s="2" t="s">
        <v>129</v>
      </c>
      <c r="CB1324" s="2"/>
      <c r="CC1324" s="2" t="s">
        <v>149</v>
      </c>
      <c r="CD1324" s="2">
        <v>4001</v>
      </c>
      <c r="CE1324" s="2" t="s">
        <v>108</v>
      </c>
      <c r="CF1324" s="5">
        <v>42661</v>
      </c>
      <c r="CG1324" s="2"/>
      <c r="CH1324" s="2"/>
      <c r="CI1324" s="2">
        <v>1</v>
      </c>
      <c r="CJ1324" s="2">
        <v>1</v>
      </c>
      <c r="CK1324" s="2">
        <v>21</v>
      </c>
      <c r="CL1324" s="2" t="s">
        <v>88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"FES1162506766"</f>
        <v>FES1162506766</v>
      </c>
      <c r="F1325" s="3">
        <v>42657</v>
      </c>
      <c r="G1325" s="2">
        <v>201704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148</v>
      </c>
      <c r="M1325" s="2" t="s">
        <v>149</v>
      </c>
      <c r="N1325" s="2" t="s">
        <v>811</v>
      </c>
      <c r="O1325" s="2" t="s">
        <v>96</v>
      </c>
      <c r="P1325" s="2" t="str">
        <f>"2170530268                    "</f>
        <v xml:space="preserve">2170530268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4.9800000000000004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1.9</v>
      </c>
      <c r="BJ1325" s="2">
        <v>2.9</v>
      </c>
      <c r="BK1325" s="2">
        <v>3</v>
      </c>
      <c r="BL1325" s="2">
        <v>61.14</v>
      </c>
      <c r="BM1325" s="2">
        <v>8.56</v>
      </c>
      <c r="BN1325" s="2">
        <v>69.7</v>
      </c>
      <c r="BO1325" s="2">
        <v>69.7</v>
      </c>
      <c r="BP1325" s="2"/>
      <c r="BQ1325" s="2" t="s">
        <v>812</v>
      </c>
      <c r="BR1325" s="2" t="s">
        <v>83</v>
      </c>
      <c r="BS1325" s="3">
        <v>42660</v>
      </c>
      <c r="BT1325" s="4">
        <v>0.4375</v>
      </c>
      <c r="BU1325" s="2" t="s">
        <v>1650</v>
      </c>
      <c r="BV1325" s="2"/>
      <c r="BW1325" s="2"/>
      <c r="BX1325" s="2"/>
      <c r="BY1325" s="2">
        <v>14563.07</v>
      </c>
      <c r="BZ1325" s="2"/>
      <c r="CA1325" s="2"/>
      <c r="CB1325" s="2"/>
      <c r="CC1325" s="2" t="s">
        <v>149</v>
      </c>
      <c r="CD1325" s="2">
        <v>4001</v>
      </c>
      <c r="CE1325" s="2" t="s">
        <v>86</v>
      </c>
      <c r="CF1325" s="5">
        <v>42661</v>
      </c>
      <c r="CG1325" s="2"/>
      <c r="CH1325" s="2"/>
      <c r="CI1325" s="2">
        <v>0</v>
      </c>
      <c r="CJ1325" s="2">
        <v>0</v>
      </c>
      <c r="CK1325" s="2">
        <v>21</v>
      </c>
      <c r="CL1325" s="2" t="s">
        <v>88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"FES1162506747"</f>
        <v>FES1162506747</v>
      </c>
      <c r="F1326" s="3">
        <v>42657</v>
      </c>
      <c r="G1326" s="2">
        <v>201704</v>
      </c>
      <c r="H1326" s="2" t="s">
        <v>74</v>
      </c>
      <c r="I1326" s="2" t="s">
        <v>75</v>
      </c>
      <c r="J1326" s="2" t="s">
        <v>76</v>
      </c>
      <c r="K1326" s="2" t="s">
        <v>77</v>
      </c>
      <c r="L1326" s="2" t="s">
        <v>153</v>
      </c>
      <c r="M1326" s="2" t="s">
        <v>153</v>
      </c>
      <c r="N1326" s="2" t="s">
        <v>200</v>
      </c>
      <c r="O1326" s="2" t="s">
        <v>96</v>
      </c>
      <c r="P1326" s="2" t="str">
        <f>"2170528152                    "</f>
        <v xml:space="preserve">2170528152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3.32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40.76</v>
      </c>
      <c r="BM1326" s="2">
        <v>5.71</v>
      </c>
      <c r="BN1326" s="2">
        <v>46.47</v>
      </c>
      <c r="BO1326" s="2">
        <v>46.47</v>
      </c>
      <c r="BP1326" s="2"/>
      <c r="BQ1326" s="2" t="s">
        <v>201</v>
      </c>
      <c r="BR1326" s="2" t="s">
        <v>83</v>
      </c>
      <c r="BS1326" s="3">
        <v>42660</v>
      </c>
      <c r="BT1326" s="4">
        <v>0.44305555555555554</v>
      </c>
      <c r="BU1326" s="2" t="s">
        <v>448</v>
      </c>
      <c r="BV1326" s="2" t="s">
        <v>85</v>
      </c>
      <c r="BW1326" s="2"/>
      <c r="BX1326" s="2"/>
      <c r="BY1326" s="2">
        <v>1200</v>
      </c>
      <c r="BZ1326" s="2"/>
      <c r="CA1326" s="2"/>
      <c r="CB1326" s="2"/>
      <c r="CC1326" s="2" t="s">
        <v>153</v>
      </c>
      <c r="CD1326" s="2">
        <v>7646</v>
      </c>
      <c r="CE1326" s="2" t="s">
        <v>108</v>
      </c>
      <c r="CF1326" s="5">
        <v>42661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88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"FES1162506736"</f>
        <v>FES1162506736</v>
      </c>
      <c r="F1327" s="3">
        <v>42657</v>
      </c>
      <c r="G1327" s="2">
        <v>201704</v>
      </c>
      <c r="H1327" s="2" t="s">
        <v>74</v>
      </c>
      <c r="I1327" s="2" t="s">
        <v>75</v>
      </c>
      <c r="J1327" s="2" t="s">
        <v>76</v>
      </c>
      <c r="K1327" s="2" t="s">
        <v>77</v>
      </c>
      <c r="L1327" s="2" t="s">
        <v>491</v>
      </c>
      <c r="M1327" s="2" t="s">
        <v>492</v>
      </c>
      <c r="N1327" s="2" t="s">
        <v>1651</v>
      </c>
      <c r="O1327" s="2" t="s">
        <v>96</v>
      </c>
      <c r="P1327" s="2" t="str">
        <f>"2170530235                    "</f>
        <v xml:space="preserve">2170530235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3.32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40.76</v>
      </c>
      <c r="BM1327" s="2">
        <v>5.71</v>
      </c>
      <c r="BN1327" s="2">
        <v>46.47</v>
      </c>
      <c r="BO1327" s="2">
        <v>46.47</v>
      </c>
      <c r="BP1327" s="2"/>
      <c r="BQ1327" s="2" t="s">
        <v>117</v>
      </c>
      <c r="BR1327" s="2" t="s">
        <v>83</v>
      </c>
      <c r="BS1327" s="3">
        <v>42660</v>
      </c>
      <c r="BT1327" s="4">
        <v>0.4375</v>
      </c>
      <c r="BU1327" s="2" t="s">
        <v>1652</v>
      </c>
      <c r="BV1327" s="2" t="s">
        <v>85</v>
      </c>
      <c r="BW1327" s="2"/>
      <c r="BX1327" s="2"/>
      <c r="BY1327" s="2">
        <v>1200</v>
      </c>
      <c r="BZ1327" s="2"/>
      <c r="CA1327" s="2"/>
      <c r="CB1327" s="2"/>
      <c r="CC1327" s="2" t="s">
        <v>492</v>
      </c>
      <c r="CD1327" s="2">
        <v>3699</v>
      </c>
      <c r="CE1327" s="2" t="s">
        <v>108</v>
      </c>
      <c r="CF1327" s="5">
        <v>42661</v>
      </c>
      <c r="CG1327" s="2"/>
      <c r="CH1327" s="2"/>
      <c r="CI1327" s="2">
        <v>1</v>
      </c>
      <c r="CJ1327" s="2">
        <v>1</v>
      </c>
      <c r="CK1327" s="2">
        <v>21</v>
      </c>
      <c r="CL1327" s="2" t="s">
        <v>88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"FES1162506724"</f>
        <v>FES1162506724</v>
      </c>
      <c r="F1328" s="3">
        <v>42657</v>
      </c>
      <c r="G1328" s="2">
        <v>201704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269</v>
      </c>
      <c r="M1328" s="2" t="s">
        <v>270</v>
      </c>
      <c r="N1328" s="2" t="s">
        <v>1504</v>
      </c>
      <c r="O1328" s="2" t="s">
        <v>96</v>
      </c>
      <c r="P1328" s="2" t="str">
        <f>"2170530228                    "</f>
        <v xml:space="preserve">2170530228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3.32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1.4</v>
      </c>
      <c r="BJ1328" s="2">
        <v>1.9</v>
      </c>
      <c r="BK1328" s="2">
        <v>2</v>
      </c>
      <c r="BL1328" s="2">
        <v>40.76</v>
      </c>
      <c r="BM1328" s="2">
        <v>5.71</v>
      </c>
      <c r="BN1328" s="2">
        <v>46.47</v>
      </c>
      <c r="BO1328" s="2">
        <v>46.47</v>
      </c>
      <c r="BP1328" s="2"/>
      <c r="BQ1328" s="2" t="s">
        <v>168</v>
      </c>
      <c r="BR1328" s="2" t="s">
        <v>83</v>
      </c>
      <c r="BS1328" s="3">
        <v>42660</v>
      </c>
      <c r="BT1328" s="4">
        <v>0.31180555555555556</v>
      </c>
      <c r="BU1328" s="2" t="s">
        <v>1653</v>
      </c>
      <c r="BV1328" s="2" t="s">
        <v>85</v>
      </c>
      <c r="BW1328" s="2"/>
      <c r="BX1328" s="2"/>
      <c r="BY1328" s="2">
        <v>9544.74</v>
      </c>
      <c r="BZ1328" s="2"/>
      <c r="CA1328" s="2"/>
      <c r="CB1328" s="2"/>
      <c r="CC1328" s="2" t="s">
        <v>270</v>
      </c>
      <c r="CD1328" s="2">
        <v>3610</v>
      </c>
      <c r="CE1328" s="2" t="s">
        <v>108</v>
      </c>
      <c r="CF1328" s="5">
        <v>42661</v>
      </c>
      <c r="CG1328" s="2"/>
      <c r="CH1328" s="2"/>
      <c r="CI1328" s="2">
        <v>1</v>
      </c>
      <c r="CJ1328" s="2">
        <v>1</v>
      </c>
      <c r="CK1328" s="2">
        <v>21</v>
      </c>
      <c r="CL1328" s="2" t="s">
        <v>88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"FES1162506768"</f>
        <v>FES1162506768</v>
      </c>
      <c r="F1329" s="3">
        <v>42657</v>
      </c>
      <c r="G1329" s="2">
        <v>201704</v>
      </c>
      <c r="H1329" s="2" t="s">
        <v>74</v>
      </c>
      <c r="I1329" s="2" t="s">
        <v>75</v>
      </c>
      <c r="J1329" s="2" t="s">
        <v>76</v>
      </c>
      <c r="K1329" s="2" t="s">
        <v>77</v>
      </c>
      <c r="L1329" s="2" t="s">
        <v>148</v>
      </c>
      <c r="M1329" s="2" t="s">
        <v>149</v>
      </c>
      <c r="N1329" s="2" t="s">
        <v>1647</v>
      </c>
      <c r="O1329" s="2" t="s">
        <v>96</v>
      </c>
      <c r="P1329" s="2" t="str">
        <f>"2170530270                    "</f>
        <v xml:space="preserve">2170530270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3.32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1</v>
      </c>
      <c r="BJ1329" s="2">
        <v>0.2</v>
      </c>
      <c r="BK1329" s="2">
        <v>1</v>
      </c>
      <c r="BL1329" s="2">
        <v>40.76</v>
      </c>
      <c r="BM1329" s="2">
        <v>5.71</v>
      </c>
      <c r="BN1329" s="2">
        <v>46.47</v>
      </c>
      <c r="BO1329" s="2">
        <v>46.47</v>
      </c>
      <c r="BP1329" s="2"/>
      <c r="BQ1329" s="2" t="s">
        <v>1648</v>
      </c>
      <c r="BR1329" s="2" t="s">
        <v>83</v>
      </c>
      <c r="BS1329" s="3">
        <v>42660</v>
      </c>
      <c r="BT1329" s="4">
        <v>0.4375</v>
      </c>
      <c r="BU1329" s="2" t="s">
        <v>1649</v>
      </c>
      <c r="BV1329" s="2" t="s">
        <v>85</v>
      </c>
      <c r="BW1329" s="2"/>
      <c r="BX1329" s="2"/>
      <c r="BY1329" s="2">
        <v>1200</v>
      </c>
      <c r="BZ1329" s="2"/>
      <c r="CA1329" s="2" t="s">
        <v>129</v>
      </c>
      <c r="CB1329" s="2"/>
      <c r="CC1329" s="2" t="s">
        <v>149</v>
      </c>
      <c r="CD1329" s="2">
        <v>4001</v>
      </c>
      <c r="CE1329" s="2" t="s">
        <v>108</v>
      </c>
      <c r="CF1329" s="5">
        <v>42661</v>
      </c>
      <c r="CG1329" s="2"/>
      <c r="CH1329" s="2"/>
      <c r="CI1329" s="2">
        <v>1</v>
      </c>
      <c r="CJ1329" s="2">
        <v>1</v>
      </c>
      <c r="CK1329" s="2">
        <v>21</v>
      </c>
      <c r="CL1329" s="2" t="s">
        <v>88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"FES1162506745"</f>
        <v>FES1162506745</v>
      </c>
      <c r="F1330" s="3">
        <v>42657</v>
      </c>
      <c r="G1330" s="2">
        <v>201704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137</v>
      </c>
      <c r="M1330" s="2" t="s">
        <v>138</v>
      </c>
      <c r="N1330" s="2" t="s">
        <v>291</v>
      </c>
      <c r="O1330" s="2" t="s">
        <v>96</v>
      </c>
      <c r="P1330" s="2" t="str">
        <f>"2170528000                    "</f>
        <v xml:space="preserve">2170528000             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3.32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</v>
      </c>
      <c r="BJ1330" s="2">
        <v>0.2</v>
      </c>
      <c r="BK1330" s="2">
        <v>1</v>
      </c>
      <c r="BL1330" s="2">
        <v>40.76</v>
      </c>
      <c r="BM1330" s="2">
        <v>5.71</v>
      </c>
      <c r="BN1330" s="2">
        <v>46.47</v>
      </c>
      <c r="BO1330" s="2">
        <v>46.47</v>
      </c>
      <c r="BP1330" s="2"/>
      <c r="BQ1330" s="2" t="s">
        <v>117</v>
      </c>
      <c r="BR1330" s="2" t="s">
        <v>83</v>
      </c>
      <c r="BS1330" s="3">
        <v>42660</v>
      </c>
      <c r="BT1330" s="4">
        <v>0.36458333333333331</v>
      </c>
      <c r="BU1330" s="2" t="s">
        <v>781</v>
      </c>
      <c r="BV1330" s="2"/>
      <c r="BW1330" s="2"/>
      <c r="BX1330" s="2"/>
      <c r="BY1330" s="2">
        <v>1200</v>
      </c>
      <c r="BZ1330" s="2"/>
      <c r="CA1330" s="2" t="s">
        <v>613</v>
      </c>
      <c r="CB1330" s="2"/>
      <c r="CC1330" s="2" t="s">
        <v>138</v>
      </c>
      <c r="CD1330" s="2">
        <v>3201</v>
      </c>
      <c r="CE1330" s="2" t="s">
        <v>108</v>
      </c>
      <c r="CF1330" s="5">
        <v>42660</v>
      </c>
      <c r="CG1330" s="2"/>
      <c r="CH1330" s="2"/>
      <c r="CI1330" s="2">
        <v>0</v>
      </c>
      <c r="CJ1330" s="2">
        <v>0</v>
      </c>
      <c r="CK1330" s="2">
        <v>21</v>
      </c>
      <c r="CL1330" s="2" t="s">
        <v>88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"FES1162506767"</f>
        <v>FES1162506767</v>
      </c>
      <c r="F1331" s="3">
        <v>42657</v>
      </c>
      <c r="G1331" s="2">
        <v>201704</v>
      </c>
      <c r="H1331" s="2" t="s">
        <v>74</v>
      </c>
      <c r="I1331" s="2" t="s">
        <v>75</v>
      </c>
      <c r="J1331" s="2" t="s">
        <v>76</v>
      </c>
      <c r="K1331" s="2" t="s">
        <v>77</v>
      </c>
      <c r="L1331" s="2" t="s">
        <v>160</v>
      </c>
      <c r="M1331" s="2" t="s">
        <v>161</v>
      </c>
      <c r="N1331" s="2" t="s">
        <v>179</v>
      </c>
      <c r="O1331" s="2" t="s">
        <v>96</v>
      </c>
      <c r="P1331" s="2" t="str">
        <f>"2170530269                    "</f>
        <v xml:space="preserve">2170530269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3.32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1.1000000000000001</v>
      </c>
      <c r="BJ1331" s="2">
        <v>1.8</v>
      </c>
      <c r="BK1331" s="2">
        <v>2</v>
      </c>
      <c r="BL1331" s="2">
        <v>40.76</v>
      </c>
      <c r="BM1331" s="2">
        <v>5.71</v>
      </c>
      <c r="BN1331" s="2">
        <v>46.47</v>
      </c>
      <c r="BO1331" s="2">
        <v>46.47</v>
      </c>
      <c r="BP1331" s="2"/>
      <c r="BQ1331" s="2" t="s">
        <v>180</v>
      </c>
      <c r="BR1331" s="2" t="s">
        <v>83</v>
      </c>
      <c r="BS1331" s="3">
        <v>42660</v>
      </c>
      <c r="BT1331" s="4">
        <v>0.41666666666666669</v>
      </c>
      <c r="BU1331" s="2" t="s">
        <v>1172</v>
      </c>
      <c r="BV1331" s="2" t="s">
        <v>85</v>
      </c>
      <c r="BW1331" s="2"/>
      <c r="BX1331" s="2"/>
      <c r="BY1331" s="2">
        <v>8915.4</v>
      </c>
      <c r="BZ1331" s="2"/>
      <c r="CA1331" s="2" t="s">
        <v>129</v>
      </c>
      <c r="CB1331" s="2"/>
      <c r="CC1331" s="2" t="s">
        <v>161</v>
      </c>
      <c r="CD1331" s="2">
        <v>7405</v>
      </c>
      <c r="CE1331" s="2" t="s">
        <v>108</v>
      </c>
      <c r="CF1331" s="5">
        <v>42661</v>
      </c>
      <c r="CG1331" s="2"/>
      <c r="CH1331" s="2"/>
      <c r="CI1331" s="2">
        <v>1</v>
      </c>
      <c r="CJ1331" s="2">
        <v>1</v>
      </c>
      <c r="CK1331" s="2">
        <v>21</v>
      </c>
      <c r="CL1331" s="2" t="s">
        <v>88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"FES1162506734"</f>
        <v>FES1162506734</v>
      </c>
      <c r="F1332" s="3">
        <v>42657</v>
      </c>
      <c r="G1332" s="2">
        <v>201704</v>
      </c>
      <c r="H1332" s="2" t="s">
        <v>74</v>
      </c>
      <c r="I1332" s="2" t="s">
        <v>75</v>
      </c>
      <c r="J1332" s="2" t="s">
        <v>76</v>
      </c>
      <c r="K1332" s="2" t="s">
        <v>77</v>
      </c>
      <c r="L1332" s="2" t="s">
        <v>218</v>
      </c>
      <c r="M1332" s="2" t="s">
        <v>219</v>
      </c>
      <c r="N1332" s="2" t="s">
        <v>220</v>
      </c>
      <c r="O1332" s="2" t="s">
        <v>96</v>
      </c>
      <c r="P1332" s="2" t="str">
        <f>"2170530225                    "</f>
        <v xml:space="preserve">2170530225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3.32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</v>
      </c>
      <c r="BJ1332" s="2">
        <v>0.2</v>
      </c>
      <c r="BK1332" s="2">
        <v>1</v>
      </c>
      <c r="BL1332" s="2">
        <v>40.76</v>
      </c>
      <c r="BM1332" s="2">
        <v>5.71</v>
      </c>
      <c r="BN1332" s="2">
        <v>46.47</v>
      </c>
      <c r="BO1332" s="2">
        <v>46.47</v>
      </c>
      <c r="BP1332" s="2"/>
      <c r="BQ1332" s="2" t="s">
        <v>91</v>
      </c>
      <c r="BR1332" s="2" t="s">
        <v>83</v>
      </c>
      <c r="BS1332" s="3">
        <v>42660</v>
      </c>
      <c r="BT1332" s="4">
        <v>0.3888888888888889</v>
      </c>
      <c r="BU1332" s="2" t="s">
        <v>1654</v>
      </c>
      <c r="BV1332" s="2" t="s">
        <v>85</v>
      </c>
      <c r="BW1332" s="2"/>
      <c r="BX1332" s="2"/>
      <c r="BY1332" s="2">
        <v>1200</v>
      </c>
      <c r="BZ1332" s="2"/>
      <c r="CA1332" s="2" t="s">
        <v>129</v>
      </c>
      <c r="CB1332" s="2"/>
      <c r="CC1332" s="2" t="s">
        <v>219</v>
      </c>
      <c r="CD1332" s="2">
        <v>7600</v>
      </c>
      <c r="CE1332" s="2" t="s">
        <v>108</v>
      </c>
      <c r="CF1332" s="5">
        <v>42661</v>
      </c>
      <c r="CG1332" s="2"/>
      <c r="CH1332" s="2"/>
      <c r="CI1332" s="2">
        <v>1</v>
      </c>
      <c r="CJ1332" s="2">
        <v>1</v>
      </c>
      <c r="CK1332" s="2">
        <v>21</v>
      </c>
      <c r="CL1332" s="2" t="s">
        <v>88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"FES1162506726"</f>
        <v>FES1162506726</v>
      </c>
      <c r="F1333" s="3">
        <v>42657</v>
      </c>
      <c r="G1333" s="2">
        <v>201704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160</v>
      </c>
      <c r="M1333" s="2" t="s">
        <v>161</v>
      </c>
      <c r="N1333" s="2" t="s">
        <v>411</v>
      </c>
      <c r="O1333" s="2" t="s">
        <v>96</v>
      </c>
      <c r="P1333" s="2" t="str">
        <f>"2170519180                    "</f>
        <v xml:space="preserve">2170519180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3.32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1</v>
      </c>
      <c r="BJ1333" s="2">
        <v>0.2</v>
      </c>
      <c r="BK1333" s="2">
        <v>1</v>
      </c>
      <c r="BL1333" s="2">
        <v>40.76</v>
      </c>
      <c r="BM1333" s="2">
        <v>5.71</v>
      </c>
      <c r="BN1333" s="2">
        <v>46.47</v>
      </c>
      <c r="BO1333" s="2">
        <v>46.47</v>
      </c>
      <c r="BP1333" s="2"/>
      <c r="BQ1333" s="2" t="s">
        <v>412</v>
      </c>
      <c r="BR1333" s="2" t="s">
        <v>83</v>
      </c>
      <c r="BS1333" s="3">
        <v>42660</v>
      </c>
      <c r="BT1333" s="4">
        <v>0.4375</v>
      </c>
      <c r="BU1333" s="2" t="s">
        <v>413</v>
      </c>
      <c r="BV1333" s="2" t="s">
        <v>85</v>
      </c>
      <c r="BW1333" s="2"/>
      <c r="BX1333" s="2"/>
      <c r="BY1333" s="2">
        <v>1200</v>
      </c>
      <c r="BZ1333" s="2"/>
      <c r="CA1333" s="2"/>
      <c r="CB1333" s="2"/>
      <c r="CC1333" s="2" t="s">
        <v>161</v>
      </c>
      <c r="CD1333" s="2">
        <v>7945</v>
      </c>
      <c r="CE1333" s="2" t="s">
        <v>108</v>
      </c>
      <c r="CF1333" s="5">
        <v>42661</v>
      </c>
      <c r="CG1333" s="2"/>
      <c r="CH1333" s="2"/>
      <c r="CI1333" s="2">
        <v>1</v>
      </c>
      <c r="CJ1333" s="2">
        <v>1</v>
      </c>
      <c r="CK1333" s="2">
        <v>21</v>
      </c>
      <c r="CL1333" s="2" t="s">
        <v>88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"FES1162506738"</f>
        <v>FES1162506738</v>
      </c>
      <c r="F1334" s="3">
        <v>42657</v>
      </c>
      <c r="G1334" s="2">
        <v>201704</v>
      </c>
      <c r="H1334" s="2" t="s">
        <v>74</v>
      </c>
      <c r="I1334" s="2" t="s">
        <v>75</v>
      </c>
      <c r="J1334" s="2" t="s">
        <v>76</v>
      </c>
      <c r="K1334" s="2" t="s">
        <v>77</v>
      </c>
      <c r="L1334" s="2" t="s">
        <v>124</v>
      </c>
      <c r="M1334" s="2" t="s">
        <v>125</v>
      </c>
      <c r="N1334" s="2" t="s">
        <v>583</v>
      </c>
      <c r="O1334" s="2" t="s">
        <v>96</v>
      </c>
      <c r="P1334" s="2" t="str">
        <f>"2170530239                    "</f>
        <v xml:space="preserve">2170530239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3.32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</v>
      </c>
      <c r="BJ1334" s="2">
        <v>0.2</v>
      </c>
      <c r="BK1334" s="2">
        <v>1</v>
      </c>
      <c r="BL1334" s="2">
        <v>40.76</v>
      </c>
      <c r="BM1334" s="2">
        <v>5.71</v>
      </c>
      <c r="BN1334" s="2">
        <v>46.47</v>
      </c>
      <c r="BO1334" s="2">
        <v>46.47</v>
      </c>
      <c r="BP1334" s="2"/>
      <c r="BQ1334" s="2" t="s">
        <v>117</v>
      </c>
      <c r="BR1334" s="2" t="s">
        <v>83</v>
      </c>
      <c r="BS1334" s="3">
        <v>42660</v>
      </c>
      <c r="BT1334" s="4">
        <v>0.4548611111111111</v>
      </c>
      <c r="BU1334" s="2" t="s">
        <v>1655</v>
      </c>
      <c r="BV1334" s="2" t="s">
        <v>85</v>
      </c>
      <c r="BW1334" s="2"/>
      <c r="BX1334" s="2"/>
      <c r="BY1334" s="2">
        <v>1200</v>
      </c>
      <c r="BZ1334" s="2"/>
      <c r="CA1334" s="2" t="s">
        <v>129</v>
      </c>
      <c r="CB1334" s="2"/>
      <c r="CC1334" s="2" t="s">
        <v>125</v>
      </c>
      <c r="CD1334" s="2">
        <v>7140</v>
      </c>
      <c r="CE1334" s="2" t="s">
        <v>108</v>
      </c>
      <c r="CF1334" s="5">
        <v>42661</v>
      </c>
      <c r="CG1334" s="2"/>
      <c r="CH1334" s="2"/>
      <c r="CI1334" s="2">
        <v>1</v>
      </c>
      <c r="CJ1334" s="2">
        <v>1</v>
      </c>
      <c r="CK1334" s="2">
        <v>21</v>
      </c>
      <c r="CL1334" s="2" t="s">
        <v>88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"RFES1162505357"</f>
        <v>RFES1162505357</v>
      </c>
      <c r="F1335" s="3">
        <v>42657</v>
      </c>
      <c r="G1335" s="2">
        <v>201704</v>
      </c>
      <c r="H1335" s="2" t="s">
        <v>207</v>
      </c>
      <c r="I1335" s="2" t="s">
        <v>208</v>
      </c>
      <c r="J1335" s="2" t="s">
        <v>651</v>
      </c>
      <c r="K1335" s="2" t="s">
        <v>77</v>
      </c>
      <c r="L1335" s="2" t="s">
        <v>74</v>
      </c>
      <c r="M1335" s="2" t="s">
        <v>75</v>
      </c>
      <c r="N1335" s="2" t="s">
        <v>76</v>
      </c>
      <c r="O1335" s="2" t="s">
        <v>96</v>
      </c>
      <c r="P1335" s="2" t="str">
        <f>"2170529028                    "</f>
        <v xml:space="preserve">2170529028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3.32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1</v>
      </c>
      <c r="BJ1335" s="2">
        <v>0.2</v>
      </c>
      <c r="BK1335" s="2">
        <v>1</v>
      </c>
      <c r="BL1335" s="2">
        <v>40.76</v>
      </c>
      <c r="BM1335" s="2">
        <v>5.71</v>
      </c>
      <c r="BN1335" s="2">
        <v>46.47</v>
      </c>
      <c r="BO1335" s="2">
        <v>46.47</v>
      </c>
      <c r="BP1335" s="2"/>
      <c r="BQ1335" s="2" t="s">
        <v>83</v>
      </c>
      <c r="BR1335" s="2" t="s">
        <v>652</v>
      </c>
      <c r="BS1335" s="3">
        <v>42660</v>
      </c>
      <c r="BT1335" s="4">
        <v>0.34722222222222227</v>
      </c>
      <c r="BU1335" s="2" t="s">
        <v>102</v>
      </c>
      <c r="BV1335" s="2" t="s">
        <v>85</v>
      </c>
      <c r="BW1335" s="2"/>
      <c r="BX1335" s="2"/>
      <c r="BY1335" s="2">
        <v>1200</v>
      </c>
      <c r="BZ1335" s="2"/>
      <c r="CA1335" s="2"/>
      <c r="CB1335" s="2"/>
      <c r="CC1335" s="2" t="s">
        <v>75</v>
      </c>
      <c r="CD1335" s="2">
        <v>1601</v>
      </c>
      <c r="CE1335" s="2" t="s">
        <v>108</v>
      </c>
      <c r="CF1335" s="2"/>
      <c r="CG1335" s="2"/>
      <c r="CH1335" s="2"/>
      <c r="CI1335" s="2">
        <v>1</v>
      </c>
      <c r="CJ1335" s="2">
        <v>1</v>
      </c>
      <c r="CK1335" s="2">
        <v>21</v>
      </c>
      <c r="CL1335" s="2" t="s">
        <v>88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"FES1162506744"</f>
        <v>FES1162506744</v>
      </c>
      <c r="F1336" s="3">
        <v>42657</v>
      </c>
      <c r="G1336" s="2">
        <v>201704</v>
      </c>
      <c r="H1336" s="2" t="s">
        <v>74</v>
      </c>
      <c r="I1336" s="2" t="s">
        <v>75</v>
      </c>
      <c r="J1336" s="2" t="s">
        <v>76</v>
      </c>
      <c r="K1336" s="2" t="s">
        <v>77</v>
      </c>
      <c r="L1336" s="2" t="s">
        <v>1062</v>
      </c>
      <c r="M1336" s="2" t="s">
        <v>161</v>
      </c>
      <c r="N1336" s="2" t="s">
        <v>622</v>
      </c>
      <c r="O1336" s="2" t="s">
        <v>81</v>
      </c>
      <c r="P1336" s="2" t="str">
        <f>"2170527252                    "</f>
        <v xml:space="preserve">2170527252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14.93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3</v>
      </c>
      <c r="BI1336" s="2">
        <v>30.7</v>
      </c>
      <c r="BJ1336" s="2">
        <v>42.6</v>
      </c>
      <c r="BK1336" s="2">
        <v>43</v>
      </c>
      <c r="BL1336" s="2">
        <v>188.41</v>
      </c>
      <c r="BM1336" s="2">
        <v>26.38</v>
      </c>
      <c r="BN1336" s="2">
        <v>214.79</v>
      </c>
      <c r="BO1336" s="2">
        <v>214.79</v>
      </c>
      <c r="BP1336" s="2" t="s">
        <v>1656</v>
      </c>
      <c r="BQ1336" s="2" t="s">
        <v>623</v>
      </c>
      <c r="BR1336" s="2" t="s">
        <v>83</v>
      </c>
      <c r="BS1336" s="3">
        <v>42660</v>
      </c>
      <c r="BT1336" s="4">
        <v>0.41666666666666669</v>
      </c>
      <c r="BU1336" s="2" t="s">
        <v>1657</v>
      </c>
      <c r="BV1336" s="2" t="s">
        <v>85</v>
      </c>
      <c r="BW1336" s="2"/>
      <c r="BX1336" s="2"/>
      <c r="BY1336" s="2">
        <v>212789.3</v>
      </c>
      <c r="BZ1336" s="2"/>
      <c r="CA1336" s="2" t="s">
        <v>129</v>
      </c>
      <c r="CB1336" s="2"/>
      <c r="CC1336" s="2" t="s">
        <v>161</v>
      </c>
      <c r="CD1336" s="2">
        <v>7490</v>
      </c>
      <c r="CE1336" s="2" t="s">
        <v>86</v>
      </c>
      <c r="CF1336" s="5">
        <v>42661</v>
      </c>
      <c r="CG1336" s="2"/>
      <c r="CH1336" s="2"/>
      <c r="CI1336" s="2">
        <v>2</v>
      </c>
      <c r="CJ1336" s="2">
        <v>1</v>
      </c>
      <c r="CK1336" s="2" t="s">
        <v>1063</v>
      </c>
      <c r="CL1336" s="2" t="s">
        <v>88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"FES1162506872"</f>
        <v>FES1162506872</v>
      </c>
      <c r="F1337" s="3">
        <v>42657</v>
      </c>
      <c r="G1337" s="2">
        <v>201704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698</v>
      </c>
      <c r="M1337" s="2" t="s">
        <v>699</v>
      </c>
      <c r="N1337" s="2" t="s">
        <v>1290</v>
      </c>
      <c r="O1337" s="2" t="s">
        <v>81</v>
      </c>
      <c r="P1337" s="2" t="str">
        <f>"2170530404                    "</f>
        <v xml:space="preserve">2170530404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4.66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5</v>
      </c>
      <c r="BJ1337" s="2">
        <v>1</v>
      </c>
      <c r="BK1337" s="2">
        <v>5</v>
      </c>
      <c r="BL1337" s="2">
        <v>62.31</v>
      </c>
      <c r="BM1337" s="2">
        <v>8.7200000000000006</v>
      </c>
      <c r="BN1337" s="2">
        <v>71.03</v>
      </c>
      <c r="BO1337" s="2">
        <v>71.03</v>
      </c>
      <c r="BP1337" s="2"/>
      <c r="BQ1337" s="2" t="s">
        <v>91</v>
      </c>
      <c r="BR1337" s="2" t="s">
        <v>83</v>
      </c>
      <c r="BS1337" s="3">
        <v>42660</v>
      </c>
      <c r="BT1337" s="4">
        <v>0.54166666666666663</v>
      </c>
      <c r="BU1337" s="2" t="s">
        <v>1394</v>
      </c>
      <c r="BV1337" s="2" t="s">
        <v>85</v>
      </c>
      <c r="BW1337" s="2"/>
      <c r="BX1337" s="2"/>
      <c r="BY1337" s="2">
        <v>4797</v>
      </c>
      <c r="BZ1337" s="2"/>
      <c r="CA1337" s="2"/>
      <c r="CB1337" s="2"/>
      <c r="CC1337" s="2" t="s">
        <v>699</v>
      </c>
      <c r="CD1337" s="2">
        <v>1759</v>
      </c>
      <c r="CE1337" s="2" t="s">
        <v>86</v>
      </c>
      <c r="CF1337" s="5">
        <v>42661</v>
      </c>
      <c r="CG1337" s="2"/>
      <c r="CH1337" s="2"/>
      <c r="CI1337" s="2">
        <v>1</v>
      </c>
      <c r="CJ1337" s="2">
        <v>1</v>
      </c>
      <c r="CK1337" s="2" t="s">
        <v>1292</v>
      </c>
      <c r="CL1337" s="2" t="s">
        <v>88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"FES1162506899"</f>
        <v>FES1162506899</v>
      </c>
      <c r="F1338" s="3">
        <v>42657</v>
      </c>
      <c r="G1338" s="2">
        <v>201704</v>
      </c>
      <c r="H1338" s="2" t="s">
        <v>74</v>
      </c>
      <c r="I1338" s="2" t="s">
        <v>75</v>
      </c>
      <c r="J1338" s="2" t="s">
        <v>76</v>
      </c>
      <c r="K1338" s="2" t="s">
        <v>77</v>
      </c>
      <c r="L1338" s="2" t="s">
        <v>1122</v>
      </c>
      <c r="M1338" s="2" t="s">
        <v>1123</v>
      </c>
      <c r="N1338" s="2" t="s">
        <v>1124</v>
      </c>
      <c r="O1338" s="2" t="s">
        <v>81</v>
      </c>
      <c r="P1338" s="2" t="str">
        <f>"2170530439                    "</f>
        <v xml:space="preserve">2170530439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5.7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10.5</v>
      </c>
      <c r="BJ1338" s="2">
        <v>4.0999999999999996</v>
      </c>
      <c r="BK1338" s="2">
        <v>11</v>
      </c>
      <c r="BL1338" s="2">
        <v>75.05</v>
      </c>
      <c r="BM1338" s="2">
        <v>10.51</v>
      </c>
      <c r="BN1338" s="2">
        <v>85.56</v>
      </c>
      <c r="BO1338" s="2">
        <v>85.56</v>
      </c>
      <c r="BP1338" s="2"/>
      <c r="BQ1338" s="2" t="s">
        <v>1125</v>
      </c>
      <c r="BR1338" s="2" t="s">
        <v>83</v>
      </c>
      <c r="BS1338" s="3">
        <v>42660</v>
      </c>
      <c r="BT1338" s="4">
        <v>0.41666666666666669</v>
      </c>
      <c r="BU1338" s="2" t="s">
        <v>1247</v>
      </c>
      <c r="BV1338" s="2" t="s">
        <v>85</v>
      </c>
      <c r="BW1338" s="2"/>
      <c r="BX1338" s="2"/>
      <c r="BY1338" s="2">
        <v>20659.11</v>
      </c>
      <c r="BZ1338" s="2"/>
      <c r="CA1338" s="2" t="s">
        <v>129</v>
      </c>
      <c r="CB1338" s="2"/>
      <c r="CC1338" s="2" t="s">
        <v>1123</v>
      </c>
      <c r="CD1338" s="2">
        <v>1911</v>
      </c>
      <c r="CE1338" s="2" t="s">
        <v>86</v>
      </c>
      <c r="CF1338" s="5">
        <v>42662</v>
      </c>
      <c r="CG1338" s="2"/>
      <c r="CH1338" s="2"/>
      <c r="CI1338" s="2">
        <v>1</v>
      </c>
      <c r="CJ1338" s="2">
        <v>1</v>
      </c>
      <c r="CK1338" s="2" t="s">
        <v>87</v>
      </c>
      <c r="CL1338" s="2" t="s">
        <v>88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"FES1162506811"</f>
        <v>FES1162506811</v>
      </c>
      <c r="F1339" s="3">
        <v>42657</v>
      </c>
      <c r="G1339" s="2">
        <v>201704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148</v>
      </c>
      <c r="M1339" s="2" t="s">
        <v>149</v>
      </c>
      <c r="N1339" s="2" t="s">
        <v>1658</v>
      </c>
      <c r="O1339" s="2" t="s">
        <v>96</v>
      </c>
      <c r="P1339" s="2" t="str">
        <f>"2170530332                    "</f>
        <v xml:space="preserve">2170530332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3.32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0.5</v>
      </c>
      <c r="BJ1339" s="2">
        <v>0.2</v>
      </c>
      <c r="BK1339" s="2">
        <v>0.5</v>
      </c>
      <c r="BL1339" s="2">
        <v>40.76</v>
      </c>
      <c r="BM1339" s="2">
        <v>5.71</v>
      </c>
      <c r="BN1339" s="2">
        <v>46.47</v>
      </c>
      <c r="BO1339" s="2">
        <v>46.47</v>
      </c>
      <c r="BP1339" s="2"/>
      <c r="BQ1339" s="2" t="s">
        <v>82</v>
      </c>
      <c r="BR1339" s="2" t="s">
        <v>83</v>
      </c>
      <c r="BS1339" s="3">
        <v>42660</v>
      </c>
      <c r="BT1339" s="4">
        <v>0.4375</v>
      </c>
      <c r="BU1339" s="2" t="s">
        <v>1637</v>
      </c>
      <c r="BV1339" s="2" t="s">
        <v>85</v>
      </c>
      <c r="BW1339" s="2"/>
      <c r="BX1339" s="2"/>
      <c r="BY1339" s="2">
        <v>1200</v>
      </c>
      <c r="BZ1339" s="2"/>
      <c r="CA1339" s="2"/>
      <c r="CB1339" s="2"/>
      <c r="CC1339" s="2" t="s">
        <v>149</v>
      </c>
      <c r="CD1339" s="2">
        <v>4068</v>
      </c>
      <c r="CE1339" s="2" t="s">
        <v>108</v>
      </c>
      <c r="CF1339" s="5">
        <v>42661</v>
      </c>
      <c r="CG1339" s="2"/>
      <c r="CH1339" s="2"/>
      <c r="CI1339" s="2">
        <v>1</v>
      </c>
      <c r="CJ1339" s="2">
        <v>1</v>
      </c>
      <c r="CK1339" s="2">
        <v>21</v>
      </c>
      <c r="CL1339" s="2" t="s">
        <v>88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"FES1162506906"</f>
        <v>FES1162506906</v>
      </c>
      <c r="F1340" s="3">
        <v>42657</v>
      </c>
      <c r="G1340" s="2">
        <v>201704</v>
      </c>
      <c r="H1340" s="2" t="s">
        <v>74</v>
      </c>
      <c r="I1340" s="2" t="s">
        <v>75</v>
      </c>
      <c r="J1340" s="2" t="s">
        <v>76</v>
      </c>
      <c r="K1340" s="2" t="s">
        <v>77</v>
      </c>
      <c r="L1340" s="2" t="s">
        <v>160</v>
      </c>
      <c r="M1340" s="2" t="s">
        <v>161</v>
      </c>
      <c r="N1340" s="2" t="s">
        <v>176</v>
      </c>
      <c r="O1340" s="2" t="s">
        <v>96</v>
      </c>
      <c r="P1340" s="2" t="str">
        <f>"2170530462                    "</f>
        <v xml:space="preserve">2170530462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3.32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0.5</v>
      </c>
      <c r="BJ1340" s="2">
        <v>0.2</v>
      </c>
      <c r="BK1340" s="2">
        <v>0.5</v>
      </c>
      <c r="BL1340" s="2">
        <v>40.76</v>
      </c>
      <c r="BM1340" s="2">
        <v>5.71</v>
      </c>
      <c r="BN1340" s="2">
        <v>46.47</v>
      </c>
      <c r="BO1340" s="2">
        <v>46.47</v>
      </c>
      <c r="BP1340" s="2"/>
      <c r="BQ1340" s="2" t="s">
        <v>177</v>
      </c>
      <c r="BR1340" s="2" t="s">
        <v>83</v>
      </c>
      <c r="BS1340" s="3">
        <v>42660</v>
      </c>
      <c r="BT1340" s="4">
        <v>0.39444444444444443</v>
      </c>
      <c r="BU1340" s="2" t="s">
        <v>1659</v>
      </c>
      <c r="BV1340" s="2" t="s">
        <v>85</v>
      </c>
      <c r="BW1340" s="2"/>
      <c r="BX1340" s="2"/>
      <c r="BY1340" s="2">
        <v>1200</v>
      </c>
      <c r="BZ1340" s="2"/>
      <c r="CA1340" s="2"/>
      <c r="CB1340" s="2"/>
      <c r="CC1340" s="2" t="s">
        <v>161</v>
      </c>
      <c r="CD1340" s="2">
        <v>7530</v>
      </c>
      <c r="CE1340" s="2" t="s">
        <v>108</v>
      </c>
      <c r="CF1340" s="5">
        <v>42661</v>
      </c>
      <c r="CG1340" s="2"/>
      <c r="CH1340" s="2"/>
      <c r="CI1340" s="2">
        <v>1</v>
      </c>
      <c r="CJ1340" s="2">
        <v>1</v>
      </c>
      <c r="CK1340" s="2">
        <v>21</v>
      </c>
      <c r="CL1340" s="2" t="s">
        <v>88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"FES1162506748"</f>
        <v>FES1162506748</v>
      </c>
      <c r="F1341" s="3">
        <v>42657</v>
      </c>
      <c r="G1341" s="2">
        <v>201704</v>
      </c>
      <c r="H1341" s="2" t="s">
        <v>74</v>
      </c>
      <c r="I1341" s="2" t="s">
        <v>75</v>
      </c>
      <c r="J1341" s="2" t="s">
        <v>76</v>
      </c>
      <c r="K1341" s="2" t="s">
        <v>77</v>
      </c>
      <c r="L1341" s="2" t="s">
        <v>898</v>
      </c>
      <c r="M1341" s="2" t="s">
        <v>899</v>
      </c>
      <c r="N1341" s="2" t="s">
        <v>900</v>
      </c>
      <c r="O1341" s="2" t="s">
        <v>96</v>
      </c>
      <c r="P1341" s="2" t="str">
        <f>"2170528235                    "</f>
        <v xml:space="preserve">2170528235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3.32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0.5</v>
      </c>
      <c r="BJ1341" s="2">
        <v>0.2</v>
      </c>
      <c r="BK1341" s="2">
        <v>0.5</v>
      </c>
      <c r="BL1341" s="2">
        <v>40.76</v>
      </c>
      <c r="BM1341" s="2">
        <v>5.71</v>
      </c>
      <c r="BN1341" s="2">
        <v>46.47</v>
      </c>
      <c r="BO1341" s="2">
        <v>46.47</v>
      </c>
      <c r="BP1341" s="2"/>
      <c r="BQ1341" s="2" t="s">
        <v>901</v>
      </c>
      <c r="BR1341" s="2" t="s">
        <v>83</v>
      </c>
      <c r="BS1341" s="3">
        <v>42661</v>
      </c>
      <c r="BT1341" s="4">
        <v>0.41666666666666669</v>
      </c>
      <c r="BU1341" s="2" t="s">
        <v>902</v>
      </c>
      <c r="BV1341" s="2" t="s">
        <v>88</v>
      </c>
      <c r="BW1341" s="2" t="s">
        <v>277</v>
      </c>
      <c r="BX1341" s="2" t="s">
        <v>223</v>
      </c>
      <c r="BY1341" s="2">
        <v>1200</v>
      </c>
      <c r="BZ1341" s="2"/>
      <c r="CA1341" s="2"/>
      <c r="CB1341" s="2"/>
      <c r="CC1341" s="2" t="s">
        <v>899</v>
      </c>
      <c r="CD1341" s="2">
        <v>7654</v>
      </c>
      <c r="CE1341" s="2" t="s">
        <v>108</v>
      </c>
      <c r="CF1341" s="5">
        <v>42662</v>
      </c>
      <c r="CG1341" s="2"/>
      <c r="CH1341" s="2"/>
      <c r="CI1341" s="2">
        <v>1</v>
      </c>
      <c r="CJ1341" s="2">
        <v>2</v>
      </c>
      <c r="CK1341" s="2">
        <v>21</v>
      </c>
      <c r="CL1341" s="2" t="s">
        <v>88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"FES1162506756"</f>
        <v>FES1162506756</v>
      </c>
      <c r="F1342" s="3">
        <v>42657</v>
      </c>
      <c r="G1342" s="2">
        <v>201704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491</v>
      </c>
      <c r="M1342" s="2" t="s">
        <v>492</v>
      </c>
      <c r="N1342" s="2" t="s">
        <v>1651</v>
      </c>
      <c r="O1342" s="2" t="s">
        <v>96</v>
      </c>
      <c r="P1342" s="2" t="str">
        <f>"2170530257                    "</f>
        <v xml:space="preserve">2170530257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3.32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0.5</v>
      </c>
      <c r="BJ1342" s="2">
        <v>0.2</v>
      </c>
      <c r="BK1342" s="2">
        <v>0.5</v>
      </c>
      <c r="BL1342" s="2">
        <v>40.76</v>
      </c>
      <c r="BM1342" s="2">
        <v>5.71</v>
      </c>
      <c r="BN1342" s="2">
        <v>46.47</v>
      </c>
      <c r="BO1342" s="2">
        <v>46.47</v>
      </c>
      <c r="BP1342" s="2"/>
      <c r="BQ1342" s="2" t="s">
        <v>117</v>
      </c>
      <c r="BR1342" s="2" t="s">
        <v>83</v>
      </c>
      <c r="BS1342" s="3">
        <v>42660</v>
      </c>
      <c r="BT1342" s="4">
        <v>0.4375</v>
      </c>
      <c r="BU1342" s="2" t="s">
        <v>1660</v>
      </c>
      <c r="BV1342" s="2" t="s">
        <v>85</v>
      </c>
      <c r="BW1342" s="2"/>
      <c r="BX1342" s="2"/>
      <c r="BY1342" s="2">
        <v>1200</v>
      </c>
      <c r="BZ1342" s="2"/>
      <c r="CA1342" s="2"/>
      <c r="CB1342" s="2"/>
      <c r="CC1342" s="2" t="s">
        <v>492</v>
      </c>
      <c r="CD1342" s="2">
        <v>3699</v>
      </c>
      <c r="CE1342" s="2" t="s">
        <v>108</v>
      </c>
      <c r="CF1342" s="5">
        <v>42661</v>
      </c>
      <c r="CG1342" s="2"/>
      <c r="CH1342" s="2"/>
      <c r="CI1342" s="2">
        <v>1</v>
      </c>
      <c r="CJ1342" s="2">
        <v>1</v>
      </c>
      <c r="CK1342" s="2">
        <v>21</v>
      </c>
      <c r="CL1342" s="2" t="s">
        <v>88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"FES1162506758"</f>
        <v>FES1162506758</v>
      </c>
      <c r="F1343" s="3">
        <v>42657</v>
      </c>
      <c r="G1343" s="2">
        <v>201704</v>
      </c>
      <c r="H1343" s="2" t="s">
        <v>74</v>
      </c>
      <c r="I1343" s="2" t="s">
        <v>75</v>
      </c>
      <c r="J1343" s="2" t="s">
        <v>76</v>
      </c>
      <c r="K1343" s="2" t="s">
        <v>77</v>
      </c>
      <c r="L1343" s="2" t="s">
        <v>148</v>
      </c>
      <c r="M1343" s="2" t="s">
        <v>149</v>
      </c>
      <c r="N1343" s="2" t="s">
        <v>1647</v>
      </c>
      <c r="O1343" s="2" t="s">
        <v>96</v>
      </c>
      <c r="P1343" s="2" t="str">
        <f>"2170530259                    "</f>
        <v xml:space="preserve">2170530259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3.32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0.5</v>
      </c>
      <c r="BJ1343" s="2">
        <v>0.2</v>
      </c>
      <c r="BK1343" s="2">
        <v>0.5</v>
      </c>
      <c r="BL1343" s="2">
        <v>40.76</v>
      </c>
      <c r="BM1343" s="2">
        <v>5.71</v>
      </c>
      <c r="BN1343" s="2">
        <v>46.47</v>
      </c>
      <c r="BO1343" s="2">
        <v>46.47</v>
      </c>
      <c r="BP1343" s="2"/>
      <c r="BQ1343" s="2" t="s">
        <v>1648</v>
      </c>
      <c r="BR1343" s="2" t="s">
        <v>83</v>
      </c>
      <c r="BS1343" s="3">
        <v>42660</v>
      </c>
      <c r="BT1343" s="4">
        <v>0.4375</v>
      </c>
      <c r="BU1343" s="2" t="s">
        <v>1649</v>
      </c>
      <c r="BV1343" s="2" t="s">
        <v>85</v>
      </c>
      <c r="BW1343" s="2"/>
      <c r="BX1343" s="2"/>
      <c r="BY1343" s="2">
        <v>1200</v>
      </c>
      <c r="BZ1343" s="2"/>
      <c r="CA1343" s="2" t="s">
        <v>129</v>
      </c>
      <c r="CB1343" s="2"/>
      <c r="CC1343" s="2" t="s">
        <v>149</v>
      </c>
      <c r="CD1343" s="2">
        <v>4001</v>
      </c>
      <c r="CE1343" s="2" t="s">
        <v>108</v>
      </c>
      <c r="CF1343" s="5">
        <v>42661</v>
      </c>
      <c r="CG1343" s="2"/>
      <c r="CH1343" s="2"/>
      <c r="CI1343" s="2">
        <v>1</v>
      </c>
      <c r="CJ1343" s="2">
        <v>1</v>
      </c>
      <c r="CK1343" s="2">
        <v>21</v>
      </c>
      <c r="CL1343" s="2" t="s">
        <v>88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"FES1162506762"</f>
        <v>FES1162506762</v>
      </c>
      <c r="F1344" s="3">
        <v>42657</v>
      </c>
      <c r="G1344" s="2">
        <v>201704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148</v>
      </c>
      <c r="M1344" s="2" t="s">
        <v>149</v>
      </c>
      <c r="N1344" s="2" t="s">
        <v>483</v>
      </c>
      <c r="O1344" s="2" t="s">
        <v>96</v>
      </c>
      <c r="P1344" s="2" t="str">
        <f>"2170530262                    "</f>
        <v xml:space="preserve">2170530262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3.32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0.5</v>
      </c>
      <c r="BJ1344" s="2">
        <v>0.2</v>
      </c>
      <c r="BK1344" s="2">
        <v>0.5</v>
      </c>
      <c r="BL1344" s="2">
        <v>40.76</v>
      </c>
      <c r="BM1344" s="2">
        <v>5.71</v>
      </c>
      <c r="BN1344" s="2">
        <v>46.47</v>
      </c>
      <c r="BO1344" s="2">
        <v>46.47</v>
      </c>
      <c r="BP1344" s="2"/>
      <c r="BQ1344" s="2" t="s">
        <v>484</v>
      </c>
      <c r="BR1344" s="2" t="s">
        <v>83</v>
      </c>
      <c r="BS1344" s="3">
        <v>42660</v>
      </c>
      <c r="BT1344" s="4">
        <v>0.4375</v>
      </c>
      <c r="BU1344" s="2" t="s">
        <v>1661</v>
      </c>
      <c r="BV1344" s="2"/>
      <c r="BW1344" s="2"/>
      <c r="BX1344" s="2"/>
      <c r="BY1344" s="2">
        <v>1200</v>
      </c>
      <c r="BZ1344" s="2"/>
      <c r="CA1344" s="2"/>
      <c r="CB1344" s="2"/>
      <c r="CC1344" s="2" t="s">
        <v>149</v>
      </c>
      <c r="CD1344" s="2">
        <v>4001</v>
      </c>
      <c r="CE1344" s="2" t="s">
        <v>108</v>
      </c>
      <c r="CF1344" s="5">
        <v>42661</v>
      </c>
      <c r="CG1344" s="2"/>
      <c r="CH1344" s="2"/>
      <c r="CI1344" s="2">
        <v>0</v>
      </c>
      <c r="CJ1344" s="2">
        <v>0</v>
      </c>
      <c r="CK1344" s="2">
        <v>21</v>
      </c>
      <c r="CL1344" s="2" t="s">
        <v>88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"FES1162506871"</f>
        <v>FES1162506871</v>
      </c>
      <c r="F1345" s="3">
        <v>42657</v>
      </c>
      <c r="G1345" s="2">
        <v>201704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153</v>
      </c>
      <c r="M1345" s="2" t="s">
        <v>153</v>
      </c>
      <c r="N1345" s="2" t="s">
        <v>343</v>
      </c>
      <c r="O1345" s="2" t="s">
        <v>96</v>
      </c>
      <c r="P1345" s="2" t="str">
        <f>"2170530403                    "</f>
        <v xml:space="preserve">2170530403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3.32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0.5</v>
      </c>
      <c r="BJ1345" s="2">
        <v>0.2</v>
      </c>
      <c r="BK1345" s="2">
        <v>0.5</v>
      </c>
      <c r="BL1345" s="2">
        <v>40.76</v>
      </c>
      <c r="BM1345" s="2">
        <v>5.71</v>
      </c>
      <c r="BN1345" s="2">
        <v>46.47</v>
      </c>
      <c r="BO1345" s="2">
        <v>46.47</v>
      </c>
      <c r="BP1345" s="2"/>
      <c r="BQ1345" s="2" t="s">
        <v>344</v>
      </c>
      <c r="BR1345" s="2" t="s">
        <v>83</v>
      </c>
      <c r="BS1345" s="3">
        <v>42660</v>
      </c>
      <c r="BT1345" s="4">
        <v>0.43055555555555558</v>
      </c>
      <c r="BU1345" s="2" t="s">
        <v>720</v>
      </c>
      <c r="BV1345" s="2" t="s">
        <v>85</v>
      </c>
      <c r="BW1345" s="2"/>
      <c r="BX1345" s="2"/>
      <c r="BY1345" s="2">
        <v>1200</v>
      </c>
      <c r="BZ1345" s="2"/>
      <c r="CA1345" s="2"/>
      <c r="CB1345" s="2"/>
      <c r="CC1345" s="2" t="s">
        <v>153</v>
      </c>
      <c r="CD1345" s="2">
        <v>7646</v>
      </c>
      <c r="CE1345" s="2" t="s">
        <v>108</v>
      </c>
      <c r="CF1345" s="5">
        <v>42661</v>
      </c>
      <c r="CG1345" s="2"/>
      <c r="CH1345" s="2"/>
      <c r="CI1345" s="2">
        <v>1</v>
      </c>
      <c r="CJ1345" s="2">
        <v>1</v>
      </c>
      <c r="CK1345" s="2">
        <v>21</v>
      </c>
      <c r="CL1345" s="2" t="s">
        <v>88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"FES1162507222"</f>
        <v>FES1162507222</v>
      </c>
      <c r="F1346" s="3">
        <v>42660</v>
      </c>
      <c r="G1346" s="2">
        <v>201704</v>
      </c>
      <c r="H1346" s="2" t="s">
        <v>74</v>
      </c>
      <c r="I1346" s="2" t="s">
        <v>75</v>
      </c>
      <c r="J1346" s="2" t="s">
        <v>76</v>
      </c>
      <c r="K1346" s="2" t="s">
        <v>77</v>
      </c>
      <c r="L1346" s="2" t="s">
        <v>614</v>
      </c>
      <c r="M1346" s="2" t="s">
        <v>615</v>
      </c>
      <c r="N1346" s="2" t="s">
        <v>1662</v>
      </c>
      <c r="O1346" s="2" t="s">
        <v>96</v>
      </c>
      <c r="P1346" s="2" t="str">
        <f>"2170530513                    "</f>
        <v xml:space="preserve">2170530513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3.32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2</v>
      </c>
      <c r="BJ1346" s="2">
        <v>0.2</v>
      </c>
      <c r="BK1346" s="2">
        <v>2</v>
      </c>
      <c r="BL1346" s="2">
        <v>40.76</v>
      </c>
      <c r="BM1346" s="2">
        <v>5.71</v>
      </c>
      <c r="BN1346" s="2">
        <v>46.47</v>
      </c>
      <c r="BO1346" s="2">
        <v>46.47</v>
      </c>
      <c r="BP1346" s="2"/>
      <c r="BQ1346" s="2" t="s">
        <v>91</v>
      </c>
      <c r="BR1346" s="2" t="s">
        <v>83</v>
      </c>
      <c r="BS1346" s="3">
        <v>42661</v>
      </c>
      <c r="BT1346" s="4">
        <v>0.34097222222222223</v>
      </c>
      <c r="BU1346" s="2" t="s">
        <v>1663</v>
      </c>
      <c r="BV1346" s="2" t="s">
        <v>85</v>
      </c>
      <c r="BW1346" s="2"/>
      <c r="BX1346" s="2"/>
      <c r="BY1346" s="2">
        <v>1200</v>
      </c>
      <c r="BZ1346" s="2"/>
      <c r="CA1346" s="2"/>
      <c r="CB1346" s="2"/>
      <c r="CC1346" s="2" t="s">
        <v>615</v>
      </c>
      <c r="CD1346" s="2">
        <v>4026</v>
      </c>
      <c r="CE1346" s="2" t="s">
        <v>108</v>
      </c>
      <c r="CF1346" s="5">
        <v>42662</v>
      </c>
      <c r="CG1346" s="2"/>
      <c r="CH1346" s="2"/>
      <c r="CI1346" s="2">
        <v>1</v>
      </c>
      <c r="CJ1346" s="2">
        <v>1</v>
      </c>
      <c r="CK1346" s="2">
        <v>21</v>
      </c>
      <c r="CL1346" s="2" t="s">
        <v>88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"Rfes1162506362"</f>
        <v>Rfes1162506362</v>
      </c>
      <c r="F1347" s="3">
        <v>42660</v>
      </c>
      <c r="G1347" s="2">
        <v>201704</v>
      </c>
      <c r="H1347" s="2" t="s">
        <v>269</v>
      </c>
      <c r="I1347" s="2" t="s">
        <v>270</v>
      </c>
      <c r="J1347" s="2" t="s">
        <v>496</v>
      </c>
      <c r="K1347" s="2" t="s">
        <v>77</v>
      </c>
      <c r="L1347" s="2" t="s">
        <v>636</v>
      </c>
      <c r="M1347" s="2" t="s">
        <v>1664</v>
      </c>
      <c r="N1347" s="2" t="s">
        <v>76</v>
      </c>
      <c r="O1347" s="2" t="s">
        <v>96</v>
      </c>
      <c r="P1347" s="2" t="str">
        <f>"2170529906                    "</f>
        <v xml:space="preserve">2170529906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3.32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0.8</v>
      </c>
      <c r="BJ1347" s="2">
        <v>1.7</v>
      </c>
      <c r="BK1347" s="2">
        <v>2</v>
      </c>
      <c r="BL1347" s="2">
        <v>40.76</v>
      </c>
      <c r="BM1347" s="2">
        <v>5.71</v>
      </c>
      <c r="BN1347" s="2">
        <v>46.47</v>
      </c>
      <c r="BO1347" s="2">
        <v>46.47</v>
      </c>
      <c r="BP1347" s="2"/>
      <c r="BQ1347" s="2" t="s">
        <v>83</v>
      </c>
      <c r="BR1347" s="2" t="s">
        <v>892</v>
      </c>
      <c r="BS1347" s="3">
        <v>42661</v>
      </c>
      <c r="BT1347" s="4">
        <v>0.33333333333333331</v>
      </c>
      <c r="BU1347" s="2" t="s">
        <v>1665</v>
      </c>
      <c r="BV1347" s="2" t="s">
        <v>85</v>
      </c>
      <c r="BW1347" s="2"/>
      <c r="BX1347" s="2"/>
      <c r="BY1347" s="2">
        <v>8324.16</v>
      </c>
      <c r="BZ1347" s="2"/>
      <c r="CA1347" s="2"/>
      <c r="CB1347" s="2"/>
      <c r="CC1347" s="2" t="s">
        <v>1664</v>
      </c>
      <c r="CD1347" s="2">
        <v>2000</v>
      </c>
      <c r="CE1347" s="2" t="s">
        <v>86</v>
      </c>
      <c r="CF1347" s="5">
        <v>42662</v>
      </c>
      <c r="CG1347" s="2"/>
      <c r="CH1347" s="2"/>
      <c r="CI1347" s="2">
        <v>1</v>
      </c>
      <c r="CJ1347" s="2">
        <v>1</v>
      </c>
      <c r="CK1347" s="2">
        <v>21</v>
      </c>
      <c r="CL1347" s="2" t="s">
        <v>88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"FES1162507143"</f>
        <v>FES1162507143</v>
      </c>
      <c r="F1348" s="3">
        <v>42660</v>
      </c>
      <c r="G1348" s="2">
        <v>201704</v>
      </c>
      <c r="H1348" s="2" t="s">
        <v>74</v>
      </c>
      <c r="I1348" s="2" t="s">
        <v>75</v>
      </c>
      <c r="J1348" s="2" t="s">
        <v>76</v>
      </c>
      <c r="K1348" s="2" t="s">
        <v>77</v>
      </c>
      <c r="L1348" s="2" t="s">
        <v>269</v>
      </c>
      <c r="M1348" s="2" t="s">
        <v>270</v>
      </c>
      <c r="N1348" s="2" t="s">
        <v>1245</v>
      </c>
      <c r="O1348" s="2" t="s">
        <v>96</v>
      </c>
      <c r="P1348" s="2" t="str">
        <f>"2170529661                    "</f>
        <v xml:space="preserve">2170529661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3.32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40.76</v>
      </c>
      <c r="BM1348" s="2">
        <v>5.71</v>
      </c>
      <c r="BN1348" s="2">
        <v>46.47</v>
      </c>
      <c r="BO1348" s="2">
        <v>46.47</v>
      </c>
      <c r="BP1348" s="2"/>
      <c r="BQ1348" s="2" t="s">
        <v>91</v>
      </c>
      <c r="BR1348" s="2" t="s">
        <v>83</v>
      </c>
      <c r="BS1348" s="3">
        <v>42661</v>
      </c>
      <c r="BT1348" s="4">
        <v>0.36944444444444446</v>
      </c>
      <c r="BU1348" s="2" t="s">
        <v>1666</v>
      </c>
      <c r="BV1348" s="2"/>
      <c r="BW1348" s="2"/>
      <c r="BX1348" s="2"/>
      <c r="BY1348" s="2">
        <v>1200</v>
      </c>
      <c r="BZ1348" s="2" t="s">
        <v>27</v>
      </c>
      <c r="CA1348" s="2"/>
      <c r="CB1348" s="2"/>
      <c r="CC1348" s="2" t="s">
        <v>270</v>
      </c>
      <c r="CD1348" s="2">
        <v>4037</v>
      </c>
      <c r="CE1348" s="2" t="s">
        <v>108</v>
      </c>
      <c r="CF1348" s="5">
        <v>42662</v>
      </c>
      <c r="CG1348" s="2"/>
      <c r="CH1348" s="2"/>
      <c r="CI1348" s="2">
        <v>0</v>
      </c>
      <c r="CJ1348" s="2">
        <v>0</v>
      </c>
      <c r="CK1348" s="2">
        <v>21</v>
      </c>
      <c r="CL1348" s="2" t="s">
        <v>88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"FES1162507146"</f>
        <v>FES1162507146</v>
      </c>
      <c r="F1349" s="3">
        <v>42660</v>
      </c>
      <c r="G1349" s="2">
        <v>201704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93</v>
      </c>
      <c r="M1349" s="2" t="s">
        <v>94</v>
      </c>
      <c r="N1349" s="2" t="s">
        <v>130</v>
      </c>
      <c r="O1349" s="2" t="s">
        <v>96</v>
      </c>
      <c r="P1349" s="2" t="str">
        <f>"2170529739                    "</f>
        <v xml:space="preserve">2170529739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3.32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</v>
      </c>
      <c r="BJ1349" s="2">
        <v>0.2</v>
      </c>
      <c r="BK1349" s="2">
        <v>1</v>
      </c>
      <c r="BL1349" s="2">
        <v>40.76</v>
      </c>
      <c r="BM1349" s="2">
        <v>5.71</v>
      </c>
      <c r="BN1349" s="2">
        <v>46.47</v>
      </c>
      <c r="BO1349" s="2">
        <v>46.47</v>
      </c>
      <c r="BP1349" s="2"/>
      <c r="BQ1349" s="2" t="s">
        <v>131</v>
      </c>
      <c r="BR1349" s="2" t="s">
        <v>83</v>
      </c>
      <c r="BS1349" s="3">
        <v>42661</v>
      </c>
      <c r="BT1349" s="4">
        <v>0.4375</v>
      </c>
      <c r="BU1349" s="2" t="s">
        <v>1667</v>
      </c>
      <c r="BV1349" s="2" t="s">
        <v>85</v>
      </c>
      <c r="BW1349" s="2"/>
      <c r="BX1349" s="2"/>
      <c r="BY1349" s="2">
        <v>1200</v>
      </c>
      <c r="BZ1349" s="2" t="s">
        <v>27</v>
      </c>
      <c r="CA1349" s="2" t="s">
        <v>129</v>
      </c>
      <c r="CB1349" s="2"/>
      <c r="CC1349" s="2" t="s">
        <v>94</v>
      </c>
      <c r="CD1349" s="2">
        <v>4302</v>
      </c>
      <c r="CE1349" s="2" t="s">
        <v>108</v>
      </c>
      <c r="CF1349" s="5">
        <v>42662</v>
      </c>
      <c r="CG1349" s="2"/>
      <c r="CH1349" s="2"/>
      <c r="CI1349" s="2">
        <v>1</v>
      </c>
      <c r="CJ1349" s="2">
        <v>1</v>
      </c>
      <c r="CK1349" s="2">
        <v>21</v>
      </c>
      <c r="CL1349" s="2" t="s">
        <v>88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"FES1162506959"</f>
        <v>FES1162506959</v>
      </c>
      <c r="F1350" s="3">
        <v>42660</v>
      </c>
      <c r="G1350" s="2">
        <v>201704</v>
      </c>
      <c r="H1350" s="2" t="s">
        <v>74</v>
      </c>
      <c r="I1350" s="2" t="s">
        <v>75</v>
      </c>
      <c r="J1350" s="2" t="s">
        <v>76</v>
      </c>
      <c r="K1350" s="2" t="s">
        <v>77</v>
      </c>
      <c r="L1350" s="2" t="s">
        <v>137</v>
      </c>
      <c r="M1350" s="2" t="s">
        <v>138</v>
      </c>
      <c r="N1350" s="2" t="s">
        <v>420</v>
      </c>
      <c r="O1350" s="2" t="s">
        <v>96</v>
      </c>
      <c r="P1350" s="2" t="str">
        <f>"2170528605                    "</f>
        <v xml:space="preserve">2170528605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3.32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1.3</v>
      </c>
      <c r="BJ1350" s="2">
        <v>1.6</v>
      </c>
      <c r="BK1350" s="2">
        <v>2</v>
      </c>
      <c r="BL1350" s="2">
        <v>40.76</v>
      </c>
      <c r="BM1350" s="2">
        <v>5.71</v>
      </c>
      <c r="BN1350" s="2">
        <v>46.47</v>
      </c>
      <c r="BO1350" s="2">
        <v>46.47</v>
      </c>
      <c r="BP1350" s="2"/>
      <c r="BQ1350" s="2" t="s">
        <v>117</v>
      </c>
      <c r="BR1350" s="2" t="s">
        <v>83</v>
      </c>
      <c r="BS1350" s="3">
        <v>42661</v>
      </c>
      <c r="BT1350" s="4">
        <v>0.36736111111111108</v>
      </c>
      <c r="BU1350" s="2" t="s">
        <v>1668</v>
      </c>
      <c r="BV1350" s="2" t="s">
        <v>85</v>
      </c>
      <c r="BW1350" s="2"/>
      <c r="BX1350" s="2"/>
      <c r="BY1350" s="2">
        <v>8192</v>
      </c>
      <c r="BZ1350" s="2" t="s">
        <v>27</v>
      </c>
      <c r="CA1350" s="2" t="s">
        <v>613</v>
      </c>
      <c r="CB1350" s="2"/>
      <c r="CC1350" s="2" t="s">
        <v>138</v>
      </c>
      <c r="CD1350" s="2">
        <v>3201</v>
      </c>
      <c r="CE1350" s="2" t="s">
        <v>368</v>
      </c>
      <c r="CF1350" s="5">
        <v>42662</v>
      </c>
      <c r="CG1350" s="2"/>
      <c r="CH1350" s="2"/>
      <c r="CI1350" s="2">
        <v>1</v>
      </c>
      <c r="CJ1350" s="2">
        <v>1</v>
      </c>
      <c r="CK1350" s="2">
        <v>21</v>
      </c>
      <c r="CL1350" s="2" t="s">
        <v>88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"FES1162506966"</f>
        <v>FES1162506966</v>
      </c>
      <c r="F1351" s="3">
        <v>42660</v>
      </c>
      <c r="G1351" s="2">
        <v>201704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93</v>
      </c>
      <c r="M1351" s="2" t="s">
        <v>94</v>
      </c>
      <c r="N1351" s="2" t="s">
        <v>536</v>
      </c>
      <c r="O1351" s="2" t="s">
        <v>96</v>
      </c>
      <c r="P1351" s="2" t="str">
        <f>"2170529008                    "</f>
        <v xml:space="preserve">2170529008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3.32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</v>
      </c>
      <c r="BJ1351" s="2">
        <v>0.2</v>
      </c>
      <c r="BK1351" s="2">
        <v>1</v>
      </c>
      <c r="BL1351" s="2">
        <v>40.76</v>
      </c>
      <c r="BM1351" s="2">
        <v>5.71</v>
      </c>
      <c r="BN1351" s="2">
        <v>46.47</v>
      </c>
      <c r="BO1351" s="2">
        <v>46.47</v>
      </c>
      <c r="BP1351" s="2"/>
      <c r="BQ1351" s="2" t="s">
        <v>537</v>
      </c>
      <c r="BR1351" s="2" t="s">
        <v>83</v>
      </c>
      <c r="BS1351" s="3">
        <v>42661</v>
      </c>
      <c r="BT1351" s="4">
        <v>0.4375</v>
      </c>
      <c r="BU1351" s="2" t="s">
        <v>599</v>
      </c>
      <c r="BV1351" s="2" t="s">
        <v>85</v>
      </c>
      <c r="BW1351" s="2"/>
      <c r="BX1351" s="2"/>
      <c r="BY1351" s="2">
        <v>1200</v>
      </c>
      <c r="BZ1351" s="2" t="s">
        <v>27</v>
      </c>
      <c r="CA1351" s="2"/>
      <c r="CB1351" s="2"/>
      <c r="CC1351" s="2" t="s">
        <v>94</v>
      </c>
      <c r="CD1351" s="2">
        <v>4300</v>
      </c>
      <c r="CE1351" s="2" t="s">
        <v>108</v>
      </c>
      <c r="CF1351" s="5">
        <v>42662</v>
      </c>
      <c r="CG1351" s="2"/>
      <c r="CH1351" s="2"/>
      <c r="CI1351" s="2">
        <v>1</v>
      </c>
      <c r="CJ1351" s="2">
        <v>1</v>
      </c>
      <c r="CK1351" s="2">
        <v>21</v>
      </c>
      <c r="CL1351" s="2" t="s">
        <v>88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"FES1162506965"</f>
        <v>FES1162506965</v>
      </c>
      <c r="F1352" s="3">
        <v>42660</v>
      </c>
      <c r="G1352" s="2">
        <v>201704</v>
      </c>
      <c r="H1352" s="2" t="s">
        <v>74</v>
      </c>
      <c r="I1352" s="2" t="s">
        <v>75</v>
      </c>
      <c r="J1352" s="2" t="s">
        <v>76</v>
      </c>
      <c r="K1352" s="2" t="s">
        <v>77</v>
      </c>
      <c r="L1352" s="2" t="s">
        <v>137</v>
      </c>
      <c r="M1352" s="2" t="s">
        <v>138</v>
      </c>
      <c r="N1352" s="2" t="s">
        <v>203</v>
      </c>
      <c r="O1352" s="2" t="s">
        <v>96</v>
      </c>
      <c r="P1352" s="2" t="str">
        <f>"2170528999                    "</f>
        <v xml:space="preserve">2170528999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3.32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1</v>
      </c>
      <c r="BJ1352" s="2">
        <v>0.2</v>
      </c>
      <c r="BK1352" s="2">
        <v>1</v>
      </c>
      <c r="BL1352" s="2">
        <v>40.76</v>
      </c>
      <c r="BM1352" s="2">
        <v>5.71</v>
      </c>
      <c r="BN1352" s="2">
        <v>46.47</v>
      </c>
      <c r="BO1352" s="2">
        <v>46.47</v>
      </c>
      <c r="BP1352" s="2"/>
      <c r="BQ1352" s="2" t="s">
        <v>168</v>
      </c>
      <c r="BR1352" s="2" t="s">
        <v>83</v>
      </c>
      <c r="BS1352" s="3">
        <v>42661</v>
      </c>
      <c r="BT1352" s="4">
        <v>0.39097222222222222</v>
      </c>
      <c r="BU1352" s="2" t="s">
        <v>697</v>
      </c>
      <c r="BV1352" s="2"/>
      <c r="BW1352" s="2"/>
      <c r="BX1352" s="2"/>
      <c r="BY1352" s="2">
        <v>1200</v>
      </c>
      <c r="BZ1352" s="2" t="s">
        <v>27</v>
      </c>
      <c r="CA1352" s="2" t="s">
        <v>613</v>
      </c>
      <c r="CB1352" s="2"/>
      <c r="CC1352" s="2" t="s">
        <v>138</v>
      </c>
      <c r="CD1352" s="2">
        <v>3201</v>
      </c>
      <c r="CE1352" s="2" t="s">
        <v>108</v>
      </c>
      <c r="CF1352" s="5">
        <v>42661</v>
      </c>
      <c r="CG1352" s="2"/>
      <c r="CH1352" s="2"/>
      <c r="CI1352" s="2">
        <v>0</v>
      </c>
      <c r="CJ1352" s="2">
        <v>0</v>
      </c>
      <c r="CK1352" s="2">
        <v>21</v>
      </c>
      <c r="CL1352" s="2" t="s">
        <v>88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"FES1162506949"</f>
        <v>FES1162506949</v>
      </c>
      <c r="F1353" s="3">
        <v>42660</v>
      </c>
      <c r="G1353" s="2">
        <v>201704</v>
      </c>
      <c r="H1353" s="2" t="s">
        <v>74</v>
      </c>
      <c r="I1353" s="2" t="s">
        <v>75</v>
      </c>
      <c r="J1353" s="2" t="s">
        <v>76</v>
      </c>
      <c r="K1353" s="2" t="s">
        <v>77</v>
      </c>
      <c r="L1353" s="2" t="s">
        <v>171</v>
      </c>
      <c r="M1353" s="2" t="s">
        <v>172</v>
      </c>
      <c r="N1353" s="2" t="s">
        <v>429</v>
      </c>
      <c r="O1353" s="2" t="s">
        <v>96</v>
      </c>
      <c r="P1353" s="2" t="str">
        <f>"2170528084                    "</f>
        <v xml:space="preserve">2170528084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3.32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1</v>
      </c>
      <c r="BJ1353" s="2">
        <v>0.2</v>
      </c>
      <c r="BK1353" s="2">
        <v>1</v>
      </c>
      <c r="BL1353" s="2">
        <v>40.76</v>
      </c>
      <c r="BM1353" s="2">
        <v>5.71</v>
      </c>
      <c r="BN1353" s="2">
        <v>46.47</v>
      </c>
      <c r="BO1353" s="2">
        <v>46.47</v>
      </c>
      <c r="BP1353" s="2"/>
      <c r="BQ1353" s="2" t="s">
        <v>430</v>
      </c>
      <c r="BR1353" s="2" t="s">
        <v>83</v>
      </c>
      <c r="BS1353" s="3">
        <v>42661</v>
      </c>
      <c r="BT1353" s="4">
        <v>0.66736111111111107</v>
      </c>
      <c r="BU1353" s="2" t="s">
        <v>431</v>
      </c>
      <c r="BV1353" s="2" t="s">
        <v>88</v>
      </c>
      <c r="BW1353" s="2" t="s">
        <v>222</v>
      </c>
      <c r="BX1353" s="2" t="s">
        <v>250</v>
      </c>
      <c r="BY1353" s="2">
        <v>1200</v>
      </c>
      <c r="BZ1353" s="2" t="s">
        <v>27</v>
      </c>
      <c r="CA1353" s="2"/>
      <c r="CB1353" s="2"/>
      <c r="CC1353" s="2" t="s">
        <v>172</v>
      </c>
      <c r="CD1353" s="2">
        <v>6220</v>
      </c>
      <c r="CE1353" s="2" t="s">
        <v>108</v>
      </c>
      <c r="CF1353" s="5">
        <v>42662</v>
      </c>
      <c r="CG1353" s="2"/>
      <c r="CH1353" s="2"/>
      <c r="CI1353" s="2">
        <v>1</v>
      </c>
      <c r="CJ1353" s="2">
        <v>1</v>
      </c>
      <c r="CK1353" s="2">
        <v>21</v>
      </c>
      <c r="CL1353" s="2" t="s">
        <v>88</v>
      </c>
      <c r="CM1353" s="2"/>
    </row>
    <row r="1354" spans="1:91">
      <c r="A1354" s="2" t="s">
        <v>71</v>
      </c>
      <c r="B1354" s="2" t="s">
        <v>72</v>
      </c>
      <c r="C1354" s="2" t="s">
        <v>73</v>
      </c>
      <c r="D1354" s="2"/>
      <c r="E1354" s="2" t="str">
        <f>"FES1162507005"</f>
        <v>FES1162507005</v>
      </c>
      <c r="F1354" s="3">
        <v>42660</v>
      </c>
      <c r="G1354" s="2">
        <v>201704</v>
      </c>
      <c r="H1354" s="2" t="s">
        <v>74</v>
      </c>
      <c r="I1354" s="2" t="s">
        <v>75</v>
      </c>
      <c r="J1354" s="2" t="s">
        <v>76</v>
      </c>
      <c r="K1354" s="2" t="s">
        <v>77</v>
      </c>
      <c r="L1354" s="2" t="s">
        <v>148</v>
      </c>
      <c r="M1354" s="2" t="s">
        <v>149</v>
      </c>
      <c r="N1354" s="2" t="s">
        <v>1669</v>
      </c>
      <c r="O1354" s="2" t="s">
        <v>96</v>
      </c>
      <c r="P1354" s="2" t="str">
        <f>"2170530519                    "</f>
        <v xml:space="preserve">2170530519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3.32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40.76</v>
      </c>
      <c r="BM1354" s="2">
        <v>5.71</v>
      </c>
      <c r="BN1354" s="2">
        <v>46.47</v>
      </c>
      <c r="BO1354" s="2">
        <v>46.47</v>
      </c>
      <c r="BP1354" s="2"/>
      <c r="BQ1354" s="2" t="s">
        <v>1670</v>
      </c>
      <c r="BR1354" s="2" t="s">
        <v>83</v>
      </c>
      <c r="BS1354" s="3">
        <v>42661</v>
      </c>
      <c r="BT1354" s="4">
        <v>0.4375</v>
      </c>
      <c r="BU1354" s="2" t="s">
        <v>1671</v>
      </c>
      <c r="BV1354" s="2"/>
      <c r="BW1354" s="2"/>
      <c r="BX1354" s="2"/>
      <c r="BY1354" s="2">
        <v>1200</v>
      </c>
      <c r="BZ1354" s="2" t="s">
        <v>27</v>
      </c>
      <c r="CA1354" s="2" t="s">
        <v>129</v>
      </c>
      <c r="CB1354" s="2"/>
      <c r="CC1354" s="2" t="s">
        <v>149</v>
      </c>
      <c r="CD1354" s="2">
        <v>4001</v>
      </c>
      <c r="CE1354" s="2" t="s">
        <v>108</v>
      </c>
      <c r="CF1354" s="5">
        <v>42662</v>
      </c>
      <c r="CG1354" s="2"/>
      <c r="CH1354" s="2"/>
      <c r="CI1354" s="2">
        <v>0</v>
      </c>
      <c r="CJ1354" s="2">
        <v>0</v>
      </c>
      <c r="CK1354" s="2">
        <v>21</v>
      </c>
      <c r="CL1354" s="2" t="s">
        <v>88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"FES1162507034"</f>
        <v>FES1162507034</v>
      </c>
      <c r="F1355" s="3">
        <v>42660</v>
      </c>
      <c r="G1355" s="2">
        <v>201704</v>
      </c>
      <c r="H1355" s="2" t="s">
        <v>74</v>
      </c>
      <c r="I1355" s="2" t="s">
        <v>75</v>
      </c>
      <c r="J1355" s="2" t="s">
        <v>76</v>
      </c>
      <c r="K1355" s="2" t="s">
        <v>77</v>
      </c>
      <c r="L1355" s="2" t="s">
        <v>148</v>
      </c>
      <c r="M1355" s="2" t="s">
        <v>149</v>
      </c>
      <c r="N1355" s="2" t="s">
        <v>1427</v>
      </c>
      <c r="O1355" s="2" t="s">
        <v>96</v>
      </c>
      <c r="P1355" s="2" t="str">
        <f>"2170530535                    "</f>
        <v xml:space="preserve">2170530535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3.32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</v>
      </c>
      <c r="BJ1355" s="2">
        <v>0.2</v>
      </c>
      <c r="BK1355" s="2">
        <v>1</v>
      </c>
      <c r="BL1355" s="2">
        <v>40.76</v>
      </c>
      <c r="BM1355" s="2">
        <v>5.71</v>
      </c>
      <c r="BN1355" s="2">
        <v>46.47</v>
      </c>
      <c r="BO1355" s="2">
        <v>46.47</v>
      </c>
      <c r="BP1355" s="2"/>
      <c r="BQ1355" s="2" t="s">
        <v>1428</v>
      </c>
      <c r="BR1355" s="2" t="s">
        <v>83</v>
      </c>
      <c r="BS1355" s="3">
        <v>42661</v>
      </c>
      <c r="BT1355" s="4">
        <v>0.4375</v>
      </c>
      <c r="BU1355" s="2" t="s">
        <v>672</v>
      </c>
      <c r="BV1355" s="2" t="s">
        <v>85</v>
      </c>
      <c r="BW1355" s="2"/>
      <c r="BX1355" s="2"/>
      <c r="BY1355" s="2">
        <v>1200</v>
      </c>
      <c r="BZ1355" s="2" t="s">
        <v>27</v>
      </c>
      <c r="CA1355" s="2"/>
      <c r="CB1355" s="2"/>
      <c r="CC1355" s="2" t="s">
        <v>149</v>
      </c>
      <c r="CD1355" s="2">
        <v>4051</v>
      </c>
      <c r="CE1355" s="2" t="s">
        <v>108</v>
      </c>
      <c r="CF1355" s="5">
        <v>42662</v>
      </c>
      <c r="CG1355" s="2"/>
      <c r="CH1355" s="2"/>
      <c r="CI1355" s="2">
        <v>1</v>
      </c>
      <c r="CJ1355" s="2">
        <v>1</v>
      </c>
      <c r="CK1355" s="2">
        <v>21</v>
      </c>
      <c r="CL1355" s="2" t="s">
        <v>88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"FES1162506977"</f>
        <v>FES1162506977</v>
      </c>
      <c r="F1356" s="3">
        <v>42660</v>
      </c>
      <c r="G1356" s="2">
        <v>201704</v>
      </c>
      <c r="H1356" s="2" t="s">
        <v>74</v>
      </c>
      <c r="I1356" s="2" t="s">
        <v>75</v>
      </c>
      <c r="J1356" s="2" t="s">
        <v>76</v>
      </c>
      <c r="K1356" s="2" t="s">
        <v>77</v>
      </c>
      <c r="L1356" s="2" t="s">
        <v>93</v>
      </c>
      <c r="M1356" s="2" t="s">
        <v>94</v>
      </c>
      <c r="N1356" s="2" t="s">
        <v>1027</v>
      </c>
      <c r="O1356" s="2" t="s">
        <v>96</v>
      </c>
      <c r="P1356" s="2" t="str">
        <f>"2170529813                    "</f>
        <v xml:space="preserve">2170529813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3.32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2</v>
      </c>
      <c r="BJ1356" s="2">
        <v>1.1000000000000001</v>
      </c>
      <c r="BK1356" s="2">
        <v>2</v>
      </c>
      <c r="BL1356" s="2">
        <v>40.76</v>
      </c>
      <c r="BM1356" s="2">
        <v>5.71</v>
      </c>
      <c r="BN1356" s="2">
        <v>46.47</v>
      </c>
      <c r="BO1356" s="2">
        <v>46.47</v>
      </c>
      <c r="BP1356" s="2"/>
      <c r="BQ1356" s="2" t="s">
        <v>1028</v>
      </c>
      <c r="BR1356" s="2" t="s">
        <v>83</v>
      </c>
      <c r="BS1356" s="3">
        <v>42661</v>
      </c>
      <c r="BT1356" s="4">
        <v>0.4375</v>
      </c>
      <c r="BU1356" s="2" t="s">
        <v>1672</v>
      </c>
      <c r="BV1356" s="2" t="s">
        <v>85</v>
      </c>
      <c r="BW1356" s="2"/>
      <c r="BX1356" s="2"/>
      <c r="BY1356" s="2">
        <v>5320</v>
      </c>
      <c r="BZ1356" s="2" t="s">
        <v>27</v>
      </c>
      <c r="CA1356" s="2" t="s">
        <v>129</v>
      </c>
      <c r="CB1356" s="2"/>
      <c r="CC1356" s="2" t="s">
        <v>94</v>
      </c>
      <c r="CD1356" s="2">
        <v>4300</v>
      </c>
      <c r="CE1356" s="2" t="s">
        <v>86</v>
      </c>
      <c r="CF1356" s="5">
        <v>42662</v>
      </c>
      <c r="CG1356" s="2"/>
      <c r="CH1356" s="2"/>
      <c r="CI1356" s="2">
        <v>1</v>
      </c>
      <c r="CJ1356" s="2">
        <v>1</v>
      </c>
      <c r="CK1356" s="2">
        <v>21</v>
      </c>
      <c r="CL1356" s="2" t="s">
        <v>88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"FES1162506999"</f>
        <v>FES1162506999</v>
      </c>
      <c r="F1357" s="3">
        <v>42660</v>
      </c>
      <c r="G1357" s="2">
        <v>201704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160</v>
      </c>
      <c r="M1357" s="2" t="s">
        <v>161</v>
      </c>
      <c r="N1357" s="2" t="s">
        <v>1673</v>
      </c>
      <c r="O1357" s="2" t="s">
        <v>96</v>
      </c>
      <c r="P1357" s="2" t="str">
        <f>"2170530518                    "</f>
        <v xml:space="preserve">2170530518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7.46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3</v>
      </c>
      <c r="BJ1357" s="2">
        <v>4.0999999999999996</v>
      </c>
      <c r="BK1357" s="2">
        <v>4.5</v>
      </c>
      <c r="BL1357" s="2">
        <v>91.7</v>
      </c>
      <c r="BM1357" s="2">
        <v>12.84</v>
      </c>
      <c r="BN1357" s="2">
        <v>104.54</v>
      </c>
      <c r="BO1357" s="2">
        <v>104.54</v>
      </c>
      <c r="BP1357" s="2"/>
      <c r="BQ1357" s="2" t="s">
        <v>1674</v>
      </c>
      <c r="BR1357" s="2" t="s">
        <v>83</v>
      </c>
      <c r="BS1357" s="3">
        <v>42661</v>
      </c>
      <c r="BT1357" s="4">
        <v>0.4201388888888889</v>
      </c>
      <c r="BU1357" s="2" t="s">
        <v>1675</v>
      </c>
      <c r="BV1357" s="2" t="s">
        <v>85</v>
      </c>
      <c r="BW1357" s="2"/>
      <c r="BX1357" s="2"/>
      <c r="BY1357" s="2">
        <v>20358</v>
      </c>
      <c r="BZ1357" s="2" t="s">
        <v>27</v>
      </c>
      <c r="CA1357" s="2"/>
      <c r="CB1357" s="2"/>
      <c r="CC1357" s="2" t="s">
        <v>161</v>
      </c>
      <c r="CD1357" s="2">
        <v>7500</v>
      </c>
      <c r="CE1357" s="2" t="s">
        <v>86</v>
      </c>
      <c r="CF1357" s="5">
        <v>42662</v>
      </c>
      <c r="CG1357" s="2"/>
      <c r="CH1357" s="2"/>
      <c r="CI1357" s="2">
        <v>1</v>
      </c>
      <c r="CJ1357" s="2">
        <v>1</v>
      </c>
      <c r="CK1357" s="2">
        <v>21</v>
      </c>
      <c r="CL1357" s="2" t="s">
        <v>88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"FES1162506913"</f>
        <v>FES1162506913</v>
      </c>
      <c r="F1358" s="3">
        <v>42660</v>
      </c>
      <c r="G1358" s="2">
        <v>201704</v>
      </c>
      <c r="H1358" s="2" t="s">
        <v>74</v>
      </c>
      <c r="I1358" s="2" t="s">
        <v>75</v>
      </c>
      <c r="J1358" s="2" t="s">
        <v>76</v>
      </c>
      <c r="K1358" s="2" t="s">
        <v>77</v>
      </c>
      <c r="L1358" s="2" t="s">
        <v>148</v>
      </c>
      <c r="M1358" s="2" t="s">
        <v>149</v>
      </c>
      <c r="N1358" s="2" t="s">
        <v>242</v>
      </c>
      <c r="O1358" s="2" t="s">
        <v>96</v>
      </c>
      <c r="P1358" s="2" t="str">
        <f>"2170530474                    "</f>
        <v xml:space="preserve">2170530474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3.32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1</v>
      </c>
      <c r="BJ1358" s="2">
        <v>0.2</v>
      </c>
      <c r="BK1358" s="2">
        <v>1</v>
      </c>
      <c r="BL1358" s="2">
        <v>40.76</v>
      </c>
      <c r="BM1358" s="2">
        <v>5.71</v>
      </c>
      <c r="BN1358" s="2">
        <v>46.47</v>
      </c>
      <c r="BO1358" s="2">
        <v>46.47</v>
      </c>
      <c r="BP1358" s="2"/>
      <c r="BQ1358" s="2" t="s">
        <v>91</v>
      </c>
      <c r="BR1358" s="2" t="s">
        <v>83</v>
      </c>
      <c r="BS1358" s="3">
        <v>42661</v>
      </c>
      <c r="BT1358" s="4">
        <v>0.4375</v>
      </c>
      <c r="BU1358" s="2" t="s">
        <v>1614</v>
      </c>
      <c r="BV1358" s="2"/>
      <c r="BW1358" s="2"/>
      <c r="BX1358" s="2"/>
      <c r="BY1358" s="2">
        <v>1200</v>
      </c>
      <c r="BZ1358" s="2" t="s">
        <v>27</v>
      </c>
      <c r="CA1358" s="2"/>
      <c r="CB1358" s="2"/>
      <c r="CC1358" s="2" t="s">
        <v>149</v>
      </c>
      <c r="CD1358" s="2">
        <v>4001</v>
      </c>
      <c r="CE1358" s="2" t="s">
        <v>108</v>
      </c>
      <c r="CF1358" s="5">
        <v>42662</v>
      </c>
      <c r="CG1358" s="2"/>
      <c r="CH1358" s="2"/>
      <c r="CI1358" s="2">
        <v>0</v>
      </c>
      <c r="CJ1358" s="2">
        <v>0</v>
      </c>
      <c r="CK1358" s="2">
        <v>21</v>
      </c>
      <c r="CL1358" s="2" t="s">
        <v>88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"FES1162506942"</f>
        <v>FES1162506942</v>
      </c>
      <c r="F1359" s="3">
        <v>42660</v>
      </c>
      <c r="G1359" s="2">
        <v>201704</v>
      </c>
      <c r="H1359" s="2" t="s">
        <v>74</v>
      </c>
      <c r="I1359" s="2" t="s">
        <v>75</v>
      </c>
      <c r="J1359" s="2" t="s">
        <v>76</v>
      </c>
      <c r="K1359" s="2" t="s">
        <v>77</v>
      </c>
      <c r="L1359" s="2" t="s">
        <v>171</v>
      </c>
      <c r="M1359" s="2" t="s">
        <v>172</v>
      </c>
      <c r="N1359" s="2" t="s">
        <v>917</v>
      </c>
      <c r="O1359" s="2" t="s">
        <v>96</v>
      </c>
      <c r="P1359" s="2" t="str">
        <f>"2170527093                    "</f>
        <v xml:space="preserve">2170527093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3.32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40.76</v>
      </c>
      <c r="BM1359" s="2">
        <v>5.71</v>
      </c>
      <c r="BN1359" s="2">
        <v>46.47</v>
      </c>
      <c r="BO1359" s="2">
        <v>46.47</v>
      </c>
      <c r="BP1359" s="2"/>
      <c r="BQ1359" s="2" t="s">
        <v>918</v>
      </c>
      <c r="BR1359" s="2" t="s">
        <v>83</v>
      </c>
      <c r="BS1359" s="3">
        <v>42661</v>
      </c>
      <c r="BT1359" s="4">
        <v>0.66249999999999998</v>
      </c>
      <c r="BU1359" s="2" t="s">
        <v>919</v>
      </c>
      <c r="BV1359" s="2" t="s">
        <v>88</v>
      </c>
      <c r="BW1359" s="2" t="s">
        <v>222</v>
      </c>
      <c r="BX1359" s="2" t="s">
        <v>250</v>
      </c>
      <c r="BY1359" s="2">
        <v>1200</v>
      </c>
      <c r="BZ1359" s="2" t="s">
        <v>27</v>
      </c>
      <c r="CA1359" s="2"/>
      <c r="CB1359" s="2"/>
      <c r="CC1359" s="2" t="s">
        <v>172</v>
      </c>
      <c r="CD1359" s="2">
        <v>6220</v>
      </c>
      <c r="CE1359" s="2" t="s">
        <v>108</v>
      </c>
      <c r="CF1359" s="5">
        <v>42662</v>
      </c>
      <c r="CG1359" s="2"/>
      <c r="CH1359" s="2"/>
      <c r="CI1359" s="2">
        <v>1</v>
      </c>
      <c r="CJ1359" s="2">
        <v>1</v>
      </c>
      <c r="CK1359" s="2">
        <v>21</v>
      </c>
      <c r="CL1359" s="2" t="s">
        <v>88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"FES1162506984"</f>
        <v>FES1162506984</v>
      </c>
      <c r="F1360" s="3">
        <v>42660</v>
      </c>
      <c r="G1360" s="2">
        <v>201704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1676</v>
      </c>
      <c r="M1360" s="2" t="s">
        <v>1677</v>
      </c>
      <c r="N1360" s="2" t="s">
        <v>1678</v>
      </c>
      <c r="O1360" s="2" t="s">
        <v>96</v>
      </c>
      <c r="P1360" s="2" t="str">
        <f>"2170529554                    "</f>
        <v xml:space="preserve">2170529554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6.43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</v>
      </c>
      <c r="BJ1360" s="2">
        <v>0.2</v>
      </c>
      <c r="BK1360" s="2">
        <v>1</v>
      </c>
      <c r="BL1360" s="2">
        <v>78.97</v>
      </c>
      <c r="BM1360" s="2">
        <v>11.06</v>
      </c>
      <c r="BN1360" s="2">
        <v>90.03</v>
      </c>
      <c r="BO1360" s="2">
        <v>90.03</v>
      </c>
      <c r="BP1360" s="2"/>
      <c r="BQ1360" s="2" t="s">
        <v>168</v>
      </c>
      <c r="BR1360" s="2" t="s">
        <v>83</v>
      </c>
      <c r="BS1360" s="3">
        <v>42661</v>
      </c>
      <c r="BT1360" s="4">
        <v>0.44444444444444442</v>
      </c>
      <c r="BU1360" s="2" t="s">
        <v>1679</v>
      </c>
      <c r="BV1360" s="2" t="s">
        <v>85</v>
      </c>
      <c r="BW1360" s="2"/>
      <c r="BX1360" s="2"/>
      <c r="BY1360" s="2">
        <v>1200</v>
      </c>
      <c r="BZ1360" s="2" t="s">
        <v>27</v>
      </c>
      <c r="CA1360" s="2"/>
      <c r="CB1360" s="2"/>
      <c r="CC1360" s="2" t="s">
        <v>1677</v>
      </c>
      <c r="CD1360" s="2">
        <v>2531</v>
      </c>
      <c r="CE1360" s="2" t="s">
        <v>108</v>
      </c>
      <c r="CF1360" s="5">
        <v>42663</v>
      </c>
      <c r="CG1360" s="2"/>
      <c r="CH1360" s="2"/>
      <c r="CI1360" s="2">
        <v>1</v>
      </c>
      <c r="CJ1360" s="2">
        <v>1</v>
      </c>
      <c r="CK1360" s="2">
        <v>23</v>
      </c>
      <c r="CL1360" s="2" t="s">
        <v>88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"FES1162506924"</f>
        <v>FES1162506924</v>
      </c>
      <c r="F1361" s="3">
        <v>42660</v>
      </c>
      <c r="G1361" s="2">
        <v>201704</v>
      </c>
      <c r="H1361" s="2" t="s">
        <v>74</v>
      </c>
      <c r="I1361" s="2" t="s">
        <v>75</v>
      </c>
      <c r="J1361" s="2" t="s">
        <v>76</v>
      </c>
      <c r="K1361" s="2" t="s">
        <v>77</v>
      </c>
      <c r="L1361" s="2" t="s">
        <v>1122</v>
      </c>
      <c r="M1361" s="2" t="s">
        <v>1123</v>
      </c>
      <c r="N1361" s="2" t="s">
        <v>1124</v>
      </c>
      <c r="O1361" s="2" t="s">
        <v>96</v>
      </c>
      <c r="P1361" s="2" t="str">
        <f>"2170530483                    "</f>
        <v xml:space="preserve">2170530483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3.32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40.76</v>
      </c>
      <c r="BM1361" s="2">
        <v>5.71</v>
      </c>
      <c r="BN1361" s="2">
        <v>46.47</v>
      </c>
      <c r="BO1361" s="2">
        <v>46.47</v>
      </c>
      <c r="BP1361" s="2"/>
      <c r="BQ1361" s="2" t="s">
        <v>1125</v>
      </c>
      <c r="BR1361" s="2" t="s">
        <v>83</v>
      </c>
      <c r="BS1361" s="3">
        <v>42661</v>
      </c>
      <c r="BT1361" s="4">
        <v>0.38958333333333334</v>
      </c>
      <c r="BU1361" s="2" t="s">
        <v>1680</v>
      </c>
      <c r="BV1361" s="2" t="s">
        <v>85</v>
      </c>
      <c r="BW1361" s="2"/>
      <c r="BX1361" s="2"/>
      <c r="BY1361" s="2">
        <v>1200</v>
      </c>
      <c r="BZ1361" s="2" t="s">
        <v>27</v>
      </c>
      <c r="CA1361" s="2" t="s">
        <v>1681</v>
      </c>
      <c r="CB1361" s="2"/>
      <c r="CC1361" s="2" t="s">
        <v>1123</v>
      </c>
      <c r="CD1361" s="2">
        <v>1911</v>
      </c>
      <c r="CE1361" s="2" t="s">
        <v>108</v>
      </c>
      <c r="CF1361" s="5">
        <v>42661</v>
      </c>
      <c r="CG1361" s="2"/>
      <c r="CH1361" s="2"/>
      <c r="CI1361" s="2">
        <v>1</v>
      </c>
      <c r="CJ1361" s="2">
        <v>1</v>
      </c>
      <c r="CK1361" s="2">
        <v>21</v>
      </c>
      <c r="CL1361" s="2" t="s">
        <v>88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"FES1162506921"</f>
        <v>FES1162506921</v>
      </c>
      <c r="F1362" s="3">
        <v>42660</v>
      </c>
      <c r="G1362" s="2">
        <v>201704</v>
      </c>
      <c r="H1362" s="2" t="s">
        <v>74</v>
      </c>
      <c r="I1362" s="2" t="s">
        <v>75</v>
      </c>
      <c r="J1362" s="2" t="s">
        <v>76</v>
      </c>
      <c r="K1362" s="2" t="s">
        <v>77</v>
      </c>
      <c r="L1362" s="2" t="s">
        <v>98</v>
      </c>
      <c r="M1362" s="2" t="s">
        <v>99</v>
      </c>
      <c r="N1362" s="2" t="s">
        <v>894</v>
      </c>
      <c r="O1362" s="2" t="s">
        <v>96</v>
      </c>
      <c r="P1362" s="2" t="str">
        <f>"2170530468                    "</f>
        <v xml:space="preserve">2170530468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3.32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1</v>
      </c>
      <c r="BJ1362" s="2">
        <v>0.2</v>
      </c>
      <c r="BK1362" s="2">
        <v>1</v>
      </c>
      <c r="BL1362" s="2">
        <v>40.76</v>
      </c>
      <c r="BM1362" s="2">
        <v>5.71</v>
      </c>
      <c r="BN1362" s="2">
        <v>46.47</v>
      </c>
      <c r="BO1362" s="2">
        <v>46.47</v>
      </c>
      <c r="BP1362" s="2"/>
      <c r="BQ1362" s="2" t="s">
        <v>895</v>
      </c>
      <c r="BR1362" s="2" t="s">
        <v>83</v>
      </c>
      <c r="BS1362" s="3">
        <v>42661</v>
      </c>
      <c r="BT1362" s="4">
        <v>0.47916666666666669</v>
      </c>
      <c r="BU1362" s="2" t="s">
        <v>1682</v>
      </c>
      <c r="BV1362" s="2" t="s">
        <v>88</v>
      </c>
      <c r="BW1362" s="2" t="s">
        <v>277</v>
      </c>
      <c r="BX1362" s="2" t="s">
        <v>1683</v>
      </c>
      <c r="BY1362" s="2">
        <v>1200</v>
      </c>
      <c r="BZ1362" s="2" t="s">
        <v>27</v>
      </c>
      <c r="CA1362" s="2"/>
      <c r="CB1362" s="2"/>
      <c r="CC1362" s="2" t="s">
        <v>99</v>
      </c>
      <c r="CD1362" s="2">
        <v>6012</v>
      </c>
      <c r="CE1362" s="2" t="s">
        <v>108</v>
      </c>
      <c r="CF1362" s="5">
        <v>42662</v>
      </c>
      <c r="CG1362" s="2"/>
      <c r="CH1362" s="2"/>
      <c r="CI1362" s="2">
        <v>1</v>
      </c>
      <c r="CJ1362" s="2">
        <v>1</v>
      </c>
      <c r="CK1362" s="2">
        <v>21</v>
      </c>
      <c r="CL1362" s="2" t="s">
        <v>88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"FES1162506930"</f>
        <v>FES1162506930</v>
      </c>
      <c r="F1363" s="3">
        <v>42660</v>
      </c>
      <c r="G1363" s="2">
        <v>201704</v>
      </c>
      <c r="H1363" s="2" t="s">
        <v>74</v>
      </c>
      <c r="I1363" s="2" t="s">
        <v>75</v>
      </c>
      <c r="J1363" s="2" t="s">
        <v>76</v>
      </c>
      <c r="K1363" s="2" t="s">
        <v>77</v>
      </c>
      <c r="L1363" s="2" t="s">
        <v>160</v>
      </c>
      <c r="M1363" s="2" t="s">
        <v>161</v>
      </c>
      <c r="N1363" s="2" t="s">
        <v>659</v>
      </c>
      <c r="O1363" s="2" t="s">
        <v>96</v>
      </c>
      <c r="P1363" s="2" t="str">
        <f>"2170530491                    "</f>
        <v xml:space="preserve">2170530491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3.32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1</v>
      </c>
      <c r="BJ1363" s="2">
        <v>0.2</v>
      </c>
      <c r="BK1363" s="2">
        <v>1</v>
      </c>
      <c r="BL1363" s="2">
        <v>40.76</v>
      </c>
      <c r="BM1363" s="2">
        <v>5.71</v>
      </c>
      <c r="BN1363" s="2">
        <v>46.47</v>
      </c>
      <c r="BO1363" s="2">
        <v>46.47</v>
      </c>
      <c r="BP1363" s="2"/>
      <c r="BQ1363" s="2" t="s">
        <v>91</v>
      </c>
      <c r="BR1363" s="2" t="s">
        <v>83</v>
      </c>
      <c r="BS1363" s="3">
        <v>42661</v>
      </c>
      <c r="BT1363" s="4">
        <v>0.35972222222222222</v>
      </c>
      <c r="BU1363" s="2" t="s">
        <v>1684</v>
      </c>
      <c r="BV1363" s="2" t="s">
        <v>85</v>
      </c>
      <c r="BW1363" s="2"/>
      <c r="BX1363" s="2"/>
      <c r="BY1363" s="2">
        <v>1200</v>
      </c>
      <c r="BZ1363" s="2" t="s">
        <v>27</v>
      </c>
      <c r="CA1363" s="2" t="s">
        <v>229</v>
      </c>
      <c r="CB1363" s="2"/>
      <c r="CC1363" s="2" t="s">
        <v>161</v>
      </c>
      <c r="CD1363" s="2">
        <v>7460</v>
      </c>
      <c r="CE1363" s="2" t="s">
        <v>108</v>
      </c>
      <c r="CF1363" s="5">
        <v>42661</v>
      </c>
      <c r="CG1363" s="2"/>
      <c r="CH1363" s="2"/>
      <c r="CI1363" s="2">
        <v>1</v>
      </c>
      <c r="CJ1363" s="2">
        <v>1</v>
      </c>
      <c r="CK1363" s="2">
        <v>21</v>
      </c>
      <c r="CL1363" s="2" t="s">
        <v>88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"FES1162506916"</f>
        <v>FES1162506916</v>
      </c>
      <c r="F1364" s="3">
        <v>42660</v>
      </c>
      <c r="G1364" s="2">
        <v>201704</v>
      </c>
      <c r="H1364" s="2" t="s">
        <v>74</v>
      </c>
      <c r="I1364" s="2" t="s">
        <v>75</v>
      </c>
      <c r="J1364" s="2" t="s">
        <v>76</v>
      </c>
      <c r="K1364" s="2" t="s">
        <v>77</v>
      </c>
      <c r="L1364" s="2" t="s">
        <v>160</v>
      </c>
      <c r="M1364" s="2" t="s">
        <v>161</v>
      </c>
      <c r="N1364" s="2" t="s">
        <v>441</v>
      </c>
      <c r="O1364" s="2" t="s">
        <v>96</v>
      </c>
      <c r="P1364" s="2" t="str">
        <f>"2170530370                    "</f>
        <v xml:space="preserve">2170530370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3.32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1</v>
      </c>
      <c r="BJ1364" s="2">
        <v>0.2</v>
      </c>
      <c r="BK1364" s="2">
        <v>1</v>
      </c>
      <c r="BL1364" s="2">
        <v>40.76</v>
      </c>
      <c r="BM1364" s="2">
        <v>5.71</v>
      </c>
      <c r="BN1364" s="2">
        <v>46.47</v>
      </c>
      <c r="BO1364" s="2">
        <v>46.47</v>
      </c>
      <c r="BP1364" s="2"/>
      <c r="BQ1364" s="2" t="s">
        <v>168</v>
      </c>
      <c r="BR1364" s="2" t="s">
        <v>83</v>
      </c>
      <c r="BS1364" s="3">
        <v>42662</v>
      </c>
      <c r="BT1364" s="4">
        <v>0.43472222222222223</v>
      </c>
      <c r="BU1364" s="2" t="s">
        <v>1685</v>
      </c>
      <c r="BV1364" s="2" t="s">
        <v>88</v>
      </c>
      <c r="BW1364" s="2" t="s">
        <v>222</v>
      </c>
      <c r="BX1364" s="2" t="s">
        <v>356</v>
      </c>
      <c r="BY1364" s="2">
        <v>1200</v>
      </c>
      <c r="BZ1364" s="2" t="s">
        <v>27</v>
      </c>
      <c r="CA1364" s="2"/>
      <c r="CB1364" s="2"/>
      <c r="CC1364" s="2" t="s">
        <v>161</v>
      </c>
      <c r="CD1364" s="2">
        <v>7580</v>
      </c>
      <c r="CE1364" s="2" t="s">
        <v>108</v>
      </c>
      <c r="CF1364" s="5">
        <v>42663</v>
      </c>
      <c r="CG1364" s="2"/>
      <c r="CH1364" s="2"/>
      <c r="CI1364" s="2">
        <v>1</v>
      </c>
      <c r="CJ1364" s="2">
        <v>2</v>
      </c>
      <c r="CK1364" s="2">
        <v>21</v>
      </c>
      <c r="CL1364" s="2" t="s">
        <v>88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"FES1162507122"</f>
        <v>FES1162507122</v>
      </c>
      <c r="F1365" s="3">
        <v>42660</v>
      </c>
      <c r="G1365" s="2">
        <v>201704</v>
      </c>
      <c r="H1365" s="2" t="s">
        <v>74</v>
      </c>
      <c r="I1365" s="2" t="s">
        <v>75</v>
      </c>
      <c r="J1365" s="2" t="s">
        <v>76</v>
      </c>
      <c r="K1365" s="2" t="s">
        <v>77</v>
      </c>
      <c r="L1365" s="2" t="s">
        <v>119</v>
      </c>
      <c r="M1365" s="2" t="s">
        <v>120</v>
      </c>
      <c r="N1365" s="2" t="s">
        <v>186</v>
      </c>
      <c r="O1365" s="2" t="s">
        <v>96</v>
      </c>
      <c r="P1365" s="2" t="str">
        <f>"2170530648                    "</f>
        <v xml:space="preserve">2170530648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4.9800000000000004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3</v>
      </c>
      <c r="BJ1365" s="2">
        <v>0.2</v>
      </c>
      <c r="BK1365" s="2">
        <v>3</v>
      </c>
      <c r="BL1365" s="2">
        <v>61.14</v>
      </c>
      <c r="BM1365" s="2">
        <v>8.56</v>
      </c>
      <c r="BN1365" s="2">
        <v>69.7</v>
      </c>
      <c r="BO1365" s="2">
        <v>69.7</v>
      </c>
      <c r="BP1365" s="2"/>
      <c r="BQ1365" s="2" t="s">
        <v>187</v>
      </c>
      <c r="BR1365" s="2" t="s">
        <v>83</v>
      </c>
      <c r="BS1365" s="3">
        <v>42661</v>
      </c>
      <c r="BT1365" s="4">
        <v>0.63680555555555551</v>
      </c>
      <c r="BU1365" s="2" t="s">
        <v>1686</v>
      </c>
      <c r="BV1365" s="2" t="s">
        <v>88</v>
      </c>
      <c r="BW1365" s="2" t="s">
        <v>277</v>
      </c>
      <c r="BX1365" s="2" t="s">
        <v>1683</v>
      </c>
      <c r="BY1365" s="2">
        <v>1200</v>
      </c>
      <c r="BZ1365" s="2" t="s">
        <v>27</v>
      </c>
      <c r="CA1365" s="2"/>
      <c r="CB1365" s="2"/>
      <c r="CC1365" s="2" t="s">
        <v>120</v>
      </c>
      <c r="CD1365" s="2">
        <v>6229</v>
      </c>
      <c r="CE1365" s="2" t="s">
        <v>108</v>
      </c>
      <c r="CF1365" s="5">
        <v>42662</v>
      </c>
      <c r="CG1365" s="2"/>
      <c r="CH1365" s="2"/>
      <c r="CI1365" s="2">
        <v>1</v>
      </c>
      <c r="CJ1365" s="2">
        <v>1</v>
      </c>
      <c r="CK1365" s="2">
        <v>21</v>
      </c>
      <c r="CL1365" s="2" t="s">
        <v>88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"FES1162506928"</f>
        <v>FES1162506928</v>
      </c>
      <c r="F1366" s="3">
        <v>42660</v>
      </c>
      <c r="G1366" s="2">
        <v>201704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98</v>
      </c>
      <c r="M1366" s="2" t="s">
        <v>99</v>
      </c>
      <c r="N1366" s="2" t="s">
        <v>1687</v>
      </c>
      <c r="O1366" s="2" t="s">
        <v>96</v>
      </c>
      <c r="P1366" s="2" t="str">
        <f>"2170530489                    "</f>
        <v xml:space="preserve">2170530489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3.32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1</v>
      </c>
      <c r="BJ1366" s="2">
        <v>0.2</v>
      </c>
      <c r="BK1366" s="2">
        <v>1</v>
      </c>
      <c r="BL1366" s="2">
        <v>40.76</v>
      </c>
      <c r="BM1366" s="2">
        <v>5.71</v>
      </c>
      <c r="BN1366" s="2">
        <v>46.47</v>
      </c>
      <c r="BO1366" s="2">
        <v>46.47</v>
      </c>
      <c r="BP1366" s="2"/>
      <c r="BQ1366" s="2" t="s">
        <v>1688</v>
      </c>
      <c r="BR1366" s="2" t="s">
        <v>83</v>
      </c>
      <c r="BS1366" s="3">
        <v>42661</v>
      </c>
      <c r="BT1366" s="4">
        <v>0.52083333333333337</v>
      </c>
      <c r="BU1366" s="2" t="s">
        <v>1689</v>
      </c>
      <c r="BV1366" s="2" t="s">
        <v>88</v>
      </c>
      <c r="BW1366" s="2" t="s">
        <v>222</v>
      </c>
      <c r="BX1366" s="2" t="s">
        <v>250</v>
      </c>
      <c r="BY1366" s="2">
        <v>1200</v>
      </c>
      <c r="BZ1366" s="2" t="s">
        <v>27</v>
      </c>
      <c r="CA1366" s="2"/>
      <c r="CB1366" s="2"/>
      <c r="CC1366" s="2" t="s">
        <v>99</v>
      </c>
      <c r="CD1366" s="2">
        <v>6001</v>
      </c>
      <c r="CE1366" s="2" t="s">
        <v>108</v>
      </c>
      <c r="CF1366" s="5">
        <v>42662</v>
      </c>
      <c r="CG1366" s="2"/>
      <c r="CH1366" s="2"/>
      <c r="CI1366" s="2">
        <v>1</v>
      </c>
      <c r="CJ1366" s="2">
        <v>1</v>
      </c>
      <c r="CK1366" s="2">
        <v>21</v>
      </c>
      <c r="CL1366" s="2" t="s">
        <v>88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"FES1162507174"</f>
        <v>FES1162507174</v>
      </c>
      <c r="F1367" s="3">
        <v>42660</v>
      </c>
      <c r="G1367" s="2">
        <v>201704</v>
      </c>
      <c r="H1367" s="2" t="s">
        <v>74</v>
      </c>
      <c r="I1367" s="2" t="s">
        <v>75</v>
      </c>
      <c r="J1367" s="2" t="s">
        <v>76</v>
      </c>
      <c r="K1367" s="2" t="s">
        <v>77</v>
      </c>
      <c r="L1367" s="2" t="s">
        <v>98</v>
      </c>
      <c r="M1367" s="2" t="s">
        <v>99</v>
      </c>
      <c r="N1367" s="2" t="s">
        <v>104</v>
      </c>
      <c r="O1367" s="2" t="s">
        <v>96</v>
      </c>
      <c r="P1367" s="2" t="str">
        <f>"2170530679                    "</f>
        <v xml:space="preserve">2170530679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3.32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1</v>
      </c>
      <c r="BJ1367" s="2">
        <v>0.2</v>
      </c>
      <c r="BK1367" s="2">
        <v>1</v>
      </c>
      <c r="BL1367" s="2">
        <v>40.76</v>
      </c>
      <c r="BM1367" s="2">
        <v>5.71</v>
      </c>
      <c r="BN1367" s="2">
        <v>46.47</v>
      </c>
      <c r="BO1367" s="2">
        <v>46.47</v>
      </c>
      <c r="BP1367" s="2"/>
      <c r="BQ1367" s="2" t="s">
        <v>105</v>
      </c>
      <c r="BR1367" s="2" t="s">
        <v>83</v>
      </c>
      <c r="BS1367" s="3">
        <v>42661</v>
      </c>
      <c r="BT1367" s="4">
        <v>0.5</v>
      </c>
      <c r="BU1367" s="2" t="s">
        <v>105</v>
      </c>
      <c r="BV1367" s="2" t="s">
        <v>88</v>
      </c>
      <c r="BW1367" s="2" t="s">
        <v>277</v>
      </c>
      <c r="BX1367" s="2" t="s">
        <v>1683</v>
      </c>
      <c r="BY1367" s="2">
        <v>1200</v>
      </c>
      <c r="BZ1367" s="2" t="s">
        <v>27</v>
      </c>
      <c r="CA1367" s="2"/>
      <c r="CB1367" s="2"/>
      <c r="CC1367" s="2" t="s">
        <v>99</v>
      </c>
      <c r="CD1367" s="2">
        <v>6001</v>
      </c>
      <c r="CE1367" s="2" t="s">
        <v>108</v>
      </c>
      <c r="CF1367" s="5">
        <v>42662</v>
      </c>
      <c r="CG1367" s="2"/>
      <c r="CH1367" s="2"/>
      <c r="CI1367" s="2">
        <v>1</v>
      </c>
      <c r="CJ1367" s="2">
        <v>1</v>
      </c>
      <c r="CK1367" s="2">
        <v>21</v>
      </c>
      <c r="CL1367" s="2" t="s">
        <v>88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"RFES1162506189"</f>
        <v>RFES1162506189</v>
      </c>
      <c r="F1368" s="3">
        <v>42660</v>
      </c>
      <c r="G1368" s="2">
        <v>201704</v>
      </c>
      <c r="H1368" s="2" t="s">
        <v>160</v>
      </c>
      <c r="I1368" s="2" t="s">
        <v>161</v>
      </c>
      <c r="J1368" s="2" t="s">
        <v>251</v>
      </c>
      <c r="K1368" s="2" t="s">
        <v>77</v>
      </c>
      <c r="L1368" s="2" t="s">
        <v>74</v>
      </c>
      <c r="M1368" s="2" t="s">
        <v>75</v>
      </c>
      <c r="N1368" s="2" t="s">
        <v>76</v>
      </c>
      <c r="O1368" s="2" t="s">
        <v>96</v>
      </c>
      <c r="P1368" s="2" t="str">
        <f>"2170529715                    "</f>
        <v xml:space="preserve">2170529715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5.81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2.4</v>
      </c>
      <c r="BJ1368" s="2">
        <v>3.4</v>
      </c>
      <c r="BK1368" s="2">
        <v>3.5</v>
      </c>
      <c r="BL1368" s="2">
        <v>71.33</v>
      </c>
      <c r="BM1368" s="2">
        <v>9.99</v>
      </c>
      <c r="BN1368" s="2">
        <v>81.319999999999993</v>
      </c>
      <c r="BO1368" s="2">
        <v>81.319999999999993</v>
      </c>
      <c r="BP1368" s="2"/>
      <c r="BQ1368" s="2" t="s">
        <v>83</v>
      </c>
      <c r="BR1368" s="2" t="s">
        <v>91</v>
      </c>
      <c r="BS1368" s="3">
        <v>42661</v>
      </c>
      <c r="BT1368" s="4">
        <v>0.33333333333333331</v>
      </c>
      <c r="BU1368" s="2" t="s">
        <v>1665</v>
      </c>
      <c r="BV1368" s="2" t="s">
        <v>85</v>
      </c>
      <c r="BW1368" s="2"/>
      <c r="BX1368" s="2"/>
      <c r="BY1368" s="2">
        <v>16770.04</v>
      </c>
      <c r="BZ1368" s="2"/>
      <c r="CA1368" s="2"/>
      <c r="CB1368" s="2"/>
      <c r="CC1368" s="2" t="s">
        <v>75</v>
      </c>
      <c r="CD1368" s="2">
        <v>1600</v>
      </c>
      <c r="CE1368" s="2" t="s">
        <v>86</v>
      </c>
      <c r="CF1368" s="5">
        <v>42662</v>
      </c>
      <c r="CG1368" s="2"/>
      <c r="CH1368" s="2"/>
      <c r="CI1368" s="2">
        <v>1</v>
      </c>
      <c r="CJ1368" s="2">
        <v>1</v>
      </c>
      <c r="CK1368" s="2">
        <v>21</v>
      </c>
      <c r="CL1368" s="2" t="s">
        <v>88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"FES1162506953"</f>
        <v>FES1162506953</v>
      </c>
      <c r="F1369" s="3">
        <v>42660</v>
      </c>
      <c r="G1369" s="2">
        <v>201704</v>
      </c>
      <c r="H1369" s="2" t="s">
        <v>74</v>
      </c>
      <c r="I1369" s="2" t="s">
        <v>75</v>
      </c>
      <c r="J1369" s="2" t="s">
        <v>76</v>
      </c>
      <c r="K1369" s="2" t="s">
        <v>77</v>
      </c>
      <c r="L1369" s="2" t="s">
        <v>98</v>
      </c>
      <c r="M1369" s="2" t="s">
        <v>99</v>
      </c>
      <c r="N1369" s="2" t="s">
        <v>330</v>
      </c>
      <c r="O1369" s="2" t="s">
        <v>96</v>
      </c>
      <c r="P1369" s="2" t="str">
        <f>"2170528408                    "</f>
        <v xml:space="preserve">2170528408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3.32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</v>
      </c>
      <c r="BJ1369" s="2">
        <v>0.2</v>
      </c>
      <c r="BK1369" s="2">
        <v>1</v>
      </c>
      <c r="BL1369" s="2">
        <v>40.76</v>
      </c>
      <c r="BM1369" s="2">
        <v>5.71</v>
      </c>
      <c r="BN1369" s="2">
        <v>46.47</v>
      </c>
      <c r="BO1369" s="2">
        <v>46.47</v>
      </c>
      <c r="BP1369" s="2"/>
      <c r="BQ1369" s="2" t="s">
        <v>331</v>
      </c>
      <c r="BR1369" s="2" t="s">
        <v>83</v>
      </c>
      <c r="BS1369" s="3">
        <v>42662</v>
      </c>
      <c r="BT1369" s="4">
        <v>0.41736111111111113</v>
      </c>
      <c r="BU1369" s="2" t="s">
        <v>467</v>
      </c>
      <c r="BV1369" s="2" t="s">
        <v>88</v>
      </c>
      <c r="BW1369" s="2" t="s">
        <v>1690</v>
      </c>
      <c r="BX1369" s="2" t="s">
        <v>1691</v>
      </c>
      <c r="BY1369" s="2">
        <v>1200</v>
      </c>
      <c r="BZ1369" s="2" t="s">
        <v>27</v>
      </c>
      <c r="CA1369" s="2" t="s">
        <v>468</v>
      </c>
      <c r="CB1369" s="2"/>
      <c r="CC1369" s="2" t="s">
        <v>99</v>
      </c>
      <c r="CD1369" s="2">
        <v>6070</v>
      </c>
      <c r="CE1369" s="2" t="s">
        <v>108</v>
      </c>
      <c r="CF1369" s="5">
        <v>42663</v>
      </c>
      <c r="CG1369" s="2"/>
      <c r="CH1369" s="2"/>
      <c r="CI1369" s="2">
        <v>1</v>
      </c>
      <c r="CJ1369" s="2">
        <v>2</v>
      </c>
      <c r="CK1369" s="2">
        <v>21</v>
      </c>
      <c r="CL1369" s="2" t="s">
        <v>88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"FES1162506951"</f>
        <v>FES1162506951</v>
      </c>
      <c r="F1370" s="3">
        <v>42660</v>
      </c>
      <c r="G1370" s="2">
        <v>201704</v>
      </c>
      <c r="H1370" s="2" t="s">
        <v>74</v>
      </c>
      <c r="I1370" s="2" t="s">
        <v>75</v>
      </c>
      <c r="J1370" s="2" t="s">
        <v>76</v>
      </c>
      <c r="K1370" s="2" t="s">
        <v>77</v>
      </c>
      <c r="L1370" s="2" t="s">
        <v>119</v>
      </c>
      <c r="M1370" s="2" t="s">
        <v>120</v>
      </c>
      <c r="N1370" s="2" t="s">
        <v>337</v>
      </c>
      <c r="O1370" s="2" t="s">
        <v>96</v>
      </c>
      <c r="P1370" s="2" t="str">
        <f>"2170528339                    "</f>
        <v xml:space="preserve">2170528339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3.32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</v>
      </c>
      <c r="BJ1370" s="2">
        <v>0.2</v>
      </c>
      <c r="BK1370" s="2">
        <v>1</v>
      </c>
      <c r="BL1370" s="2">
        <v>40.76</v>
      </c>
      <c r="BM1370" s="2">
        <v>5.71</v>
      </c>
      <c r="BN1370" s="2">
        <v>46.47</v>
      </c>
      <c r="BO1370" s="2">
        <v>46.47</v>
      </c>
      <c r="BP1370" s="2"/>
      <c r="BQ1370" s="2">
        <v>1162506951</v>
      </c>
      <c r="BR1370" s="2" t="s">
        <v>83</v>
      </c>
      <c r="BS1370" s="3">
        <v>42661</v>
      </c>
      <c r="BT1370" s="4">
        <v>0.61805555555555558</v>
      </c>
      <c r="BU1370" s="2" t="s">
        <v>431</v>
      </c>
      <c r="BV1370" s="2" t="s">
        <v>88</v>
      </c>
      <c r="BW1370" s="2" t="s">
        <v>277</v>
      </c>
      <c r="BX1370" s="2" t="s">
        <v>1683</v>
      </c>
      <c r="BY1370" s="2">
        <v>1200</v>
      </c>
      <c r="BZ1370" s="2" t="s">
        <v>27</v>
      </c>
      <c r="CA1370" s="2"/>
      <c r="CB1370" s="2"/>
      <c r="CC1370" s="2" t="s">
        <v>120</v>
      </c>
      <c r="CD1370" s="2">
        <v>6230</v>
      </c>
      <c r="CE1370" s="2" t="s">
        <v>108</v>
      </c>
      <c r="CF1370" s="5">
        <v>42662</v>
      </c>
      <c r="CG1370" s="2"/>
      <c r="CH1370" s="2"/>
      <c r="CI1370" s="2">
        <v>1</v>
      </c>
      <c r="CJ1370" s="2">
        <v>1</v>
      </c>
      <c r="CK1370" s="2">
        <v>21</v>
      </c>
      <c r="CL1370" s="2" t="s">
        <v>88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"FES1162507004"</f>
        <v>FES1162507004</v>
      </c>
      <c r="F1371" s="3">
        <v>42660</v>
      </c>
      <c r="G1371" s="2">
        <v>201704</v>
      </c>
      <c r="H1371" s="2" t="s">
        <v>74</v>
      </c>
      <c r="I1371" s="2" t="s">
        <v>75</v>
      </c>
      <c r="J1371" s="2" t="s">
        <v>76</v>
      </c>
      <c r="K1371" s="2" t="s">
        <v>77</v>
      </c>
      <c r="L1371" s="2" t="s">
        <v>160</v>
      </c>
      <c r="M1371" s="2" t="s">
        <v>161</v>
      </c>
      <c r="N1371" s="2" t="s">
        <v>710</v>
      </c>
      <c r="O1371" s="2" t="s">
        <v>96</v>
      </c>
      <c r="P1371" s="2" t="str">
        <f>"2170530517                    "</f>
        <v xml:space="preserve">2170530517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3.32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1</v>
      </c>
      <c r="BJ1371" s="2">
        <v>0.2</v>
      </c>
      <c r="BK1371" s="2">
        <v>1</v>
      </c>
      <c r="BL1371" s="2">
        <v>40.76</v>
      </c>
      <c r="BM1371" s="2">
        <v>5.71</v>
      </c>
      <c r="BN1371" s="2">
        <v>46.47</v>
      </c>
      <c r="BO1371" s="2">
        <v>46.47</v>
      </c>
      <c r="BP1371" s="2"/>
      <c r="BQ1371" s="2" t="s">
        <v>711</v>
      </c>
      <c r="BR1371" s="2" t="s">
        <v>83</v>
      </c>
      <c r="BS1371" s="3">
        <v>42661</v>
      </c>
      <c r="BT1371" s="4">
        <v>0.41666666666666669</v>
      </c>
      <c r="BU1371" s="2" t="s">
        <v>1692</v>
      </c>
      <c r="BV1371" s="2" t="s">
        <v>85</v>
      </c>
      <c r="BW1371" s="2"/>
      <c r="BX1371" s="2"/>
      <c r="BY1371" s="2">
        <v>1200</v>
      </c>
      <c r="BZ1371" s="2" t="s">
        <v>27</v>
      </c>
      <c r="CA1371" s="2"/>
      <c r="CB1371" s="2"/>
      <c r="CC1371" s="2" t="s">
        <v>161</v>
      </c>
      <c r="CD1371" s="2">
        <v>7441</v>
      </c>
      <c r="CE1371" s="2" t="s">
        <v>108</v>
      </c>
      <c r="CF1371" s="5">
        <v>42662</v>
      </c>
      <c r="CG1371" s="2"/>
      <c r="CH1371" s="2"/>
      <c r="CI1371" s="2">
        <v>1</v>
      </c>
      <c r="CJ1371" s="2">
        <v>1</v>
      </c>
      <c r="CK1371" s="2">
        <v>21</v>
      </c>
      <c r="CL1371" s="2" t="s">
        <v>88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"FES1162506983"</f>
        <v>FES1162506983</v>
      </c>
      <c r="F1372" s="3">
        <v>42660</v>
      </c>
      <c r="G1372" s="2">
        <v>201704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153</v>
      </c>
      <c r="M1372" s="2" t="s">
        <v>153</v>
      </c>
      <c r="N1372" s="2" t="s">
        <v>501</v>
      </c>
      <c r="O1372" s="2" t="s">
        <v>96</v>
      </c>
      <c r="P1372" s="2" t="str">
        <f>"2170530502                    "</f>
        <v xml:space="preserve">2170530502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3.32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1</v>
      </c>
      <c r="BJ1372" s="2">
        <v>0.2</v>
      </c>
      <c r="BK1372" s="2">
        <v>1</v>
      </c>
      <c r="BL1372" s="2">
        <v>40.76</v>
      </c>
      <c r="BM1372" s="2">
        <v>5.71</v>
      </c>
      <c r="BN1372" s="2">
        <v>46.47</v>
      </c>
      <c r="BO1372" s="2">
        <v>46.47</v>
      </c>
      <c r="BP1372" s="2"/>
      <c r="BQ1372" s="2" t="s">
        <v>82</v>
      </c>
      <c r="BR1372" s="2" t="s">
        <v>83</v>
      </c>
      <c r="BS1372" s="3">
        <v>42662</v>
      </c>
      <c r="BT1372" s="4">
        <v>0.5229166666666667</v>
      </c>
      <c r="BU1372" s="2" t="s">
        <v>1693</v>
      </c>
      <c r="BV1372" s="2" t="s">
        <v>88</v>
      </c>
      <c r="BW1372" s="2" t="s">
        <v>222</v>
      </c>
      <c r="BX1372" s="2" t="s">
        <v>356</v>
      </c>
      <c r="BY1372" s="2">
        <v>1200</v>
      </c>
      <c r="BZ1372" s="2" t="s">
        <v>27</v>
      </c>
      <c r="CA1372" s="2" t="s">
        <v>129</v>
      </c>
      <c r="CB1372" s="2"/>
      <c r="CC1372" s="2" t="s">
        <v>153</v>
      </c>
      <c r="CD1372" s="2">
        <v>7620</v>
      </c>
      <c r="CE1372" s="2" t="s">
        <v>108</v>
      </c>
      <c r="CF1372" s="5">
        <v>42663</v>
      </c>
      <c r="CG1372" s="2"/>
      <c r="CH1372" s="2"/>
      <c r="CI1372" s="2">
        <v>1</v>
      </c>
      <c r="CJ1372" s="2">
        <v>2</v>
      </c>
      <c r="CK1372" s="2">
        <v>21</v>
      </c>
      <c r="CL1372" s="2" t="s">
        <v>88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"FES1162506988"</f>
        <v>FES1162506988</v>
      </c>
      <c r="F1373" s="3">
        <v>42660</v>
      </c>
      <c r="G1373" s="2">
        <v>201704</v>
      </c>
      <c r="H1373" s="2" t="s">
        <v>74</v>
      </c>
      <c r="I1373" s="2" t="s">
        <v>75</v>
      </c>
      <c r="J1373" s="2" t="s">
        <v>76</v>
      </c>
      <c r="K1373" s="2" t="s">
        <v>77</v>
      </c>
      <c r="L1373" s="2" t="s">
        <v>137</v>
      </c>
      <c r="M1373" s="2" t="s">
        <v>138</v>
      </c>
      <c r="N1373" s="2" t="s">
        <v>291</v>
      </c>
      <c r="O1373" s="2" t="s">
        <v>96</v>
      </c>
      <c r="P1373" s="2" t="str">
        <f>"2170523525                    "</f>
        <v xml:space="preserve">2170523525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8.2899999999999991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5</v>
      </c>
      <c r="BJ1373" s="2">
        <v>1.5</v>
      </c>
      <c r="BK1373" s="2">
        <v>5</v>
      </c>
      <c r="BL1373" s="2">
        <v>101.89</v>
      </c>
      <c r="BM1373" s="2">
        <v>14.26</v>
      </c>
      <c r="BN1373" s="2">
        <v>116.15</v>
      </c>
      <c r="BO1373" s="2">
        <v>116.15</v>
      </c>
      <c r="BP1373" s="2"/>
      <c r="BQ1373" s="2" t="s">
        <v>117</v>
      </c>
      <c r="BR1373" s="2" t="s">
        <v>83</v>
      </c>
      <c r="BS1373" s="3">
        <v>42661</v>
      </c>
      <c r="BT1373" s="4">
        <v>0.39305555555555555</v>
      </c>
      <c r="BU1373" s="2" t="s">
        <v>781</v>
      </c>
      <c r="BV1373" s="2"/>
      <c r="BW1373" s="2"/>
      <c r="BX1373" s="2"/>
      <c r="BY1373" s="2">
        <v>7540</v>
      </c>
      <c r="BZ1373" s="2" t="s">
        <v>27</v>
      </c>
      <c r="CA1373" s="2" t="s">
        <v>613</v>
      </c>
      <c r="CB1373" s="2"/>
      <c r="CC1373" s="2" t="s">
        <v>138</v>
      </c>
      <c r="CD1373" s="2">
        <v>3201</v>
      </c>
      <c r="CE1373" s="2" t="s">
        <v>86</v>
      </c>
      <c r="CF1373" s="5">
        <v>42662</v>
      </c>
      <c r="CG1373" s="2"/>
      <c r="CH1373" s="2"/>
      <c r="CI1373" s="2">
        <v>0</v>
      </c>
      <c r="CJ1373" s="2">
        <v>0</v>
      </c>
      <c r="CK1373" s="2">
        <v>21</v>
      </c>
      <c r="CL1373" s="2" t="s">
        <v>88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"FES1162506931"</f>
        <v>FES1162506931</v>
      </c>
      <c r="F1374" s="3">
        <v>42660</v>
      </c>
      <c r="G1374" s="2">
        <v>201704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218</v>
      </c>
      <c r="M1374" s="2" t="s">
        <v>219</v>
      </c>
      <c r="N1374" s="2" t="s">
        <v>1694</v>
      </c>
      <c r="O1374" s="2" t="s">
        <v>96</v>
      </c>
      <c r="P1374" s="2" t="str">
        <f>"2170530493                    "</f>
        <v xml:space="preserve">2170530493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3.32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1</v>
      </c>
      <c r="BJ1374" s="2">
        <v>0.2</v>
      </c>
      <c r="BK1374" s="2">
        <v>1</v>
      </c>
      <c r="BL1374" s="2">
        <v>40.76</v>
      </c>
      <c r="BM1374" s="2">
        <v>5.71</v>
      </c>
      <c r="BN1374" s="2">
        <v>46.47</v>
      </c>
      <c r="BO1374" s="2">
        <v>46.47</v>
      </c>
      <c r="BP1374" s="2"/>
      <c r="BQ1374" s="2" t="s">
        <v>1695</v>
      </c>
      <c r="BR1374" s="2" t="s">
        <v>83</v>
      </c>
      <c r="BS1374" s="3">
        <v>42662</v>
      </c>
      <c r="BT1374" s="4">
        <v>0.35972222222222222</v>
      </c>
      <c r="BU1374" s="2" t="s">
        <v>1696</v>
      </c>
      <c r="BV1374" s="2" t="s">
        <v>88</v>
      </c>
      <c r="BW1374" s="2" t="s">
        <v>222</v>
      </c>
      <c r="BX1374" s="2" t="s">
        <v>356</v>
      </c>
      <c r="BY1374" s="2">
        <v>1200</v>
      </c>
      <c r="BZ1374" s="2" t="s">
        <v>27</v>
      </c>
      <c r="CA1374" s="2"/>
      <c r="CB1374" s="2"/>
      <c r="CC1374" s="2" t="s">
        <v>219</v>
      </c>
      <c r="CD1374" s="2">
        <v>7599</v>
      </c>
      <c r="CE1374" s="2" t="s">
        <v>108</v>
      </c>
      <c r="CF1374" s="5">
        <v>42663</v>
      </c>
      <c r="CG1374" s="2"/>
      <c r="CH1374" s="2"/>
      <c r="CI1374" s="2">
        <v>1</v>
      </c>
      <c r="CJ1374" s="2">
        <v>2</v>
      </c>
      <c r="CK1374" s="2">
        <v>21</v>
      </c>
      <c r="CL1374" s="2" t="s">
        <v>88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"FES1162506956"</f>
        <v>FES1162506956</v>
      </c>
      <c r="F1375" s="3">
        <v>42660</v>
      </c>
      <c r="G1375" s="2">
        <v>201704</v>
      </c>
      <c r="H1375" s="2" t="s">
        <v>74</v>
      </c>
      <c r="I1375" s="2" t="s">
        <v>75</v>
      </c>
      <c r="J1375" s="2" t="s">
        <v>76</v>
      </c>
      <c r="K1375" s="2" t="s">
        <v>77</v>
      </c>
      <c r="L1375" s="2" t="s">
        <v>160</v>
      </c>
      <c r="M1375" s="2" t="s">
        <v>161</v>
      </c>
      <c r="N1375" s="2" t="s">
        <v>176</v>
      </c>
      <c r="O1375" s="2" t="s">
        <v>96</v>
      </c>
      <c r="P1375" s="2" t="str">
        <f>"2170528448                    "</f>
        <v xml:space="preserve">2170528448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3.32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1</v>
      </c>
      <c r="BJ1375" s="2">
        <v>0.2</v>
      </c>
      <c r="BK1375" s="2">
        <v>1</v>
      </c>
      <c r="BL1375" s="2">
        <v>40.76</v>
      </c>
      <c r="BM1375" s="2">
        <v>5.71</v>
      </c>
      <c r="BN1375" s="2">
        <v>46.47</v>
      </c>
      <c r="BO1375" s="2">
        <v>46.47</v>
      </c>
      <c r="BP1375" s="2"/>
      <c r="BQ1375" s="2" t="s">
        <v>258</v>
      </c>
      <c r="BR1375" s="2" t="s">
        <v>83</v>
      </c>
      <c r="BS1375" s="3">
        <v>42662</v>
      </c>
      <c r="BT1375" s="4">
        <v>0.41666666666666669</v>
      </c>
      <c r="BU1375" s="2" t="s">
        <v>1697</v>
      </c>
      <c r="BV1375" s="2" t="s">
        <v>88</v>
      </c>
      <c r="BW1375" s="2" t="s">
        <v>222</v>
      </c>
      <c r="BX1375" s="2" t="s">
        <v>356</v>
      </c>
      <c r="BY1375" s="2">
        <v>1200</v>
      </c>
      <c r="BZ1375" s="2" t="s">
        <v>27</v>
      </c>
      <c r="CA1375" s="2" t="s">
        <v>129</v>
      </c>
      <c r="CB1375" s="2"/>
      <c r="CC1375" s="2" t="s">
        <v>161</v>
      </c>
      <c r="CD1375" s="2">
        <v>7405</v>
      </c>
      <c r="CE1375" s="2" t="s">
        <v>108</v>
      </c>
      <c r="CF1375" s="5">
        <v>42663</v>
      </c>
      <c r="CG1375" s="2"/>
      <c r="CH1375" s="2"/>
      <c r="CI1375" s="2">
        <v>1</v>
      </c>
      <c r="CJ1375" s="2">
        <v>2</v>
      </c>
      <c r="CK1375" s="2">
        <v>21</v>
      </c>
      <c r="CL1375" s="2" t="s">
        <v>88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"FES1162506968"</f>
        <v>FES1162506968</v>
      </c>
      <c r="F1376" s="3">
        <v>42660</v>
      </c>
      <c r="G1376" s="2">
        <v>201704</v>
      </c>
      <c r="H1376" s="2" t="s">
        <v>74</v>
      </c>
      <c r="I1376" s="2" t="s">
        <v>75</v>
      </c>
      <c r="J1376" s="2" t="s">
        <v>76</v>
      </c>
      <c r="K1376" s="2" t="s">
        <v>77</v>
      </c>
      <c r="L1376" s="2" t="s">
        <v>160</v>
      </c>
      <c r="M1376" s="2" t="s">
        <v>161</v>
      </c>
      <c r="N1376" s="2" t="s">
        <v>409</v>
      </c>
      <c r="O1376" s="2" t="s">
        <v>96</v>
      </c>
      <c r="P1376" s="2" t="str">
        <f>"2170529056                    "</f>
        <v xml:space="preserve">2170529056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3.32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40.76</v>
      </c>
      <c r="BM1376" s="2">
        <v>5.71</v>
      </c>
      <c r="BN1376" s="2">
        <v>46.47</v>
      </c>
      <c r="BO1376" s="2">
        <v>46.47</v>
      </c>
      <c r="BP1376" s="2"/>
      <c r="BQ1376" s="2" t="s">
        <v>410</v>
      </c>
      <c r="BR1376" s="2" t="s">
        <v>83</v>
      </c>
      <c r="BS1376" s="3">
        <v>42662</v>
      </c>
      <c r="BT1376" s="4">
        <v>0.41666666666666669</v>
      </c>
      <c r="BU1376" s="2" t="s">
        <v>1370</v>
      </c>
      <c r="BV1376" s="2" t="s">
        <v>88</v>
      </c>
      <c r="BW1376" s="2" t="s">
        <v>277</v>
      </c>
      <c r="BX1376" s="2" t="s">
        <v>223</v>
      </c>
      <c r="BY1376" s="2">
        <v>1200</v>
      </c>
      <c r="BZ1376" s="2" t="s">
        <v>27</v>
      </c>
      <c r="CA1376" s="2"/>
      <c r="CB1376" s="2"/>
      <c r="CC1376" s="2" t="s">
        <v>161</v>
      </c>
      <c r="CD1376" s="2">
        <v>7975</v>
      </c>
      <c r="CE1376" s="2" t="s">
        <v>108</v>
      </c>
      <c r="CF1376" s="5">
        <v>42663</v>
      </c>
      <c r="CG1376" s="2"/>
      <c r="CH1376" s="2"/>
      <c r="CI1376" s="2">
        <v>1</v>
      </c>
      <c r="CJ1376" s="2">
        <v>2</v>
      </c>
      <c r="CK1376" s="2">
        <v>21</v>
      </c>
      <c r="CL1376" s="2" t="s">
        <v>88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"FES1162507041"</f>
        <v>FES1162507041</v>
      </c>
      <c r="F1377" s="3">
        <v>42660</v>
      </c>
      <c r="G1377" s="2">
        <v>201704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160</v>
      </c>
      <c r="M1377" s="2" t="s">
        <v>161</v>
      </c>
      <c r="N1377" s="2" t="s">
        <v>279</v>
      </c>
      <c r="O1377" s="2" t="s">
        <v>96</v>
      </c>
      <c r="P1377" s="2" t="str">
        <f>"2170530548                    "</f>
        <v xml:space="preserve">2170530548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3.32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1</v>
      </c>
      <c r="BJ1377" s="2">
        <v>0.2</v>
      </c>
      <c r="BK1377" s="2">
        <v>1</v>
      </c>
      <c r="BL1377" s="2">
        <v>40.76</v>
      </c>
      <c r="BM1377" s="2">
        <v>5.71</v>
      </c>
      <c r="BN1377" s="2">
        <v>46.47</v>
      </c>
      <c r="BO1377" s="2">
        <v>46.47</v>
      </c>
      <c r="BP1377" s="2"/>
      <c r="BQ1377" s="2" t="s">
        <v>280</v>
      </c>
      <c r="BR1377" s="2" t="s">
        <v>83</v>
      </c>
      <c r="BS1377" s="3">
        <v>42661</v>
      </c>
      <c r="BT1377" s="4">
        <v>0.41666666666666669</v>
      </c>
      <c r="BU1377" s="2" t="s">
        <v>281</v>
      </c>
      <c r="BV1377" s="2" t="s">
        <v>85</v>
      </c>
      <c r="BW1377" s="2"/>
      <c r="BX1377" s="2"/>
      <c r="BY1377" s="2">
        <v>1200</v>
      </c>
      <c r="BZ1377" s="2" t="s">
        <v>27</v>
      </c>
      <c r="CA1377" s="2"/>
      <c r="CB1377" s="2"/>
      <c r="CC1377" s="2" t="s">
        <v>161</v>
      </c>
      <c r="CD1377" s="2">
        <v>7441</v>
      </c>
      <c r="CE1377" s="2" t="s">
        <v>108</v>
      </c>
      <c r="CF1377" s="5">
        <v>42662</v>
      </c>
      <c r="CG1377" s="2"/>
      <c r="CH1377" s="2"/>
      <c r="CI1377" s="2">
        <v>1</v>
      </c>
      <c r="CJ1377" s="2">
        <v>1</v>
      </c>
      <c r="CK1377" s="2">
        <v>21</v>
      </c>
      <c r="CL1377" s="2" t="s">
        <v>88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"FES1162506941"</f>
        <v>FES1162506941</v>
      </c>
      <c r="F1378" s="3">
        <v>42660</v>
      </c>
      <c r="G1378" s="2">
        <v>201704</v>
      </c>
      <c r="H1378" s="2" t="s">
        <v>74</v>
      </c>
      <c r="I1378" s="2" t="s">
        <v>75</v>
      </c>
      <c r="J1378" s="2" t="s">
        <v>76</v>
      </c>
      <c r="K1378" s="2" t="s">
        <v>77</v>
      </c>
      <c r="L1378" s="2" t="s">
        <v>78</v>
      </c>
      <c r="M1378" s="2" t="s">
        <v>79</v>
      </c>
      <c r="N1378" s="2" t="s">
        <v>1180</v>
      </c>
      <c r="O1378" s="2" t="s">
        <v>96</v>
      </c>
      <c r="P1378" s="2" t="str">
        <f>"2170526431                    "</f>
        <v xml:space="preserve">2170526431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3.32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1.6</v>
      </c>
      <c r="BJ1378" s="2">
        <v>0.2</v>
      </c>
      <c r="BK1378" s="2">
        <v>2</v>
      </c>
      <c r="BL1378" s="2">
        <v>40.76</v>
      </c>
      <c r="BM1378" s="2">
        <v>5.71</v>
      </c>
      <c r="BN1378" s="2">
        <v>46.47</v>
      </c>
      <c r="BO1378" s="2">
        <v>46.47</v>
      </c>
      <c r="BP1378" s="2"/>
      <c r="BQ1378" s="2" t="s">
        <v>1181</v>
      </c>
      <c r="BR1378" s="2" t="s">
        <v>83</v>
      </c>
      <c r="BS1378" s="3">
        <v>42661</v>
      </c>
      <c r="BT1378" s="4">
        <v>0.41666666666666669</v>
      </c>
      <c r="BU1378" s="2" t="s">
        <v>84</v>
      </c>
      <c r="BV1378" s="2" t="s">
        <v>85</v>
      </c>
      <c r="BW1378" s="2"/>
      <c r="BX1378" s="2"/>
      <c r="BY1378" s="2">
        <v>1200</v>
      </c>
      <c r="BZ1378" s="2" t="s">
        <v>27</v>
      </c>
      <c r="CA1378" s="2"/>
      <c r="CB1378" s="2"/>
      <c r="CC1378" s="2" t="s">
        <v>79</v>
      </c>
      <c r="CD1378" s="2">
        <v>1871</v>
      </c>
      <c r="CE1378" s="2" t="s">
        <v>108</v>
      </c>
      <c r="CF1378" s="5">
        <v>42663</v>
      </c>
      <c r="CG1378" s="2"/>
      <c r="CH1378" s="2"/>
      <c r="CI1378" s="2">
        <v>1</v>
      </c>
      <c r="CJ1378" s="2">
        <v>1</v>
      </c>
      <c r="CK1378" s="2">
        <v>21</v>
      </c>
      <c r="CL1378" s="2" t="s">
        <v>88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"FES1162507040"</f>
        <v>FES1162507040</v>
      </c>
      <c r="F1379" s="3">
        <v>42660</v>
      </c>
      <c r="G1379" s="2">
        <v>201704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93</v>
      </c>
      <c r="M1379" s="2" t="s">
        <v>94</v>
      </c>
      <c r="N1379" s="2" t="s">
        <v>130</v>
      </c>
      <c r="O1379" s="2" t="s">
        <v>96</v>
      </c>
      <c r="P1379" s="2" t="str">
        <f>"2170530545                    "</f>
        <v xml:space="preserve">2170530545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3.32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1</v>
      </c>
      <c r="BJ1379" s="2">
        <v>0.2</v>
      </c>
      <c r="BK1379" s="2">
        <v>1</v>
      </c>
      <c r="BL1379" s="2">
        <v>40.76</v>
      </c>
      <c r="BM1379" s="2">
        <v>5.71</v>
      </c>
      <c r="BN1379" s="2">
        <v>46.47</v>
      </c>
      <c r="BO1379" s="2">
        <v>46.47</v>
      </c>
      <c r="BP1379" s="2"/>
      <c r="BQ1379" s="2" t="s">
        <v>131</v>
      </c>
      <c r="BR1379" s="2" t="s">
        <v>83</v>
      </c>
      <c r="BS1379" s="3">
        <v>42661</v>
      </c>
      <c r="BT1379" s="4">
        <v>0.4375</v>
      </c>
      <c r="BU1379" s="2" t="s">
        <v>1667</v>
      </c>
      <c r="BV1379" s="2" t="s">
        <v>85</v>
      </c>
      <c r="BW1379" s="2"/>
      <c r="BX1379" s="2"/>
      <c r="BY1379" s="2">
        <v>1200</v>
      </c>
      <c r="BZ1379" s="2" t="s">
        <v>27</v>
      </c>
      <c r="CA1379" s="2" t="s">
        <v>129</v>
      </c>
      <c r="CB1379" s="2"/>
      <c r="CC1379" s="2" t="s">
        <v>94</v>
      </c>
      <c r="CD1379" s="2">
        <v>4302</v>
      </c>
      <c r="CE1379" s="2" t="s">
        <v>108</v>
      </c>
      <c r="CF1379" s="5">
        <v>42662</v>
      </c>
      <c r="CG1379" s="2"/>
      <c r="CH1379" s="2"/>
      <c r="CI1379" s="2">
        <v>1</v>
      </c>
      <c r="CJ1379" s="2">
        <v>1</v>
      </c>
      <c r="CK1379" s="2">
        <v>21</v>
      </c>
      <c r="CL1379" s="2" t="s">
        <v>88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"FES1162507022"</f>
        <v>FES1162507022</v>
      </c>
      <c r="F1380" s="3">
        <v>42660</v>
      </c>
      <c r="G1380" s="2">
        <v>201704</v>
      </c>
      <c r="H1380" s="2" t="s">
        <v>74</v>
      </c>
      <c r="I1380" s="2" t="s">
        <v>75</v>
      </c>
      <c r="J1380" s="2" t="s">
        <v>76</v>
      </c>
      <c r="K1380" s="2" t="s">
        <v>77</v>
      </c>
      <c r="L1380" s="2" t="s">
        <v>636</v>
      </c>
      <c r="M1380" s="2" t="s">
        <v>1664</v>
      </c>
      <c r="N1380" s="2" t="s">
        <v>1698</v>
      </c>
      <c r="O1380" s="2" t="s">
        <v>96</v>
      </c>
      <c r="P1380" s="2" t="str">
        <f>"2170529742                    "</f>
        <v xml:space="preserve">2170529742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2.59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</v>
      </c>
      <c r="BJ1380" s="2">
        <v>0.2</v>
      </c>
      <c r="BK1380" s="2">
        <v>1</v>
      </c>
      <c r="BL1380" s="2">
        <v>31.84</v>
      </c>
      <c r="BM1380" s="2">
        <v>4.46</v>
      </c>
      <c r="BN1380" s="2">
        <v>36.299999999999997</v>
      </c>
      <c r="BO1380" s="2">
        <v>36.299999999999997</v>
      </c>
      <c r="BP1380" s="2"/>
      <c r="BQ1380" s="2" t="s">
        <v>168</v>
      </c>
      <c r="BR1380" s="2" t="s">
        <v>83</v>
      </c>
      <c r="BS1380" s="3">
        <v>42661</v>
      </c>
      <c r="BT1380" s="4">
        <v>0.54166666666666663</v>
      </c>
      <c r="BU1380" s="2" t="s">
        <v>1699</v>
      </c>
      <c r="BV1380" s="2" t="s">
        <v>85</v>
      </c>
      <c r="BW1380" s="2"/>
      <c r="BX1380" s="2"/>
      <c r="BY1380" s="2">
        <v>1200</v>
      </c>
      <c r="BZ1380" s="2" t="s">
        <v>27</v>
      </c>
      <c r="CA1380" s="2" t="s">
        <v>129</v>
      </c>
      <c r="CB1380" s="2"/>
      <c r="CC1380" s="2" t="s">
        <v>1664</v>
      </c>
      <c r="CD1380" s="2">
        <v>1820</v>
      </c>
      <c r="CE1380" s="2" t="s">
        <v>108</v>
      </c>
      <c r="CF1380" s="5">
        <v>42663</v>
      </c>
      <c r="CG1380" s="2"/>
      <c r="CH1380" s="2"/>
      <c r="CI1380" s="2">
        <v>1</v>
      </c>
      <c r="CJ1380" s="2">
        <v>1</v>
      </c>
      <c r="CK1380" s="2">
        <v>22</v>
      </c>
      <c r="CL1380" s="2" t="s">
        <v>88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"FES1162507081"</f>
        <v>FES1162507081</v>
      </c>
      <c r="F1381" s="3">
        <v>42660</v>
      </c>
      <c r="G1381" s="2">
        <v>201704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160</v>
      </c>
      <c r="M1381" s="2" t="s">
        <v>161</v>
      </c>
      <c r="N1381" s="2" t="s">
        <v>643</v>
      </c>
      <c r="O1381" s="2" t="s">
        <v>96</v>
      </c>
      <c r="P1381" s="2" t="str">
        <f>"2170528176                    "</f>
        <v xml:space="preserve">2170528176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28.2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17</v>
      </c>
      <c r="BJ1381" s="2">
        <v>11.5</v>
      </c>
      <c r="BK1381" s="2">
        <v>17</v>
      </c>
      <c r="BL1381" s="2">
        <v>346.44</v>
      </c>
      <c r="BM1381" s="2">
        <v>48.5</v>
      </c>
      <c r="BN1381" s="2">
        <v>394.94</v>
      </c>
      <c r="BO1381" s="2">
        <v>394.94</v>
      </c>
      <c r="BP1381" s="2"/>
      <c r="BQ1381" s="2" t="s">
        <v>644</v>
      </c>
      <c r="BR1381" s="2" t="s">
        <v>83</v>
      </c>
      <c r="BS1381" s="3">
        <v>42661</v>
      </c>
      <c r="BT1381" s="4">
        <v>0.41666666666666669</v>
      </c>
      <c r="BU1381" s="2" t="s">
        <v>1700</v>
      </c>
      <c r="BV1381" s="2" t="s">
        <v>85</v>
      </c>
      <c r="BW1381" s="2"/>
      <c r="BX1381" s="2"/>
      <c r="BY1381" s="2">
        <v>57570</v>
      </c>
      <c r="BZ1381" s="2" t="s">
        <v>27</v>
      </c>
      <c r="CA1381" s="2"/>
      <c r="CB1381" s="2"/>
      <c r="CC1381" s="2" t="s">
        <v>161</v>
      </c>
      <c r="CD1381" s="2">
        <v>7925</v>
      </c>
      <c r="CE1381" s="2" t="s">
        <v>86</v>
      </c>
      <c r="CF1381" s="5">
        <v>42662</v>
      </c>
      <c r="CG1381" s="2"/>
      <c r="CH1381" s="2"/>
      <c r="CI1381" s="2">
        <v>1</v>
      </c>
      <c r="CJ1381" s="2">
        <v>1</v>
      </c>
      <c r="CK1381" s="2">
        <v>21</v>
      </c>
      <c r="CL1381" s="2" t="s">
        <v>88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"FES1162507221"</f>
        <v>FES1162507221</v>
      </c>
      <c r="F1382" s="3">
        <v>42660</v>
      </c>
      <c r="G1382" s="2">
        <v>201704</v>
      </c>
      <c r="H1382" s="2" t="s">
        <v>74</v>
      </c>
      <c r="I1382" s="2" t="s">
        <v>75</v>
      </c>
      <c r="J1382" s="2" t="s">
        <v>76</v>
      </c>
      <c r="K1382" s="2" t="s">
        <v>77</v>
      </c>
      <c r="L1382" s="2" t="s">
        <v>143</v>
      </c>
      <c r="M1382" s="2" t="s">
        <v>144</v>
      </c>
      <c r="N1382" s="2" t="s">
        <v>475</v>
      </c>
      <c r="O1382" s="2" t="s">
        <v>96</v>
      </c>
      <c r="P1382" s="2" t="str">
        <f>"2170530469                    "</f>
        <v xml:space="preserve">2170530469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3.32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1</v>
      </c>
      <c r="BJ1382" s="2">
        <v>0.2</v>
      </c>
      <c r="BK1382" s="2">
        <v>1</v>
      </c>
      <c r="BL1382" s="2">
        <v>40.76</v>
      </c>
      <c r="BM1382" s="2">
        <v>5.71</v>
      </c>
      <c r="BN1382" s="2">
        <v>46.47</v>
      </c>
      <c r="BO1382" s="2">
        <v>46.47</v>
      </c>
      <c r="BP1382" s="2"/>
      <c r="BQ1382" s="2" t="s">
        <v>476</v>
      </c>
      <c r="BR1382" s="2" t="s">
        <v>83</v>
      </c>
      <c r="BS1382" s="3">
        <v>42661</v>
      </c>
      <c r="BT1382" s="4">
        <v>0.60416666666666663</v>
      </c>
      <c r="BU1382" s="2" t="s">
        <v>477</v>
      </c>
      <c r="BV1382" s="2" t="s">
        <v>88</v>
      </c>
      <c r="BW1382" s="2" t="s">
        <v>277</v>
      </c>
      <c r="BX1382" s="2" t="s">
        <v>1701</v>
      </c>
      <c r="BY1382" s="2">
        <v>1200</v>
      </c>
      <c r="BZ1382" s="2" t="s">
        <v>27</v>
      </c>
      <c r="CA1382" s="2"/>
      <c r="CB1382" s="2"/>
      <c r="CC1382" s="2" t="s">
        <v>144</v>
      </c>
      <c r="CD1382" s="2">
        <v>5201</v>
      </c>
      <c r="CE1382" s="2" t="s">
        <v>108</v>
      </c>
      <c r="CF1382" s="5">
        <v>42663</v>
      </c>
      <c r="CG1382" s="2"/>
      <c r="CH1382" s="2"/>
      <c r="CI1382" s="2">
        <v>1</v>
      </c>
      <c r="CJ1382" s="2">
        <v>1</v>
      </c>
      <c r="CK1382" s="2">
        <v>21</v>
      </c>
      <c r="CL1382" s="2" t="s">
        <v>88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"FES1162507225"</f>
        <v>FES1162507225</v>
      </c>
      <c r="F1383" s="3">
        <v>42660</v>
      </c>
      <c r="G1383" s="2">
        <v>201704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98</v>
      </c>
      <c r="M1383" s="2" t="s">
        <v>99</v>
      </c>
      <c r="N1383" s="2" t="s">
        <v>1098</v>
      </c>
      <c r="O1383" s="2" t="s">
        <v>96</v>
      </c>
      <c r="P1383" s="2" t="str">
        <f>"2170530735                    "</f>
        <v xml:space="preserve">2170530735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3.32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</v>
      </c>
      <c r="BJ1383" s="2">
        <v>0.2</v>
      </c>
      <c r="BK1383" s="2">
        <v>1</v>
      </c>
      <c r="BL1383" s="2">
        <v>40.76</v>
      </c>
      <c r="BM1383" s="2">
        <v>5.71</v>
      </c>
      <c r="BN1383" s="2">
        <v>46.47</v>
      </c>
      <c r="BO1383" s="2">
        <v>46.47</v>
      </c>
      <c r="BP1383" s="2"/>
      <c r="BQ1383" s="2" t="s">
        <v>1099</v>
      </c>
      <c r="BR1383" s="2" t="s">
        <v>83</v>
      </c>
      <c r="BS1383" s="3">
        <v>42661</v>
      </c>
      <c r="BT1383" s="4">
        <v>0.47916666666666669</v>
      </c>
      <c r="BU1383" s="2" t="s">
        <v>602</v>
      </c>
      <c r="BV1383" s="2" t="s">
        <v>88</v>
      </c>
      <c r="BW1383" s="2" t="s">
        <v>277</v>
      </c>
      <c r="BX1383" s="2" t="s">
        <v>1683</v>
      </c>
      <c r="BY1383" s="2">
        <v>1200</v>
      </c>
      <c r="BZ1383" s="2" t="s">
        <v>27</v>
      </c>
      <c r="CA1383" s="2"/>
      <c r="CB1383" s="2"/>
      <c r="CC1383" s="2" t="s">
        <v>99</v>
      </c>
      <c r="CD1383" s="2">
        <v>6012</v>
      </c>
      <c r="CE1383" s="2" t="s">
        <v>108</v>
      </c>
      <c r="CF1383" s="5">
        <v>42662</v>
      </c>
      <c r="CG1383" s="2"/>
      <c r="CH1383" s="2"/>
      <c r="CI1383" s="2">
        <v>1</v>
      </c>
      <c r="CJ1383" s="2">
        <v>1</v>
      </c>
      <c r="CK1383" s="2">
        <v>21</v>
      </c>
      <c r="CL1383" s="2" t="s">
        <v>88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"FES1162507142"</f>
        <v>FES1162507142</v>
      </c>
      <c r="F1384" s="3">
        <v>42660</v>
      </c>
      <c r="G1384" s="2">
        <v>201704</v>
      </c>
      <c r="H1384" s="2" t="s">
        <v>74</v>
      </c>
      <c r="I1384" s="2" t="s">
        <v>75</v>
      </c>
      <c r="J1384" s="2" t="s">
        <v>76</v>
      </c>
      <c r="K1384" s="2" t="s">
        <v>77</v>
      </c>
      <c r="L1384" s="2" t="s">
        <v>269</v>
      </c>
      <c r="M1384" s="2" t="s">
        <v>270</v>
      </c>
      <c r="N1384" s="2" t="s">
        <v>804</v>
      </c>
      <c r="O1384" s="2" t="s">
        <v>96</v>
      </c>
      <c r="P1384" s="2" t="str">
        <f>"2170528254                    "</f>
        <v xml:space="preserve">2170528254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3.32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</v>
      </c>
      <c r="BJ1384" s="2">
        <v>0.2</v>
      </c>
      <c r="BK1384" s="2">
        <v>1</v>
      </c>
      <c r="BL1384" s="2">
        <v>40.76</v>
      </c>
      <c r="BM1384" s="2">
        <v>5.71</v>
      </c>
      <c r="BN1384" s="2">
        <v>46.47</v>
      </c>
      <c r="BO1384" s="2">
        <v>46.47</v>
      </c>
      <c r="BP1384" s="2"/>
      <c r="BQ1384" s="2" t="s">
        <v>805</v>
      </c>
      <c r="BR1384" s="2" t="s">
        <v>83</v>
      </c>
      <c r="BS1384" s="3">
        <v>42661</v>
      </c>
      <c r="BT1384" s="4">
        <v>0.30555555555555552</v>
      </c>
      <c r="BU1384" s="2" t="s">
        <v>1702</v>
      </c>
      <c r="BV1384" s="2" t="s">
        <v>85</v>
      </c>
      <c r="BW1384" s="2"/>
      <c r="BX1384" s="2"/>
      <c r="BY1384" s="2">
        <v>1200</v>
      </c>
      <c r="BZ1384" s="2" t="s">
        <v>27</v>
      </c>
      <c r="CA1384" s="2"/>
      <c r="CB1384" s="2"/>
      <c r="CC1384" s="2" t="s">
        <v>270</v>
      </c>
      <c r="CD1384" s="2">
        <v>3610</v>
      </c>
      <c r="CE1384" s="2" t="s">
        <v>108</v>
      </c>
      <c r="CF1384" s="5">
        <v>42662</v>
      </c>
      <c r="CG1384" s="2"/>
      <c r="CH1384" s="2"/>
      <c r="CI1384" s="2">
        <v>1</v>
      </c>
      <c r="CJ1384" s="2">
        <v>1</v>
      </c>
      <c r="CK1384" s="2">
        <v>21</v>
      </c>
      <c r="CL1384" s="2" t="s">
        <v>88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"FES1162507031"</f>
        <v>FES1162507031</v>
      </c>
      <c r="F1385" s="3">
        <v>42660</v>
      </c>
      <c r="G1385" s="2">
        <v>201704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93</v>
      </c>
      <c r="M1385" s="2" t="s">
        <v>94</v>
      </c>
      <c r="N1385" s="2" t="s">
        <v>536</v>
      </c>
      <c r="O1385" s="2" t="s">
        <v>96</v>
      </c>
      <c r="P1385" s="2" t="str">
        <f>"2170530534                    "</f>
        <v xml:space="preserve">2170530534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3.32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40.76</v>
      </c>
      <c r="BM1385" s="2">
        <v>5.71</v>
      </c>
      <c r="BN1385" s="2">
        <v>46.47</v>
      </c>
      <c r="BO1385" s="2">
        <v>46.47</v>
      </c>
      <c r="BP1385" s="2"/>
      <c r="BQ1385" s="2" t="s">
        <v>537</v>
      </c>
      <c r="BR1385" s="2" t="s">
        <v>83</v>
      </c>
      <c r="BS1385" s="3">
        <v>42661</v>
      </c>
      <c r="BT1385" s="4">
        <v>0.4375</v>
      </c>
      <c r="BU1385" s="2" t="s">
        <v>599</v>
      </c>
      <c r="BV1385" s="2" t="s">
        <v>85</v>
      </c>
      <c r="BW1385" s="2"/>
      <c r="BX1385" s="2"/>
      <c r="BY1385" s="2">
        <v>1200</v>
      </c>
      <c r="BZ1385" s="2" t="s">
        <v>27</v>
      </c>
      <c r="CA1385" s="2"/>
      <c r="CB1385" s="2"/>
      <c r="CC1385" s="2" t="s">
        <v>94</v>
      </c>
      <c r="CD1385" s="2">
        <v>4300</v>
      </c>
      <c r="CE1385" s="2" t="s">
        <v>108</v>
      </c>
      <c r="CF1385" s="5">
        <v>42662</v>
      </c>
      <c r="CG1385" s="2"/>
      <c r="CH1385" s="2"/>
      <c r="CI1385" s="2">
        <v>1</v>
      </c>
      <c r="CJ1385" s="2">
        <v>1</v>
      </c>
      <c r="CK1385" s="2">
        <v>21</v>
      </c>
      <c r="CL1385" s="2" t="s">
        <v>88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"FES1162506936"</f>
        <v>FES1162506936</v>
      </c>
      <c r="F1386" s="3">
        <v>42660</v>
      </c>
      <c r="G1386" s="2">
        <v>201704</v>
      </c>
      <c r="H1386" s="2" t="s">
        <v>74</v>
      </c>
      <c r="I1386" s="2" t="s">
        <v>75</v>
      </c>
      <c r="J1386" s="2" t="s">
        <v>76</v>
      </c>
      <c r="K1386" s="2" t="s">
        <v>77</v>
      </c>
      <c r="L1386" s="2" t="s">
        <v>119</v>
      </c>
      <c r="M1386" s="2" t="s">
        <v>120</v>
      </c>
      <c r="N1386" s="2" t="s">
        <v>1703</v>
      </c>
      <c r="O1386" s="2" t="s">
        <v>96</v>
      </c>
      <c r="P1386" s="2" t="str">
        <f>"2170530499                    "</f>
        <v xml:space="preserve">2170530499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3.32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1</v>
      </c>
      <c r="BJ1386" s="2">
        <v>0.2</v>
      </c>
      <c r="BK1386" s="2">
        <v>1</v>
      </c>
      <c r="BL1386" s="2">
        <v>40.76</v>
      </c>
      <c r="BM1386" s="2">
        <v>5.71</v>
      </c>
      <c r="BN1386" s="2">
        <v>46.47</v>
      </c>
      <c r="BO1386" s="2">
        <v>46.47</v>
      </c>
      <c r="BP1386" s="2"/>
      <c r="BQ1386" s="2" t="s">
        <v>1704</v>
      </c>
      <c r="BR1386" s="2" t="s">
        <v>83</v>
      </c>
      <c r="BS1386" s="3">
        <v>42661</v>
      </c>
      <c r="BT1386" s="4">
        <v>0.63263888888888886</v>
      </c>
      <c r="BU1386" s="2" t="s">
        <v>431</v>
      </c>
      <c r="BV1386" s="2" t="s">
        <v>88</v>
      </c>
      <c r="BW1386" s="2" t="s">
        <v>277</v>
      </c>
      <c r="BX1386" s="2" t="s">
        <v>1683</v>
      </c>
      <c r="BY1386" s="2">
        <v>1200</v>
      </c>
      <c r="BZ1386" s="2" t="s">
        <v>27</v>
      </c>
      <c r="CA1386" s="2"/>
      <c r="CB1386" s="2"/>
      <c r="CC1386" s="2" t="s">
        <v>120</v>
      </c>
      <c r="CD1386" s="2">
        <v>6230</v>
      </c>
      <c r="CE1386" s="2" t="s">
        <v>108</v>
      </c>
      <c r="CF1386" s="5">
        <v>42662</v>
      </c>
      <c r="CG1386" s="2"/>
      <c r="CH1386" s="2"/>
      <c r="CI1386" s="2">
        <v>1</v>
      </c>
      <c r="CJ1386" s="2">
        <v>1</v>
      </c>
      <c r="CK1386" s="2">
        <v>21</v>
      </c>
      <c r="CL1386" s="2" t="s">
        <v>88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"FES1162507100"</f>
        <v>FES1162507100</v>
      </c>
      <c r="F1387" s="3">
        <v>42660</v>
      </c>
      <c r="G1387" s="2">
        <v>201704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269</v>
      </c>
      <c r="M1387" s="2" t="s">
        <v>270</v>
      </c>
      <c r="N1387" s="2" t="s">
        <v>299</v>
      </c>
      <c r="O1387" s="2" t="s">
        <v>96</v>
      </c>
      <c r="P1387" s="2" t="str">
        <f>"2170530609                    "</f>
        <v xml:space="preserve">2170530609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3.32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1</v>
      </c>
      <c r="BJ1387" s="2">
        <v>0.2</v>
      </c>
      <c r="BK1387" s="2">
        <v>1</v>
      </c>
      <c r="BL1387" s="2">
        <v>40.76</v>
      </c>
      <c r="BM1387" s="2">
        <v>5.71</v>
      </c>
      <c r="BN1387" s="2">
        <v>46.47</v>
      </c>
      <c r="BO1387" s="2">
        <v>46.47</v>
      </c>
      <c r="BP1387" s="2"/>
      <c r="BQ1387" s="2" t="s">
        <v>300</v>
      </c>
      <c r="BR1387" s="2" t="s">
        <v>83</v>
      </c>
      <c r="BS1387" s="3">
        <v>42661</v>
      </c>
      <c r="BT1387" s="4">
        <v>0.4375</v>
      </c>
      <c r="BU1387" s="2" t="s">
        <v>238</v>
      </c>
      <c r="BV1387" s="2" t="s">
        <v>85</v>
      </c>
      <c r="BW1387" s="2"/>
      <c r="BX1387" s="2"/>
      <c r="BY1387" s="2">
        <v>1200</v>
      </c>
      <c r="BZ1387" s="2" t="s">
        <v>27</v>
      </c>
      <c r="CA1387" s="2"/>
      <c r="CB1387" s="2"/>
      <c r="CC1387" s="2" t="s">
        <v>270</v>
      </c>
      <c r="CD1387" s="2">
        <v>3610</v>
      </c>
      <c r="CE1387" s="2" t="s">
        <v>108</v>
      </c>
      <c r="CF1387" s="5">
        <v>42662</v>
      </c>
      <c r="CG1387" s="2"/>
      <c r="CH1387" s="2"/>
      <c r="CI1387" s="2">
        <v>1</v>
      </c>
      <c r="CJ1387" s="2">
        <v>1</v>
      </c>
      <c r="CK1387" s="2">
        <v>21</v>
      </c>
      <c r="CL1387" s="2" t="s">
        <v>88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"FES1162507162"</f>
        <v>FES1162507162</v>
      </c>
      <c r="F1388" s="3">
        <v>42660</v>
      </c>
      <c r="G1388" s="2">
        <v>201704</v>
      </c>
      <c r="H1388" s="2" t="s">
        <v>74</v>
      </c>
      <c r="I1388" s="2" t="s">
        <v>75</v>
      </c>
      <c r="J1388" s="2" t="s">
        <v>76</v>
      </c>
      <c r="K1388" s="2" t="s">
        <v>77</v>
      </c>
      <c r="L1388" s="2" t="s">
        <v>137</v>
      </c>
      <c r="M1388" s="2" t="s">
        <v>138</v>
      </c>
      <c r="N1388" s="2" t="s">
        <v>420</v>
      </c>
      <c r="O1388" s="2" t="s">
        <v>96</v>
      </c>
      <c r="P1388" s="2" t="str">
        <f>"2170530523                    "</f>
        <v xml:space="preserve">2170530523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3.32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1</v>
      </c>
      <c r="BJ1388" s="2">
        <v>0.2</v>
      </c>
      <c r="BK1388" s="2">
        <v>1</v>
      </c>
      <c r="BL1388" s="2">
        <v>40.76</v>
      </c>
      <c r="BM1388" s="2">
        <v>5.71</v>
      </c>
      <c r="BN1388" s="2">
        <v>46.47</v>
      </c>
      <c r="BO1388" s="2">
        <v>46.47</v>
      </c>
      <c r="BP1388" s="2"/>
      <c r="BQ1388" s="2" t="s">
        <v>117</v>
      </c>
      <c r="BR1388" s="2" t="s">
        <v>83</v>
      </c>
      <c r="BS1388" s="3">
        <v>42661</v>
      </c>
      <c r="BT1388" s="4">
        <v>0.3666666666666667</v>
      </c>
      <c r="BU1388" s="2" t="s">
        <v>1668</v>
      </c>
      <c r="BV1388" s="2" t="s">
        <v>85</v>
      </c>
      <c r="BW1388" s="2"/>
      <c r="BX1388" s="2"/>
      <c r="BY1388" s="2">
        <v>1200</v>
      </c>
      <c r="BZ1388" s="2" t="s">
        <v>27</v>
      </c>
      <c r="CA1388" s="2" t="s">
        <v>613</v>
      </c>
      <c r="CB1388" s="2"/>
      <c r="CC1388" s="2" t="s">
        <v>138</v>
      </c>
      <c r="CD1388" s="2">
        <v>3201</v>
      </c>
      <c r="CE1388" s="2" t="s">
        <v>108</v>
      </c>
      <c r="CF1388" s="5">
        <v>42662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88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"FES1162507209"</f>
        <v>FES1162507209</v>
      </c>
      <c r="F1389" s="3">
        <v>42660</v>
      </c>
      <c r="G1389" s="2">
        <v>201704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98</v>
      </c>
      <c r="M1389" s="2" t="s">
        <v>99</v>
      </c>
      <c r="N1389" s="2" t="s">
        <v>104</v>
      </c>
      <c r="O1389" s="2" t="s">
        <v>96</v>
      </c>
      <c r="P1389" s="2" t="str">
        <f>"2170530716                    "</f>
        <v xml:space="preserve">2170530716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3.32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1</v>
      </c>
      <c r="BJ1389" s="2">
        <v>0.2</v>
      </c>
      <c r="BK1389" s="2">
        <v>1</v>
      </c>
      <c r="BL1389" s="2">
        <v>40.76</v>
      </c>
      <c r="BM1389" s="2">
        <v>5.71</v>
      </c>
      <c r="BN1389" s="2">
        <v>46.47</v>
      </c>
      <c r="BO1389" s="2">
        <v>46.47</v>
      </c>
      <c r="BP1389" s="2"/>
      <c r="BQ1389" s="2" t="s">
        <v>105</v>
      </c>
      <c r="BR1389" s="2" t="s">
        <v>83</v>
      </c>
      <c r="BS1389" s="3">
        <v>42661</v>
      </c>
      <c r="BT1389" s="4">
        <v>0.5</v>
      </c>
      <c r="BU1389" s="2" t="s">
        <v>105</v>
      </c>
      <c r="BV1389" s="2" t="s">
        <v>88</v>
      </c>
      <c r="BW1389" s="2" t="s">
        <v>277</v>
      </c>
      <c r="BX1389" s="2" t="s">
        <v>1683</v>
      </c>
      <c r="BY1389" s="2">
        <v>1200</v>
      </c>
      <c r="BZ1389" s="2" t="s">
        <v>27</v>
      </c>
      <c r="CA1389" s="2"/>
      <c r="CB1389" s="2"/>
      <c r="CC1389" s="2" t="s">
        <v>99</v>
      </c>
      <c r="CD1389" s="2">
        <v>6001</v>
      </c>
      <c r="CE1389" s="2" t="s">
        <v>108</v>
      </c>
      <c r="CF1389" s="5">
        <v>42662</v>
      </c>
      <c r="CG1389" s="2"/>
      <c r="CH1389" s="2"/>
      <c r="CI1389" s="2">
        <v>1</v>
      </c>
      <c r="CJ1389" s="2">
        <v>1</v>
      </c>
      <c r="CK1389" s="2">
        <v>21</v>
      </c>
      <c r="CL1389" s="2" t="s">
        <v>88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"FES1162506967"</f>
        <v>FES1162506967</v>
      </c>
      <c r="F1390" s="3">
        <v>42660</v>
      </c>
      <c r="G1390" s="2">
        <v>201704</v>
      </c>
      <c r="H1390" s="2" t="s">
        <v>74</v>
      </c>
      <c r="I1390" s="2" t="s">
        <v>75</v>
      </c>
      <c r="J1390" s="2" t="s">
        <v>76</v>
      </c>
      <c r="K1390" s="2" t="s">
        <v>77</v>
      </c>
      <c r="L1390" s="2" t="s">
        <v>207</v>
      </c>
      <c r="M1390" s="2" t="s">
        <v>208</v>
      </c>
      <c r="N1390" s="2" t="s">
        <v>651</v>
      </c>
      <c r="O1390" s="2" t="s">
        <v>96</v>
      </c>
      <c r="P1390" s="2" t="str">
        <f>"2170529028                    "</f>
        <v xml:space="preserve">2170529028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3.32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1</v>
      </c>
      <c r="BJ1390" s="2">
        <v>0.2</v>
      </c>
      <c r="BK1390" s="2">
        <v>1</v>
      </c>
      <c r="BL1390" s="2">
        <v>40.76</v>
      </c>
      <c r="BM1390" s="2">
        <v>5.71</v>
      </c>
      <c r="BN1390" s="2">
        <v>46.47</v>
      </c>
      <c r="BO1390" s="2">
        <v>46.47</v>
      </c>
      <c r="BP1390" s="2"/>
      <c r="BQ1390" s="2" t="s">
        <v>652</v>
      </c>
      <c r="BR1390" s="2" t="s">
        <v>83</v>
      </c>
      <c r="BS1390" s="3">
        <v>42661</v>
      </c>
      <c r="BT1390" s="4">
        <v>0.4375</v>
      </c>
      <c r="BU1390" s="2" t="s">
        <v>576</v>
      </c>
      <c r="BV1390" s="2" t="s">
        <v>85</v>
      </c>
      <c r="BW1390" s="2"/>
      <c r="BX1390" s="2"/>
      <c r="BY1390" s="2">
        <v>1200</v>
      </c>
      <c r="BZ1390" s="2" t="s">
        <v>27</v>
      </c>
      <c r="CA1390" s="2"/>
      <c r="CB1390" s="2"/>
      <c r="CC1390" s="2" t="s">
        <v>208</v>
      </c>
      <c r="CD1390" s="2">
        <v>4133</v>
      </c>
      <c r="CE1390" s="2" t="s">
        <v>108</v>
      </c>
      <c r="CF1390" s="5">
        <v>42662</v>
      </c>
      <c r="CG1390" s="2"/>
      <c r="CH1390" s="2"/>
      <c r="CI1390" s="2">
        <v>1</v>
      </c>
      <c r="CJ1390" s="2">
        <v>1</v>
      </c>
      <c r="CK1390" s="2">
        <v>21</v>
      </c>
      <c r="CL1390" s="2" t="s">
        <v>88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"FES1162506948"</f>
        <v>FES1162506948</v>
      </c>
      <c r="F1391" s="3">
        <v>42660</v>
      </c>
      <c r="G1391" s="2">
        <v>201704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1175</v>
      </c>
      <c r="M1391" s="2" t="s">
        <v>1176</v>
      </c>
      <c r="N1391" s="2" t="s">
        <v>1705</v>
      </c>
      <c r="O1391" s="2" t="s">
        <v>96</v>
      </c>
      <c r="P1391" s="2" t="str">
        <f>"2170527998                    "</f>
        <v xml:space="preserve">2170527998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3.32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</v>
      </c>
      <c r="BJ1391" s="2">
        <v>0.2</v>
      </c>
      <c r="BK1391" s="2">
        <v>1</v>
      </c>
      <c r="BL1391" s="2">
        <v>40.76</v>
      </c>
      <c r="BM1391" s="2">
        <v>5.71</v>
      </c>
      <c r="BN1391" s="2">
        <v>46.47</v>
      </c>
      <c r="BO1391" s="2">
        <v>46.47</v>
      </c>
      <c r="BP1391" s="2"/>
      <c r="BQ1391" s="2" t="s">
        <v>82</v>
      </c>
      <c r="BR1391" s="2" t="s">
        <v>83</v>
      </c>
      <c r="BS1391" s="3">
        <v>42661</v>
      </c>
      <c r="BT1391" s="4">
        <v>0.41666666666666669</v>
      </c>
      <c r="BU1391" s="2" t="s">
        <v>1706</v>
      </c>
      <c r="BV1391" s="2" t="s">
        <v>85</v>
      </c>
      <c r="BW1391" s="2"/>
      <c r="BX1391" s="2"/>
      <c r="BY1391" s="2">
        <v>1200</v>
      </c>
      <c r="BZ1391" s="2" t="s">
        <v>27</v>
      </c>
      <c r="CA1391" s="2" t="s">
        <v>1179</v>
      </c>
      <c r="CB1391" s="2"/>
      <c r="CC1391" s="2" t="s">
        <v>1176</v>
      </c>
      <c r="CD1391" s="2">
        <v>3310</v>
      </c>
      <c r="CE1391" s="2" t="s">
        <v>108</v>
      </c>
      <c r="CF1391" s="5">
        <v>42661</v>
      </c>
      <c r="CG1391" s="2"/>
      <c r="CH1391" s="2"/>
      <c r="CI1391" s="2">
        <v>1</v>
      </c>
      <c r="CJ1391" s="2">
        <v>1</v>
      </c>
      <c r="CK1391" s="2">
        <v>21</v>
      </c>
      <c r="CL1391" s="2" t="s">
        <v>88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"FES1162507191"</f>
        <v>FES1162507191</v>
      </c>
      <c r="F1392" s="3">
        <v>42660</v>
      </c>
      <c r="G1392" s="2">
        <v>201704</v>
      </c>
      <c r="H1392" s="2" t="s">
        <v>74</v>
      </c>
      <c r="I1392" s="2" t="s">
        <v>75</v>
      </c>
      <c r="J1392" s="2" t="s">
        <v>76</v>
      </c>
      <c r="K1392" s="2" t="s">
        <v>77</v>
      </c>
      <c r="L1392" s="2" t="s">
        <v>143</v>
      </c>
      <c r="M1392" s="2" t="s">
        <v>144</v>
      </c>
      <c r="N1392" s="2" t="s">
        <v>1707</v>
      </c>
      <c r="O1392" s="2" t="s">
        <v>96</v>
      </c>
      <c r="P1392" s="2" t="str">
        <f>"2170530706                    "</f>
        <v xml:space="preserve">2170530706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3.32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1</v>
      </c>
      <c r="BJ1392" s="2">
        <v>0.2</v>
      </c>
      <c r="BK1392" s="2">
        <v>1</v>
      </c>
      <c r="BL1392" s="2">
        <v>40.76</v>
      </c>
      <c r="BM1392" s="2">
        <v>5.71</v>
      </c>
      <c r="BN1392" s="2">
        <v>46.47</v>
      </c>
      <c r="BO1392" s="2">
        <v>46.47</v>
      </c>
      <c r="BP1392" s="2"/>
      <c r="BQ1392" s="2" t="s">
        <v>1708</v>
      </c>
      <c r="BR1392" s="2" t="s">
        <v>83</v>
      </c>
      <c r="BS1392" s="3">
        <v>42662</v>
      </c>
      <c r="BT1392" s="4">
        <v>0.41666666666666669</v>
      </c>
      <c r="BU1392" s="2" t="s">
        <v>1709</v>
      </c>
      <c r="BV1392" s="2"/>
      <c r="BW1392" s="2" t="s">
        <v>277</v>
      </c>
      <c r="BX1392" s="2" t="s">
        <v>278</v>
      </c>
      <c r="BY1392" s="2">
        <v>1200</v>
      </c>
      <c r="BZ1392" s="2" t="s">
        <v>27</v>
      </c>
      <c r="CA1392" s="2"/>
      <c r="CB1392" s="2"/>
      <c r="CC1392" s="2" t="s">
        <v>144</v>
      </c>
      <c r="CD1392" s="2">
        <v>5201</v>
      </c>
      <c r="CE1392" s="2" t="s">
        <v>108</v>
      </c>
      <c r="CF1392" s="5">
        <v>42664</v>
      </c>
      <c r="CG1392" s="2"/>
      <c r="CH1392" s="2"/>
      <c r="CI1392" s="2">
        <v>0</v>
      </c>
      <c r="CJ1392" s="2">
        <v>0</v>
      </c>
      <c r="CK1392" s="2">
        <v>21</v>
      </c>
      <c r="CL1392" s="2" t="s">
        <v>88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"FES1162507015"</f>
        <v>FES1162507015</v>
      </c>
      <c r="F1393" s="3">
        <v>42660</v>
      </c>
      <c r="G1393" s="2">
        <v>201704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160</v>
      </c>
      <c r="M1393" s="2" t="s">
        <v>161</v>
      </c>
      <c r="N1393" s="2" t="s">
        <v>179</v>
      </c>
      <c r="O1393" s="2" t="s">
        <v>96</v>
      </c>
      <c r="P1393" s="2" t="str">
        <f>"2170530526                    "</f>
        <v xml:space="preserve">2170530526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3.32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1</v>
      </c>
      <c r="BJ1393" s="2">
        <v>0.2</v>
      </c>
      <c r="BK1393" s="2">
        <v>1</v>
      </c>
      <c r="BL1393" s="2">
        <v>40.76</v>
      </c>
      <c r="BM1393" s="2">
        <v>5.71</v>
      </c>
      <c r="BN1393" s="2">
        <v>46.47</v>
      </c>
      <c r="BO1393" s="2">
        <v>46.47</v>
      </c>
      <c r="BP1393" s="2"/>
      <c r="BQ1393" s="2" t="s">
        <v>180</v>
      </c>
      <c r="BR1393" s="2" t="s">
        <v>83</v>
      </c>
      <c r="BS1393" s="3">
        <v>42661</v>
      </c>
      <c r="BT1393" s="4">
        <v>0.41666666666666669</v>
      </c>
      <c r="BU1393" s="2" t="s">
        <v>1710</v>
      </c>
      <c r="BV1393" s="2" t="s">
        <v>85</v>
      </c>
      <c r="BW1393" s="2"/>
      <c r="BX1393" s="2"/>
      <c r="BY1393" s="2">
        <v>1200</v>
      </c>
      <c r="BZ1393" s="2" t="s">
        <v>27</v>
      </c>
      <c r="CA1393" s="2"/>
      <c r="CB1393" s="2"/>
      <c r="CC1393" s="2" t="s">
        <v>161</v>
      </c>
      <c r="CD1393" s="2">
        <v>7405</v>
      </c>
      <c r="CE1393" s="2" t="s">
        <v>108</v>
      </c>
      <c r="CF1393" s="5">
        <v>42662</v>
      </c>
      <c r="CG1393" s="2"/>
      <c r="CH1393" s="2"/>
      <c r="CI1393" s="2">
        <v>1</v>
      </c>
      <c r="CJ1393" s="2">
        <v>1</v>
      </c>
      <c r="CK1393" s="2">
        <v>21</v>
      </c>
      <c r="CL1393" s="2" t="s">
        <v>88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"FES1162507026"</f>
        <v>FES1162507026</v>
      </c>
      <c r="F1394" s="3">
        <v>42660</v>
      </c>
      <c r="G1394" s="2">
        <v>201704</v>
      </c>
      <c r="H1394" s="2" t="s">
        <v>74</v>
      </c>
      <c r="I1394" s="2" t="s">
        <v>75</v>
      </c>
      <c r="J1394" s="2" t="s">
        <v>76</v>
      </c>
      <c r="K1394" s="2" t="s">
        <v>77</v>
      </c>
      <c r="L1394" s="2" t="s">
        <v>160</v>
      </c>
      <c r="M1394" s="2" t="s">
        <v>161</v>
      </c>
      <c r="N1394" s="2" t="s">
        <v>179</v>
      </c>
      <c r="O1394" s="2" t="s">
        <v>96</v>
      </c>
      <c r="P1394" s="2" t="str">
        <f>"2170530305                    "</f>
        <v xml:space="preserve">2170530305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24.88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15</v>
      </c>
      <c r="BJ1394" s="2">
        <v>4.5</v>
      </c>
      <c r="BK1394" s="2">
        <v>15</v>
      </c>
      <c r="BL1394" s="2">
        <v>305.68</v>
      </c>
      <c r="BM1394" s="2">
        <v>42.8</v>
      </c>
      <c r="BN1394" s="2">
        <v>348.48</v>
      </c>
      <c r="BO1394" s="2">
        <v>348.48</v>
      </c>
      <c r="BP1394" s="2"/>
      <c r="BQ1394" s="2" t="s">
        <v>180</v>
      </c>
      <c r="BR1394" s="2" t="s">
        <v>83</v>
      </c>
      <c r="BS1394" s="3">
        <v>42661</v>
      </c>
      <c r="BT1394" s="4">
        <v>0.41666666666666669</v>
      </c>
      <c r="BU1394" s="2" t="s">
        <v>1711</v>
      </c>
      <c r="BV1394" s="2" t="s">
        <v>85</v>
      </c>
      <c r="BW1394" s="2"/>
      <c r="BX1394" s="2"/>
      <c r="BY1394" s="2">
        <v>22320</v>
      </c>
      <c r="BZ1394" s="2" t="s">
        <v>27</v>
      </c>
      <c r="CA1394" s="2"/>
      <c r="CB1394" s="2"/>
      <c r="CC1394" s="2" t="s">
        <v>161</v>
      </c>
      <c r="CD1394" s="2">
        <v>7405</v>
      </c>
      <c r="CE1394" s="2" t="s">
        <v>86</v>
      </c>
      <c r="CF1394" s="5">
        <v>42662</v>
      </c>
      <c r="CG1394" s="2"/>
      <c r="CH1394" s="2"/>
      <c r="CI1394" s="2">
        <v>1</v>
      </c>
      <c r="CJ1394" s="2">
        <v>1</v>
      </c>
      <c r="CK1394" s="2">
        <v>21</v>
      </c>
      <c r="CL1394" s="2" t="s">
        <v>88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"FES1162506975"</f>
        <v>FES1162506975</v>
      </c>
      <c r="F1395" s="3">
        <v>42660</v>
      </c>
      <c r="G1395" s="2">
        <v>201704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98</v>
      </c>
      <c r="M1395" s="2" t="s">
        <v>99</v>
      </c>
      <c r="N1395" s="2" t="s">
        <v>1687</v>
      </c>
      <c r="O1395" s="2" t="s">
        <v>96</v>
      </c>
      <c r="P1395" s="2" t="str">
        <f>"2170529490                    "</f>
        <v xml:space="preserve">2170529490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9.9499999999999993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6</v>
      </c>
      <c r="BJ1395" s="2">
        <v>5.4</v>
      </c>
      <c r="BK1395" s="2">
        <v>6</v>
      </c>
      <c r="BL1395" s="2">
        <v>122.27</v>
      </c>
      <c r="BM1395" s="2">
        <v>17.12</v>
      </c>
      <c r="BN1395" s="2">
        <v>139.38999999999999</v>
      </c>
      <c r="BO1395" s="2">
        <v>139.38999999999999</v>
      </c>
      <c r="BP1395" s="2"/>
      <c r="BQ1395" s="2" t="s">
        <v>1688</v>
      </c>
      <c r="BR1395" s="2" t="s">
        <v>83</v>
      </c>
      <c r="BS1395" s="3">
        <v>42661</v>
      </c>
      <c r="BT1395" s="4">
        <v>0.375</v>
      </c>
      <c r="BU1395" s="2" t="s">
        <v>1685</v>
      </c>
      <c r="BV1395" s="2" t="s">
        <v>85</v>
      </c>
      <c r="BW1395" s="2"/>
      <c r="BX1395" s="2"/>
      <c r="BY1395" s="2">
        <v>27225</v>
      </c>
      <c r="BZ1395" s="2" t="s">
        <v>27</v>
      </c>
      <c r="CA1395" s="2"/>
      <c r="CB1395" s="2"/>
      <c r="CC1395" s="2" t="s">
        <v>99</v>
      </c>
      <c r="CD1395" s="2">
        <v>6001</v>
      </c>
      <c r="CE1395" s="2" t="s">
        <v>368</v>
      </c>
      <c r="CF1395" s="5">
        <v>42662</v>
      </c>
      <c r="CG1395" s="2"/>
      <c r="CH1395" s="2"/>
      <c r="CI1395" s="2">
        <v>1</v>
      </c>
      <c r="CJ1395" s="2">
        <v>1</v>
      </c>
      <c r="CK1395" s="2">
        <v>21</v>
      </c>
      <c r="CL1395" s="2" t="s">
        <v>88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"FES1162507049"</f>
        <v>FES1162507049</v>
      </c>
      <c r="F1396" s="3">
        <v>42660</v>
      </c>
      <c r="G1396" s="2">
        <v>201704</v>
      </c>
      <c r="H1396" s="2" t="s">
        <v>74</v>
      </c>
      <c r="I1396" s="2" t="s">
        <v>75</v>
      </c>
      <c r="J1396" s="2" t="s">
        <v>76</v>
      </c>
      <c r="K1396" s="2" t="s">
        <v>77</v>
      </c>
      <c r="L1396" s="2" t="s">
        <v>143</v>
      </c>
      <c r="M1396" s="2" t="s">
        <v>144</v>
      </c>
      <c r="N1396" s="2" t="s">
        <v>1712</v>
      </c>
      <c r="O1396" s="2" t="s">
        <v>96</v>
      </c>
      <c r="P1396" s="2" t="str">
        <f>"2170530559                    "</f>
        <v xml:space="preserve">2170530559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4.9800000000000004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2.6</v>
      </c>
      <c r="BJ1396" s="2">
        <v>0.2</v>
      </c>
      <c r="BK1396" s="2">
        <v>3</v>
      </c>
      <c r="BL1396" s="2">
        <v>61.14</v>
      </c>
      <c r="BM1396" s="2">
        <v>8.56</v>
      </c>
      <c r="BN1396" s="2">
        <v>69.7</v>
      </c>
      <c r="BO1396" s="2">
        <v>69.7</v>
      </c>
      <c r="BP1396" s="2"/>
      <c r="BQ1396" s="2" t="s">
        <v>168</v>
      </c>
      <c r="BR1396" s="2" t="s">
        <v>83</v>
      </c>
      <c r="BS1396" s="3">
        <v>42661</v>
      </c>
      <c r="BT1396" s="4">
        <v>0.60416666666666663</v>
      </c>
      <c r="BU1396" s="2" t="s">
        <v>1713</v>
      </c>
      <c r="BV1396" s="2" t="s">
        <v>85</v>
      </c>
      <c r="BW1396" s="2"/>
      <c r="BX1396" s="2"/>
      <c r="BY1396" s="2">
        <v>1200</v>
      </c>
      <c r="BZ1396" s="2" t="s">
        <v>27</v>
      </c>
      <c r="CA1396" s="2"/>
      <c r="CB1396" s="2"/>
      <c r="CC1396" s="2" t="s">
        <v>144</v>
      </c>
      <c r="CD1396" s="2">
        <v>5201</v>
      </c>
      <c r="CE1396" s="2" t="s">
        <v>108</v>
      </c>
      <c r="CF1396" s="5">
        <v>42663</v>
      </c>
      <c r="CG1396" s="2"/>
      <c r="CH1396" s="2"/>
      <c r="CI1396" s="2">
        <v>1</v>
      </c>
      <c r="CJ1396" s="2">
        <v>1</v>
      </c>
      <c r="CK1396" s="2">
        <v>21</v>
      </c>
      <c r="CL1396" s="2" t="s">
        <v>88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"FES1162507252"</f>
        <v>FES1162507252</v>
      </c>
      <c r="F1397" s="3">
        <v>42660</v>
      </c>
      <c r="G1397" s="2">
        <v>201704</v>
      </c>
      <c r="H1397" s="2" t="s">
        <v>74</v>
      </c>
      <c r="I1397" s="2" t="s">
        <v>75</v>
      </c>
      <c r="J1397" s="2" t="s">
        <v>76</v>
      </c>
      <c r="K1397" s="2" t="s">
        <v>77</v>
      </c>
      <c r="L1397" s="2" t="s">
        <v>98</v>
      </c>
      <c r="M1397" s="2" t="s">
        <v>99</v>
      </c>
      <c r="N1397" s="2" t="s">
        <v>133</v>
      </c>
      <c r="O1397" s="2" t="s">
        <v>96</v>
      </c>
      <c r="P1397" s="2" t="str">
        <f>"2170530635                    "</f>
        <v xml:space="preserve">2170530635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39.81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2</v>
      </c>
      <c r="BI1397" s="2">
        <v>24</v>
      </c>
      <c r="BJ1397" s="2">
        <v>7.6</v>
      </c>
      <c r="BK1397" s="2">
        <v>24</v>
      </c>
      <c r="BL1397" s="2">
        <v>489.09</v>
      </c>
      <c r="BM1397" s="2">
        <v>68.47</v>
      </c>
      <c r="BN1397" s="2">
        <v>557.55999999999995</v>
      </c>
      <c r="BO1397" s="2">
        <v>557.55999999999995</v>
      </c>
      <c r="BP1397" s="2"/>
      <c r="BQ1397" s="2" t="s">
        <v>134</v>
      </c>
      <c r="BR1397" s="2" t="s">
        <v>83</v>
      </c>
      <c r="BS1397" s="3">
        <v>42661</v>
      </c>
      <c r="BT1397" s="4">
        <v>0.33333333333333331</v>
      </c>
      <c r="BU1397" s="2" t="s">
        <v>1714</v>
      </c>
      <c r="BV1397" s="2" t="s">
        <v>85</v>
      </c>
      <c r="BW1397" s="2"/>
      <c r="BX1397" s="2"/>
      <c r="BY1397" s="2">
        <v>38064</v>
      </c>
      <c r="BZ1397" s="2"/>
      <c r="CA1397" s="2" t="s">
        <v>437</v>
      </c>
      <c r="CB1397" s="2"/>
      <c r="CC1397" s="2" t="s">
        <v>99</v>
      </c>
      <c r="CD1397" s="2">
        <v>6001</v>
      </c>
      <c r="CE1397" s="2" t="s">
        <v>86</v>
      </c>
      <c r="CF1397" s="5">
        <v>42661</v>
      </c>
      <c r="CG1397" s="2"/>
      <c r="CH1397" s="2"/>
      <c r="CI1397" s="2">
        <v>1</v>
      </c>
      <c r="CJ1397" s="2">
        <v>1</v>
      </c>
      <c r="CK1397" s="2">
        <v>21</v>
      </c>
      <c r="CL1397" s="2" t="s">
        <v>88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"FES1162507195"</f>
        <v>FES1162507195</v>
      </c>
      <c r="F1398" s="3">
        <v>42660</v>
      </c>
      <c r="G1398" s="2">
        <v>201704</v>
      </c>
      <c r="H1398" s="2" t="s">
        <v>74</v>
      </c>
      <c r="I1398" s="2" t="s">
        <v>75</v>
      </c>
      <c r="J1398" s="2" t="s">
        <v>76</v>
      </c>
      <c r="K1398" s="2" t="s">
        <v>77</v>
      </c>
      <c r="L1398" s="2" t="s">
        <v>160</v>
      </c>
      <c r="M1398" s="2" t="s">
        <v>161</v>
      </c>
      <c r="N1398" s="2" t="s">
        <v>1219</v>
      </c>
      <c r="O1398" s="2" t="s">
        <v>96</v>
      </c>
      <c r="P1398" s="2" t="str">
        <f>"2170530616                    "</f>
        <v xml:space="preserve">2170530616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29.85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17.899999999999999</v>
      </c>
      <c r="BJ1398" s="2">
        <v>17.600000000000001</v>
      </c>
      <c r="BK1398" s="2">
        <v>18</v>
      </c>
      <c r="BL1398" s="2">
        <v>366.81</v>
      </c>
      <c r="BM1398" s="2">
        <v>51.35</v>
      </c>
      <c r="BN1398" s="2">
        <v>418.16</v>
      </c>
      <c r="BO1398" s="2">
        <v>418.16</v>
      </c>
      <c r="BP1398" s="2"/>
      <c r="BQ1398" s="2" t="s">
        <v>91</v>
      </c>
      <c r="BR1398" s="2" t="s">
        <v>83</v>
      </c>
      <c r="BS1398" s="3">
        <v>42661</v>
      </c>
      <c r="BT1398" s="4">
        <v>0.41666666666666669</v>
      </c>
      <c r="BU1398" s="2" t="s">
        <v>1715</v>
      </c>
      <c r="BV1398" s="2" t="s">
        <v>85</v>
      </c>
      <c r="BW1398" s="2"/>
      <c r="BX1398" s="2"/>
      <c r="BY1398" s="2">
        <v>88144.85</v>
      </c>
      <c r="BZ1398" s="2"/>
      <c r="CA1398" s="2"/>
      <c r="CB1398" s="2"/>
      <c r="CC1398" s="2" t="s">
        <v>161</v>
      </c>
      <c r="CD1398" s="2">
        <v>7441</v>
      </c>
      <c r="CE1398" s="2" t="s">
        <v>86</v>
      </c>
      <c r="CF1398" s="5">
        <v>42662</v>
      </c>
      <c r="CG1398" s="2"/>
      <c r="CH1398" s="2"/>
      <c r="CI1398" s="2">
        <v>1</v>
      </c>
      <c r="CJ1398" s="2">
        <v>1</v>
      </c>
      <c r="CK1398" s="2">
        <v>21</v>
      </c>
      <c r="CL1398" s="2" t="s">
        <v>88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"FES1162507274"</f>
        <v>FES1162507274</v>
      </c>
      <c r="F1399" s="3">
        <v>42660</v>
      </c>
      <c r="G1399" s="2">
        <v>201704</v>
      </c>
      <c r="H1399" s="2" t="s">
        <v>74</v>
      </c>
      <c r="I1399" s="2" t="s">
        <v>75</v>
      </c>
      <c r="J1399" s="2" t="s">
        <v>76</v>
      </c>
      <c r="K1399" s="2" t="s">
        <v>77</v>
      </c>
      <c r="L1399" s="2" t="s">
        <v>148</v>
      </c>
      <c r="M1399" s="2" t="s">
        <v>149</v>
      </c>
      <c r="N1399" s="2" t="s">
        <v>663</v>
      </c>
      <c r="O1399" s="2" t="s">
        <v>96</v>
      </c>
      <c r="P1399" s="2" t="str">
        <f>"2170530801                    "</f>
        <v xml:space="preserve">2170530801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8.2899999999999991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1.7</v>
      </c>
      <c r="BJ1399" s="2">
        <v>4.7</v>
      </c>
      <c r="BK1399" s="2">
        <v>5</v>
      </c>
      <c r="BL1399" s="2">
        <v>101.89</v>
      </c>
      <c r="BM1399" s="2">
        <v>14.26</v>
      </c>
      <c r="BN1399" s="2">
        <v>116.15</v>
      </c>
      <c r="BO1399" s="2">
        <v>116.15</v>
      </c>
      <c r="BP1399" s="2"/>
      <c r="BQ1399" s="2" t="s">
        <v>91</v>
      </c>
      <c r="BR1399" s="2" t="s">
        <v>83</v>
      </c>
      <c r="BS1399" s="3">
        <v>42661</v>
      </c>
      <c r="BT1399" s="4">
        <v>0.40625</v>
      </c>
      <c r="BU1399" s="2" t="s">
        <v>489</v>
      </c>
      <c r="BV1399" s="2"/>
      <c r="BW1399" s="2"/>
      <c r="BX1399" s="2"/>
      <c r="BY1399" s="2">
        <v>23496.48</v>
      </c>
      <c r="BZ1399" s="2"/>
      <c r="CA1399" s="2"/>
      <c r="CB1399" s="2"/>
      <c r="CC1399" s="2" t="s">
        <v>149</v>
      </c>
      <c r="CD1399" s="2">
        <v>4001</v>
      </c>
      <c r="CE1399" s="2" t="s">
        <v>86</v>
      </c>
      <c r="CF1399" s="5">
        <v>42662</v>
      </c>
      <c r="CG1399" s="2"/>
      <c r="CH1399" s="2"/>
      <c r="CI1399" s="2">
        <v>0</v>
      </c>
      <c r="CJ1399" s="2">
        <v>0</v>
      </c>
      <c r="CK1399" s="2">
        <v>21</v>
      </c>
      <c r="CL1399" s="2" t="s">
        <v>88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"FES1162507166"</f>
        <v>FES1162507166</v>
      </c>
      <c r="F1400" s="3">
        <v>42660</v>
      </c>
      <c r="G1400" s="2">
        <v>201704</v>
      </c>
      <c r="H1400" s="2" t="s">
        <v>74</v>
      </c>
      <c r="I1400" s="2" t="s">
        <v>75</v>
      </c>
      <c r="J1400" s="2" t="s">
        <v>76</v>
      </c>
      <c r="K1400" s="2" t="s">
        <v>77</v>
      </c>
      <c r="L1400" s="2" t="s">
        <v>377</v>
      </c>
      <c r="M1400" s="2" t="s">
        <v>378</v>
      </c>
      <c r="N1400" s="2" t="s">
        <v>379</v>
      </c>
      <c r="O1400" s="2" t="s">
        <v>96</v>
      </c>
      <c r="P1400" s="2" t="str">
        <f>"2170530668                    "</f>
        <v xml:space="preserve">2170530668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5.81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3.5</v>
      </c>
      <c r="BJ1400" s="2">
        <v>3.3</v>
      </c>
      <c r="BK1400" s="2">
        <v>3.5</v>
      </c>
      <c r="BL1400" s="2">
        <v>71.33</v>
      </c>
      <c r="BM1400" s="2">
        <v>9.99</v>
      </c>
      <c r="BN1400" s="2">
        <v>81.319999999999993</v>
      </c>
      <c r="BO1400" s="2">
        <v>81.319999999999993</v>
      </c>
      <c r="BP1400" s="2"/>
      <c r="BQ1400" s="2" t="s">
        <v>382</v>
      </c>
      <c r="BR1400" s="2" t="s">
        <v>83</v>
      </c>
      <c r="BS1400" s="3">
        <v>42661</v>
      </c>
      <c r="BT1400" s="4">
        <v>0.36805555555555558</v>
      </c>
      <c r="BU1400" s="2" t="s">
        <v>1716</v>
      </c>
      <c r="BV1400" s="2" t="s">
        <v>85</v>
      </c>
      <c r="BW1400" s="2"/>
      <c r="BX1400" s="2"/>
      <c r="BY1400" s="2">
        <v>16469.150000000001</v>
      </c>
      <c r="BZ1400" s="2"/>
      <c r="CA1400" s="2" t="s">
        <v>535</v>
      </c>
      <c r="CB1400" s="2"/>
      <c r="CC1400" s="2" t="s">
        <v>378</v>
      </c>
      <c r="CD1400" s="2">
        <v>6536</v>
      </c>
      <c r="CE1400" s="2" t="s">
        <v>86</v>
      </c>
      <c r="CF1400" s="5">
        <v>42661</v>
      </c>
      <c r="CG1400" s="2"/>
      <c r="CH1400" s="2"/>
      <c r="CI1400" s="2">
        <v>1</v>
      </c>
      <c r="CJ1400" s="2">
        <v>1</v>
      </c>
      <c r="CK1400" s="2">
        <v>21</v>
      </c>
      <c r="CL1400" s="2" t="s">
        <v>88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"FES1162507253"</f>
        <v>FES1162507253</v>
      </c>
      <c r="F1401" s="3">
        <v>42660</v>
      </c>
      <c r="G1401" s="2">
        <v>201704</v>
      </c>
      <c r="H1401" s="2" t="s">
        <v>74</v>
      </c>
      <c r="I1401" s="2" t="s">
        <v>75</v>
      </c>
      <c r="J1401" s="2" t="s">
        <v>76</v>
      </c>
      <c r="K1401" s="2" t="s">
        <v>77</v>
      </c>
      <c r="L1401" s="2" t="s">
        <v>938</v>
      </c>
      <c r="M1401" s="2" t="s">
        <v>939</v>
      </c>
      <c r="N1401" s="2" t="s">
        <v>1717</v>
      </c>
      <c r="O1401" s="2" t="s">
        <v>96</v>
      </c>
      <c r="P1401" s="2" t="str">
        <f>"2170530777                    "</f>
        <v xml:space="preserve">2170530777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6.43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1</v>
      </c>
      <c r="BJ1401" s="2">
        <v>0.2</v>
      </c>
      <c r="BK1401" s="2">
        <v>1</v>
      </c>
      <c r="BL1401" s="2">
        <v>78.97</v>
      </c>
      <c r="BM1401" s="2">
        <v>11.06</v>
      </c>
      <c r="BN1401" s="2">
        <v>90.03</v>
      </c>
      <c r="BO1401" s="2">
        <v>90.03</v>
      </c>
      <c r="BP1401" s="2"/>
      <c r="BQ1401" s="2" t="s">
        <v>82</v>
      </c>
      <c r="BR1401" s="2" t="s">
        <v>83</v>
      </c>
      <c r="BS1401" s="3">
        <v>42661</v>
      </c>
      <c r="BT1401" s="4">
        <v>0</v>
      </c>
      <c r="BU1401" s="2" t="s">
        <v>1718</v>
      </c>
      <c r="BV1401" s="2" t="s">
        <v>85</v>
      </c>
      <c r="BW1401" s="2"/>
      <c r="BX1401" s="2"/>
      <c r="BY1401" s="2">
        <v>1200</v>
      </c>
      <c r="BZ1401" s="2"/>
      <c r="CA1401" s="2"/>
      <c r="CB1401" s="2"/>
      <c r="CC1401" s="2" t="s">
        <v>939</v>
      </c>
      <c r="CD1401" s="2">
        <v>5319</v>
      </c>
      <c r="CE1401" s="2" t="s">
        <v>108</v>
      </c>
      <c r="CF1401" s="5">
        <v>42663</v>
      </c>
      <c r="CG1401" s="2"/>
      <c r="CH1401" s="2"/>
      <c r="CI1401" s="2">
        <v>4</v>
      </c>
      <c r="CJ1401" s="2">
        <v>1</v>
      </c>
      <c r="CK1401" s="2">
        <v>23</v>
      </c>
      <c r="CL1401" s="2" t="s">
        <v>88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"FES1162507271"</f>
        <v>FES1162507271</v>
      </c>
      <c r="F1402" s="3">
        <v>42660</v>
      </c>
      <c r="G1402" s="2">
        <v>201704</v>
      </c>
      <c r="H1402" s="2" t="s">
        <v>74</v>
      </c>
      <c r="I1402" s="2" t="s">
        <v>75</v>
      </c>
      <c r="J1402" s="2" t="s">
        <v>76</v>
      </c>
      <c r="K1402" s="2" t="s">
        <v>77</v>
      </c>
      <c r="L1402" s="2" t="s">
        <v>377</v>
      </c>
      <c r="M1402" s="2" t="s">
        <v>378</v>
      </c>
      <c r="N1402" s="2" t="s">
        <v>379</v>
      </c>
      <c r="O1402" s="2" t="s">
        <v>96</v>
      </c>
      <c r="P1402" s="2" t="str">
        <f>"2170530795                    "</f>
        <v xml:space="preserve">2170530795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16.59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3.7</v>
      </c>
      <c r="BJ1402" s="2">
        <v>9.8000000000000007</v>
      </c>
      <c r="BK1402" s="2">
        <v>10</v>
      </c>
      <c r="BL1402" s="2">
        <v>203.79</v>
      </c>
      <c r="BM1402" s="2">
        <v>28.53</v>
      </c>
      <c r="BN1402" s="2">
        <v>232.32</v>
      </c>
      <c r="BO1402" s="2">
        <v>232.32</v>
      </c>
      <c r="BP1402" s="2"/>
      <c r="BQ1402" s="2" t="s">
        <v>382</v>
      </c>
      <c r="BR1402" s="2" t="s">
        <v>83</v>
      </c>
      <c r="BS1402" s="3">
        <v>42661</v>
      </c>
      <c r="BT1402" s="4">
        <v>0.36805555555555558</v>
      </c>
      <c r="BU1402" s="2" t="s">
        <v>1716</v>
      </c>
      <c r="BV1402" s="2" t="s">
        <v>85</v>
      </c>
      <c r="BW1402" s="2"/>
      <c r="BX1402" s="2"/>
      <c r="BY1402" s="2">
        <v>49074.48</v>
      </c>
      <c r="BZ1402" s="2"/>
      <c r="CA1402" s="2" t="s">
        <v>535</v>
      </c>
      <c r="CB1402" s="2"/>
      <c r="CC1402" s="2" t="s">
        <v>378</v>
      </c>
      <c r="CD1402" s="2">
        <v>6536</v>
      </c>
      <c r="CE1402" s="2" t="s">
        <v>86</v>
      </c>
      <c r="CF1402" s="5">
        <v>42661</v>
      </c>
      <c r="CG1402" s="2"/>
      <c r="CH1402" s="2"/>
      <c r="CI1402" s="2">
        <v>1</v>
      </c>
      <c r="CJ1402" s="2">
        <v>1</v>
      </c>
      <c r="CK1402" s="2">
        <v>21</v>
      </c>
      <c r="CL1402" s="2" t="s">
        <v>88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"FES1162507260"</f>
        <v>FES1162507260</v>
      </c>
      <c r="F1403" s="3">
        <v>42660</v>
      </c>
      <c r="G1403" s="2">
        <v>201704</v>
      </c>
      <c r="H1403" s="2" t="s">
        <v>74</v>
      </c>
      <c r="I1403" s="2" t="s">
        <v>75</v>
      </c>
      <c r="J1403" s="2" t="s">
        <v>76</v>
      </c>
      <c r="K1403" s="2" t="s">
        <v>77</v>
      </c>
      <c r="L1403" s="2" t="s">
        <v>137</v>
      </c>
      <c r="M1403" s="2" t="s">
        <v>138</v>
      </c>
      <c r="N1403" s="2" t="s">
        <v>526</v>
      </c>
      <c r="O1403" s="2" t="s">
        <v>96</v>
      </c>
      <c r="P1403" s="2" t="str">
        <f>"2170530692                    "</f>
        <v xml:space="preserve">2170530692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3.32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1</v>
      </c>
      <c r="BJ1403" s="2">
        <v>0.2</v>
      </c>
      <c r="BK1403" s="2">
        <v>1</v>
      </c>
      <c r="BL1403" s="2">
        <v>40.76</v>
      </c>
      <c r="BM1403" s="2">
        <v>5.71</v>
      </c>
      <c r="BN1403" s="2">
        <v>46.47</v>
      </c>
      <c r="BO1403" s="2">
        <v>46.47</v>
      </c>
      <c r="BP1403" s="2"/>
      <c r="BQ1403" s="2" t="s">
        <v>117</v>
      </c>
      <c r="BR1403" s="2" t="s">
        <v>83</v>
      </c>
      <c r="BS1403" s="3">
        <v>42661</v>
      </c>
      <c r="BT1403" s="4">
        <v>0.39583333333333331</v>
      </c>
      <c r="BU1403" s="2" t="s">
        <v>1719</v>
      </c>
      <c r="BV1403" s="2"/>
      <c r="BW1403" s="2"/>
      <c r="BX1403" s="2"/>
      <c r="BY1403" s="2">
        <v>1200</v>
      </c>
      <c r="BZ1403" s="2"/>
      <c r="CA1403" s="2" t="s">
        <v>1091</v>
      </c>
      <c r="CB1403" s="2"/>
      <c r="CC1403" s="2" t="s">
        <v>138</v>
      </c>
      <c r="CD1403" s="2">
        <v>3201</v>
      </c>
      <c r="CE1403" s="2" t="s">
        <v>108</v>
      </c>
      <c r="CF1403" s="5">
        <v>42661</v>
      </c>
      <c r="CG1403" s="2"/>
      <c r="CH1403" s="2"/>
      <c r="CI1403" s="2">
        <v>0</v>
      </c>
      <c r="CJ1403" s="2">
        <v>0</v>
      </c>
      <c r="CK1403" s="2">
        <v>21</v>
      </c>
      <c r="CL1403" s="2" t="s">
        <v>88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"FES1162507268"</f>
        <v>FES1162507268</v>
      </c>
      <c r="F1404" s="3">
        <v>42660</v>
      </c>
      <c r="G1404" s="2">
        <v>201704</v>
      </c>
      <c r="H1404" s="2" t="s">
        <v>74</v>
      </c>
      <c r="I1404" s="2" t="s">
        <v>75</v>
      </c>
      <c r="J1404" s="2" t="s">
        <v>76</v>
      </c>
      <c r="K1404" s="2" t="s">
        <v>77</v>
      </c>
      <c r="L1404" s="2" t="s">
        <v>148</v>
      </c>
      <c r="M1404" s="2" t="s">
        <v>149</v>
      </c>
      <c r="N1404" s="2" t="s">
        <v>663</v>
      </c>
      <c r="O1404" s="2" t="s">
        <v>96</v>
      </c>
      <c r="P1404" s="2" t="str">
        <f>"2170530792                    "</f>
        <v xml:space="preserve">2170530792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3.32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40.76</v>
      </c>
      <c r="BM1404" s="2">
        <v>5.71</v>
      </c>
      <c r="BN1404" s="2">
        <v>46.47</v>
      </c>
      <c r="BO1404" s="2">
        <v>46.47</v>
      </c>
      <c r="BP1404" s="2"/>
      <c r="BQ1404" s="2" t="s">
        <v>91</v>
      </c>
      <c r="BR1404" s="2" t="s">
        <v>83</v>
      </c>
      <c r="BS1404" s="3">
        <v>42661</v>
      </c>
      <c r="BT1404" s="4">
        <v>0.40625</v>
      </c>
      <c r="BU1404" s="2" t="s">
        <v>489</v>
      </c>
      <c r="BV1404" s="2"/>
      <c r="BW1404" s="2"/>
      <c r="BX1404" s="2"/>
      <c r="BY1404" s="2">
        <v>1200</v>
      </c>
      <c r="BZ1404" s="2"/>
      <c r="CA1404" s="2"/>
      <c r="CB1404" s="2"/>
      <c r="CC1404" s="2" t="s">
        <v>149</v>
      </c>
      <c r="CD1404" s="2">
        <v>4001</v>
      </c>
      <c r="CE1404" s="2" t="s">
        <v>108</v>
      </c>
      <c r="CF1404" s="5">
        <v>42662</v>
      </c>
      <c r="CG1404" s="2"/>
      <c r="CH1404" s="2"/>
      <c r="CI1404" s="2">
        <v>0</v>
      </c>
      <c r="CJ1404" s="2">
        <v>0</v>
      </c>
      <c r="CK1404" s="2">
        <v>21</v>
      </c>
      <c r="CL1404" s="2" t="s">
        <v>88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"FES1162507256"</f>
        <v>FES1162507256</v>
      </c>
      <c r="F1405" s="3">
        <v>42660</v>
      </c>
      <c r="G1405" s="2">
        <v>201704</v>
      </c>
      <c r="H1405" s="2" t="s">
        <v>74</v>
      </c>
      <c r="I1405" s="2" t="s">
        <v>75</v>
      </c>
      <c r="J1405" s="2" t="s">
        <v>76</v>
      </c>
      <c r="K1405" s="2" t="s">
        <v>77</v>
      </c>
      <c r="L1405" s="2" t="s">
        <v>93</v>
      </c>
      <c r="M1405" s="2" t="s">
        <v>94</v>
      </c>
      <c r="N1405" s="2" t="s">
        <v>130</v>
      </c>
      <c r="O1405" s="2" t="s">
        <v>96</v>
      </c>
      <c r="P1405" s="2" t="str">
        <f>"2170530785                    "</f>
        <v xml:space="preserve">2170530785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3.32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1</v>
      </c>
      <c r="BJ1405" s="2">
        <v>0.2</v>
      </c>
      <c r="BK1405" s="2">
        <v>1</v>
      </c>
      <c r="BL1405" s="2">
        <v>40.76</v>
      </c>
      <c r="BM1405" s="2">
        <v>5.71</v>
      </c>
      <c r="BN1405" s="2">
        <v>46.47</v>
      </c>
      <c r="BO1405" s="2">
        <v>46.47</v>
      </c>
      <c r="BP1405" s="2"/>
      <c r="BQ1405" s="2" t="s">
        <v>131</v>
      </c>
      <c r="BR1405" s="2" t="s">
        <v>83</v>
      </c>
      <c r="BS1405" s="3">
        <v>42661</v>
      </c>
      <c r="BT1405" s="4">
        <v>0.4375</v>
      </c>
      <c r="BU1405" s="2" t="s">
        <v>1667</v>
      </c>
      <c r="BV1405" s="2" t="s">
        <v>85</v>
      </c>
      <c r="BW1405" s="2"/>
      <c r="BX1405" s="2"/>
      <c r="BY1405" s="2">
        <v>1200</v>
      </c>
      <c r="BZ1405" s="2"/>
      <c r="CA1405" s="2" t="s">
        <v>129</v>
      </c>
      <c r="CB1405" s="2"/>
      <c r="CC1405" s="2" t="s">
        <v>94</v>
      </c>
      <c r="CD1405" s="2">
        <v>4302</v>
      </c>
      <c r="CE1405" s="2" t="s">
        <v>108</v>
      </c>
      <c r="CF1405" s="5">
        <v>42662</v>
      </c>
      <c r="CG1405" s="2"/>
      <c r="CH1405" s="2"/>
      <c r="CI1405" s="2">
        <v>1</v>
      </c>
      <c r="CJ1405" s="2">
        <v>1</v>
      </c>
      <c r="CK1405" s="2">
        <v>21</v>
      </c>
      <c r="CL1405" s="2" t="s">
        <v>88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"FES1162507270"</f>
        <v>FES1162507270</v>
      </c>
      <c r="F1406" s="3">
        <v>42660</v>
      </c>
      <c r="G1406" s="2">
        <v>201704</v>
      </c>
      <c r="H1406" s="2" t="s">
        <v>74</v>
      </c>
      <c r="I1406" s="2" t="s">
        <v>75</v>
      </c>
      <c r="J1406" s="2" t="s">
        <v>76</v>
      </c>
      <c r="K1406" s="2" t="s">
        <v>77</v>
      </c>
      <c r="L1406" s="2" t="s">
        <v>269</v>
      </c>
      <c r="M1406" s="2" t="s">
        <v>270</v>
      </c>
      <c r="N1406" s="2" t="s">
        <v>1720</v>
      </c>
      <c r="O1406" s="2" t="s">
        <v>96</v>
      </c>
      <c r="P1406" s="2" t="str">
        <f>"2170530794                    "</f>
        <v xml:space="preserve">2170530794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3.32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1</v>
      </c>
      <c r="BJ1406" s="2">
        <v>0.2</v>
      </c>
      <c r="BK1406" s="2">
        <v>1</v>
      </c>
      <c r="BL1406" s="2">
        <v>40.76</v>
      </c>
      <c r="BM1406" s="2">
        <v>5.71</v>
      </c>
      <c r="BN1406" s="2">
        <v>46.47</v>
      </c>
      <c r="BO1406" s="2">
        <v>46.47</v>
      </c>
      <c r="BP1406" s="2"/>
      <c r="BQ1406" s="2" t="s">
        <v>91</v>
      </c>
      <c r="BR1406" s="2" t="s">
        <v>83</v>
      </c>
      <c r="BS1406" s="3">
        <v>42661</v>
      </c>
      <c r="BT1406" s="4">
        <v>0.4375</v>
      </c>
      <c r="BU1406" s="2" t="s">
        <v>1721</v>
      </c>
      <c r="BV1406" s="2" t="s">
        <v>85</v>
      </c>
      <c r="BW1406" s="2"/>
      <c r="BX1406" s="2"/>
      <c r="BY1406" s="2">
        <v>1200</v>
      </c>
      <c r="BZ1406" s="2"/>
      <c r="CA1406" s="2"/>
      <c r="CB1406" s="2"/>
      <c r="CC1406" s="2" t="s">
        <v>270</v>
      </c>
      <c r="CD1406" s="2">
        <v>3610</v>
      </c>
      <c r="CE1406" s="2" t="s">
        <v>108</v>
      </c>
      <c r="CF1406" s="5">
        <v>42662</v>
      </c>
      <c r="CG1406" s="2"/>
      <c r="CH1406" s="2"/>
      <c r="CI1406" s="2">
        <v>1</v>
      </c>
      <c r="CJ1406" s="2">
        <v>1</v>
      </c>
      <c r="CK1406" s="2">
        <v>21</v>
      </c>
      <c r="CL1406" s="2" t="s">
        <v>88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"FES1162507258"</f>
        <v>FES1162507258</v>
      </c>
      <c r="F1407" s="3">
        <v>42660</v>
      </c>
      <c r="G1407" s="2">
        <v>201704</v>
      </c>
      <c r="H1407" s="2" t="s">
        <v>74</v>
      </c>
      <c r="I1407" s="2" t="s">
        <v>75</v>
      </c>
      <c r="J1407" s="2" t="s">
        <v>76</v>
      </c>
      <c r="K1407" s="2" t="s">
        <v>77</v>
      </c>
      <c r="L1407" s="2" t="s">
        <v>1380</v>
      </c>
      <c r="M1407" s="2" t="s">
        <v>1381</v>
      </c>
      <c r="N1407" s="2" t="s">
        <v>1722</v>
      </c>
      <c r="O1407" s="2" t="s">
        <v>96</v>
      </c>
      <c r="P1407" s="2" t="str">
        <f>"2170530684                    "</f>
        <v xml:space="preserve">2170530684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6.43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</v>
      </c>
      <c r="BJ1407" s="2">
        <v>0.2</v>
      </c>
      <c r="BK1407" s="2">
        <v>1</v>
      </c>
      <c r="BL1407" s="2">
        <v>78.97</v>
      </c>
      <c r="BM1407" s="2">
        <v>11.06</v>
      </c>
      <c r="BN1407" s="2">
        <v>90.03</v>
      </c>
      <c r="BO1407" s="2">
        <v>90.03</v>
      </c>
      <c r="BP1407" s="2"/>
      <c r="BQ1407" s="2" t="s">
        <v>168</v>
      </c>
      <c r="BR1407" s="2" t="s">
        <v>83</v>
      </c>
      <c r="BS1407" s="3">
        <v>42661</v>
      </c>
      <c r="BT1407" s="4">
        <v>0.4375</v>
      </c>
      <c r="BU1407" s="2" t="s">
        <v>1723</v>
      </c>
      <c r="BV1407" s="2" t="s">
        <v>85</v>
      </c>
      <c r="BW1407" s="2"/>
      <c r="BX1407" s="2"/>
      <c r="BY1407" s="2">
        <v>1200</v>
      </c>
      <c r="BZ1407" s="2"/>
      <c r="CA1407" s="2"/>
      <c r="CB1407" s="2"/>
      <c r="CC1407" s="2" t="s">
        <v>1381</v>
      </c>
      <c r="CD1407" s="2">
        <v>4339</v>
      </c>
      <c r="CE1407" s="2" t="s">
        <v>108</v>
      </c>
      <c r="CF1407" s="5">
        <v>42662</v>
      </c>
      <c r="CG1407" s="2"/>
      <c r="CH1407" s="2"/>
      <c r="CI1407" s="2">
        <v>1</v>
      </c>
      <c r="CJ1407" s="2">
        <v>1</v>
      </c>
      <c r="CK1407" s="2">
        <v>23</v>
      </c>
      <c r="CL1407" s="2" t="s">
        <v>88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"FES1162507265"</f>
        <v>FES1162507265</v>
      </c>
      <c r="F1408" s="3">
        <v>42660</v>
      </c>
      <c r="G1408" s="2">
        <v>201704</v>
      </c>
      <c r="H1408" s="2" t="s">
        <v>74</v>
      </c>
      <c r="I1408" s="2" t="s">
        <v>75</v>
      </c>
      <c r="J1408" s="2" t="s">
        <v>76</v>
      </c>
      <c r="K1408" s="2" t="s">
        <v>77</v>
      </c>
      <c r="L1408" s="2" t="s">
        <v>148</v>
      </c>
      <c r="M1408" s="2" t="s">
        <v>149</v>
      </c>
      <c r="N1408" s="2" t="s">
        <v>1724</v>
      </c>
      <c r="O1408" s="2" t="s">
        <v>96</v>
      </c>
      <c r="P1408" s="2" t="str">
        <f>"2170530742                    "</f>
        <v xml:space="preserve">2170530742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3.32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</v>
      </c>
      <c r="BJ1408" s="2">
        <v>0.2</v>
      </c>
      <c r="BK1408" s="2">
        <v>1</v>
      </c>
      <c r="BL1408" s="2">
        <v>40.76</v>
      </c>
      <c r="BM1408" s="2">
        <v>5.71</v>
      </c>
      <c r="BN1408" s="2">
        <v>46.47</v>
      </c>
      <c r="BO1408" s="2">
        <v>46.47</v>
      </c>
      <c r="BP1408" s="2"/>
      <c r="BQ1408" s="2" t="s">
        <v>1725</v>
      </c>
      <c r="BR1408" s="2" t="s">
        <v>83</v>
      </c>
      <c r="BS1408" s="3">
        <v>42661</v>
      </c>
      <c r="BT1408" s="4">
        <v>0.4375</v>
      </c>
      <c r="BU1408" s="2" t="s">
        <v>1726</v>
      </c>
      <c r="BV1408" s="2" t="s">
        <v>85</v>
      </c>
      <c r="BW1408" s="2"/>
      <c r="BX1408" s="2"/>
      <c r="BY1408" s="2">
        <v>1200</v>
      </c>
      <c r="BZ1408" s="2"/>
      <c r="CA1408" s="2"/>
      <c r="CB1408" s="2"/>
      <c r="CC1408" s="2" t="s">
        <v>149</v>
      </c>
      <c r="CD1408" s="2">
        <v>4052</v>
      </c>
      <c r="CE1408" s="2" t="s">
        <v>108</v>
      </c>
      <c r="CF1408" s="5">
        <v>42662</v>
      </c>
      <c r="CG1408" s="2"/>
      <c r="CH1408" s="2"/>
      <c r="CI1408" s="2">
        <v>1</v>
      </c>
      <c r="CJ1408" s="2">
        <v>1</v>
      </c>
      <c r="CK1408" s="2">
        <v>21</v>
      </c>
      <c r="CL1408" s="2" t="s">
        <v>88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"FES1162507267"</f>
        <v>FES1162507267</v>
      </c>
      <c r="F1409" s="3">
        <v>42660</v>
      </c>
      <c r="G1409" s="2">
        <v>201704</v>
      </c>
      <c r="H1409" s="2" t="s">
        <v>74</v>
      </c>
      <c r="I1409" s="2" t="s">
        <v>75</v>
      </c>
      <c r="J1409" s="2" t="s">
        <v>76</v>
      </c>
      <c r="K1409" s="2" t="s">
        <v>77</v>
      </c>
      <c r="L1409" s="2" t="s">
        <v>148</v>
      </c>
      <c r="M1409" s="2" t="s">
        <v>149</v>
      </c>
      <c r="N1409" s="2" t="s">
        <v>663</v>
      </c>
      <c r="O1409" s="2" t="s">
        <v>96</v>
      </c>
      <c r="P1409" s="2" t="str">
        <f>"2170530790                    "</f>
        <v xml:space="preserve">2170530790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3.32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</v>
      </c>
      <c r="BJ1409" s="2">
        <v>0.2</v>
      </c>
      <c r="BK1409" s="2">
        <v>1</v>
      </c>
      <c r="BL1409" s="2">
        <v>40.76</v>
      </c>
      <c r="BM1409" s="2">
        <v>5.71</v>
      </c>
      <c r="BN1409" s="2">
        <v>46.47</v>
      </c>
      <c r="BO1409" s="2">
        <v>46.47</v>
      </c>
      <c r="BP1409" s="2"/>
      <c r="BQ1409" s="2" t="s">
        <v>91</v>
      </c>
      <c r="BR1409" s="2" t="s">
        <v>83</v>
      </c>
      <c r="BS1409" s="3">
        <v>42661</v>
      </c>
      <c r="BT1409" s="4">
        <v>0.40625</v>
      </c>
      <c r="BU1409" s="2" t="s">
        <v>489</v>
      </c>
      <c r="BV1409" s="2"/>
      <c r="BW1409" s="2"/>
      <c r="BX1409" s="2"/>
      <c r="BY1409" s="2">
        <v>1200</v>
      </c>
      <c r="BZ1409" s="2"/>
      <c r="CA1409" s="2"/>
      <c r="CB1409" s="2"/>
      <c r="CC1409" s="2" t="s">
        <v>149</v>
      </c>
      <c r="CD1409" s="2">
        <v>4001</v>
      </c>
      <c r="CE1409" s="2" t="s">
        <v>108</v>
      </c>
      <c r="CF1409" s="5">
        <v>42662</v>
      </c>
      <c r="CG1409" s="2"/>
      <c r="CH1409" s="2"/>
      <c r="CI1409" s="2">
        <v>0</v>
      </c>
      <c r="CJ1409" s="2">
        <v>0</v>
      </c>
      <c r="CK1409" s="2">
        <v>21</v>
      </c>
      <c r="CL1409" s="2" t="s">
        <v>88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"FES1162507223"</f>
        <v>FES1162507223</v>
      </c>
      <c r="F1410" s="3">
        <v>42660</v>
      </c>
      <c r="G1410" s="2">
        <v>201704</v>
      </c>
      <c r="H1410" s="2" t="s">
        <v>74</v>
      </c>
      <c r="I1410" s="2" t="s">
        <v>75</v>
      </c>
      <c r="J1410" s="2" t="s">
        <v>76</v>
      </c>
      <c r="K1410" s="2" t="s">
        <v>77</v>
      </c>
      <c r="L1410" s="2" t="s">
        <v>698</v>
      </c>
      <c r="M1410" s="2" t="s">
        <v>699</v>
      </c>
      <c r="N1410" s="2" t="s">
        <v>704</v>
      </c>
      <c r="O1410" s="2" t="s">
        <v>96</v>
      </c>
      <c r="P1410" s="2" t="str">
        <f>"2170530595                    "</f>
        <v xml:space="preserve">2170530595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4.66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1</v>
      </c>
      <c r="BI1410" s="2">
        <v>1</v>
      </c>
      <c r="BJ1410" s="2">
        <v>0.2</v>
      </c>
      <c r="BK1410" s="2">
        <v>1</v>
      </c>
      <c r="BL1410" s="2">
        <v>57.31</v>
      </c>
      <c r="BM1410" s="2">
        <v>8.02</v>
      </c>
      <c r="BN1410" s="2">
        <v>65.33</v>
      </c>
      <c r="BO1410" s="2">
        <v>65.33</v>
      </c>
      <c r="BP1410" s="2"/>
      <c r="BQ1410" s="2" t="s">
        <v>705</v>
      </c>
      <c r="BR1410" s="2" t="s">
        <v>83</v>
      </c>
      <c r="BS1410" s="3">
        <v>42661</v>
      </c>
      <c r="BT1410" s="4">
        <v>0.45833333333333331</v>
      </c>
      <c r="BU1410" s="2" t="s">
        <v>1462</v>
      </c>
      <c r="BV1410" s="2" t="s">
        <v>85</v>
      </c>
      <c r="BW1410" s="2"/>
      <c r="BX1410" s="2"/>
      <c r="BY1410" s="2">
        <v>1200</v>
      </c>
      <c r="BZ1410" s="2"/>
      <c r="CA1410" s="2"/>
      <c r="CB1410" s="2"/>
      <c r="CC1410" s="2" t="s">
        <v>699</v>
      </c>
      <c r="CD1410" s="2">
        <v>1759</v>
      </c>
      <c r="CE1410" s="2" t="s">
        <v>108</v>
      </c>
      <c r="CF1410" s="5">
        <v>42663</v>
      </c>
      <c r="CG1410" s="2"/>
      <c r="CH1410" s="2"/>
      <c r="CI1410" s="2">
        <v>1</v>
      </c>
      <c r="CJ1410" s="2">
        <v>1</v>
      </c>
      <c r="CK1410" s="2">
        <v>24</v>
      </c>
      <c r="CL1410" s="2" t="s">
        <v>88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"FES1162507277"</f>
        <v>FES1162507277</v>
      </c>
      <c r="F1411" s="3">
        <v>42660</v>
      </c>
      <c r="G1411" s="2">
        <v>201704</v>
      </c>
      <c r="H1411" s="2" t="s">
        <v>74</v>
      </c>
      <c r="I1411" s="2" t="s">
        <v>75</v>
      </c>
      <c r="J1411" s="2" t="s">
        <v>76</v>
      </c>
      <c r="K1411" s="2" t="s">
        <v>77</v>
      </c>
      <c r="L1411" s="2" t="s">
        <v>98</v>
      </c>
      <c r="M1411" s="2" t="s">
        <v>99</v>
      </c>
      <c r="N1411" s="2" t="s">
        <v>133</v>
      </c>
      <c r="O1411" s="2" t="s">
        <v>96</v>
      </c>
      <c r="P1411" s="2" t="str">
        <f>"2170530804                    "</f>
        <v xml:space="preserve">2170530804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3.32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2</v>
      </c>
      <c r="BJ1411" s="2">
        <v>0.2</v>
      </c>
      <c r="BK1411" s="2">
        <v>2</v>
      </c>
      <c r="BL1411" s="2">
        <v>40.76</v>
      </c>
      <c r="BM1411" s="2">
        <v>5.71</v>
      </c>
      <c r="BN1411" s="2">
        <v>46.47</v>
      </c>
      <c r="BO1411" s="2">
        <v>46.47</v>
      </c>
      <c r="BP1411" s="2"/>
      <c r="BQ1411" s="2" t="s">
        <v>134</v>
      </c>
      <c r="BR1411" s="2" t="s">
        <v>83</v>
      </c>
      <c r="BS1411" s="3">
        <v>42661</v>
      </c>
      <c r="BT1411" s="4">
        <v>0.33333333333333331</v>
      </c>
      <c r="BU1411" s="2" t="s">
        <v>1714</v>
      </c>
      <c r="BV1411" s="2" t="s">
        <v>85</v>
      </c>
      <c r="BW1411" s="2"/>
      <c r="BX1411" s="2"/>
      <c r="BY1411" s="2">
        <v>1200</v>
      </c>
      <c r="BZ1411" s="2"/>
      <c r="CA1411" s="2" t="s">
        <v>437</v>
      </c>
      <c r="CB1411" s="2"/>
      <c r="CC1411" s="2" t="s">
        <v>99</v>
      </c>
      <c r="CD1411" s="2">
        <v>6001</v>
      </c>
      <c r="CE1411" s="2" t="s">
        <v>108</v>
      </c>
      <c r="CF1411" s="5">
        <v>42661</v>
      </c>
      <c r="CG1411" s="2"/>
      <c r="CH1411" s="2"/>
      <c r="CI1411" s="2">
        <v>1</v>
      </c>
      <c r="CJ1411" s="2">
        <v>1</v>
      </c>
      <c r="CK1411" s="2">
        <v>21</v>
      </c>
      <c r="CL1411" s="2" t="s">
        <v>88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"FES1162507196"</f>
        <v>FES1162507196</v>
      </c>
      <c r="F1412" s="3">
        <v>42660</v>
      </c>
      <c r="G1412" s="2">
        <v>201704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78</v>
      </c>
      <c r="M1412" s="2" t="s">
        <v>79</v>
      </c>
      <c r="N1412" s="2" t="s">
        <v>1727</v>
      </c>
      <c r="O1412" s="2" t="s">
        <v>96</v>
      </c>
      <c r="P1412" s="2" t="str">
        <f>"2170530703                    "</f>
        <v xml:space="preserve">2170530703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3.32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1.7</v>
      </c>
      <c r="BJ1412" s="2">
        <v>1.8</v>
      </c>
      <c r="BK1412" s="2">
        <v>2</v>
      </c>
      <c r="BL1412" s="2">
        <v>40.76</v>
      </c>
      <c r="BM1412" s="2">
        <v>5.71</v>
      </c>
      <c r="BN1412" s="2">
        <v>46.47</v>
      </c>
      <c r="BO1412" s="2">
        <v>46.47</v>
      </c>
      <c r="BP1412" s="2"/>
      <c r="BQ1412" s="2" t="s">
        <v>168</v>
      </c>
      <c r="BR1412" s="2" t="s">
        <v>83</v>
      </c>
      <c r="BS1412" s="3">
        <v>42661</v>
      </c>
      <c r="BT1412" s="4">
        <v>0.41666666666666669</v>
      </c>
      <c r="BU1412" s="2" t="s">
        <v>1728</v>
      </c>
      <c r="BV1412" s="2" t="s">
        <v>85</v>
      </c>
      <c r="BW1412" s="2"/>
      <c r="BX1412" s="2"/>
      <c r="BY1412" s="2">
        <v>9141.6</v>
      </c>
      <c r="BZ1412" s="2"/>
      <c r="CA1412" s="2"/>
      <c r="CB1412" s="2"/>
      <c r="CC1412" s="2" t="s">
        <v>79</v>
      </c>
      <c r="CD1412" s="2">
        <v>1939</v>
      </c>
      <c r="CE1412" s="2" t="s">
        <v>86</v>
      </c>
      <c r="CF1412" s="5">
        <v>42663</v>
      </c>
      <c r="CG1412" s="2"/>
      <c r="CH1412" s="2"/>
      <c r="CI1412" s="2">
        <v>1</v>
      </c>
      <c r="CJ1412" s="2">
        <v>1</v>
      </c>
      <c r="CK1412" s="2">
        <v>21</v>
      </c>
      <c r="CL1412" s="2" t="s">
        <v>88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"FES1162507186"</f>
        <v>FES1162507186</v>
      </c>
      <c r="F1413" s="3">
        <v>42660</v>
      </c>
      <c r="G1413" s="2">
        <v>201704</v>
      </c>
      <c r="H1413" s="2" t="s">
        <v>74</v>
      </c>
      <c r="I1413" s="2" t="s">
        <v>75</v>
      </c>
      <c r="J1413" s="2" t="s">
        <v>76</v>
      </c>
      <c r="K1413" s="2" t="s">
        <v>77</v>
      </c>
      <c r="L1413" s="2" t="s">
        <v>153</v>
      </c>
      <c r="M1413" s="2" t="s">
        <v>153</v>
      </c>
      <c r="N1413" s="2" t="s">
        <v>343</v>
      </c>
      <c r="O1413" s="2" t="s">
        <v>96</v>
      </c>
      <c r="P1413" s="2" t="str">
        <f>"2170530691                    "</f>
        <v xml:space="preserve">2170530691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3.32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1.8</v>
      </c>
      <c r="BJ1413" s="2">
        <v>2</v>
      </c>
      <c r="BK1413" s="2">
        <v>2</v>
      </c>
      <c r="BL1413" s="2">
        <v>40.76</v>
      </c>
      <c r="BM1413" s="2">
        <v>5.71</v>
      </c>
      <c r="BN1413" s="2">
        <v>46.47</v>
      </c>
      <c r="BO1413" s="2">
        <v>46.47</v>
      </c>
      <c r="BP1413" s="2"/>
      <c r="BQ1413" s="2" t="s">
        <v>344</v>
      </c>
      <c r="BR1413" s="2" t="s">
        <v>83</v>
      </c>
      <c r="BS1413" s="3">
        <v>42661</v>
      </c>
      <c r="BT1413" s="4">
        <v>0.51736111111111105</v>
      </c>
      <c r="BU1413" s="2" t="s">
        <v>1089</v>
      </c>
      <c r="BV1413" s="2" t="s">
        <v>85</v>
      </c>
      <c r="BW1413" s="2"/>
      <c r="BX1413" s="2"/>
      <c r="BY1413" s="2">
        <v>9778.18</v>
      </c>
      <c r="BZ1413" s="2"/>
      <c r="CA1413" s="2"/>
      <c r="CB1413" s="2"/>
      <c r="CC1413" s="2" t="s">
        <v>153</v>
      </c>
      <c r="CD1413" s="2">
        <v>7646</v>
      </c>
      <c r="CE1413" s="2" t="s">
        <v>86</v>
      </c>
      <c r="CF1413" s="5">
        <v>42662</v>
      </c>
      <c r="CG1413" s="2"/>
      <c r="CH1413" s="2"/>
      <c r="CI1413" s="2">
        <v>1</v>
      </c>
      <c r="CJ1413" s="2">
        <v>1</v>
      </c>
      <c r="CK1413" s="2">
        <v>21</v>
      </c>
      <c r="CL1413" s="2" t="s">
        <v>88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"FES1162507197"</f>
        <v>FES1162507197</v>
      </c>
      <c r="F1414" s="3">
        <v>42660</v>
      </c>
      <c r="G1414" s="2">
        <v>201704</v>
      </c>
      <c r="H1414" s="2" t="s">
        <v>74</v>
      </c>
      <c r="I1414" s="2" t="s">
        <v>75</v>
      </c>
      <c r="J1414" s="2" t="s">
        <v>76</v>
      </c>
      <c r="K1414" s="2" t="s">
        <v>77</v>
      </c>
      <c r="L1414" s="2" t="s">
        <v>160</v>
      </c>
      <c r="M1414" s="2" t="s">
        <v>161</v>
      </c>
      <c r="N1414" s="2" t="s">
        <v>1729</v>
      </c>
      <c r="O1414" s="2" t="s">
        <v>96</v>
      </c>
      <c r="P1414" s="2" t="str">
        <f>"2170530705                    "</f>
        <v xml:space="preserve">2170530705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4.1500000000000004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2.4</v>
      </c>
      <c r="BJ1414" s="2">
        <v>1.7</v>
      </c>
      <c r="BK1414" s="2">
        <v>2.5</v>
      </c>
      <c r="BL1414" s="2">
        <v>50.95</v>
      </c>
      <c r="BM1414" s="2">
        <v>7.13</v>
      </c>
      <c r="BN1414" s="2">
        <v>58.08</v>
      </c>
      <c r="BO1414" s="2">
        <v>58.08</v>
      </c>
      <c r="BP1414" s="2"/>
      <c r="BQ1414" s="2" t="s">
        <v>1730</v>
      </c>
      <c r="BR1414" s="2" t="s">
        <v>83</v>
      </c>
      <c r="BS1414" s="3">
        <v>42661</v>
      </c>
      <c r="BT1414" s="4">
        <v>0.41666666666666669</v>
      </c>
      <c r="BU1414" s="2" t="s">
        <v>1731</v>
      </c>
      <c r="BV1414" s="2" t="s">
        <v>85</v>
      </c>
      <c r="BW1414" s="2"/>
      <c r="BX1414" s="2"/>
      <c r="BY1414" s="2">
        <v>8400.48</v>
      </c>
      <c r="BZ1414" s="2"/>
      <c r="CA1414" s="2"/>
      <c r="CB1414" s="2"/>
      <c r="CC1414" s="2" t="s">
        <v>161</v>
      </c>
      <c r="CD1414" s="2">
        <v>7441</v>
      </c>
      <c r="CE1414" s="2" t="s">
        <v>368</v>
      </c>
      <c r="CF1414" s="5">
        <v>42662</v>
      </c>
      <c r="CG1414" s="2"/>
      <c r="CH1414" s="2"/>
      <c r="CI1414" s="2">
        <v>1</v>
      </c>
      <c r="CJ1414" s="2">
        <v>1</v>
      </c>
      <c r="CK1414" s="2">
        <v>21</v>
      </c>
      <c r="CL1414" s="2" t="s">
        <v>88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"FES1162507133"</f>
        <v>FES1162507133</v>
      </c>
      <c r="F1415" s="3">
        <v>42660</v>
      </c>
      <c r="G1415" s="2">
        <v>201704</v>
      </c>
      <c r="H1415" s="2" t="s">
        <v>74</v>
      </c>
      <c r="I1415" s="2" t="s">
        <v>75</v>
      </c>
      <c r="J1415" s="2" t="s">
        <v>76</v>
      </c>
      <c r="K1415" s="2" t="s">
        <v>77</v>
      </c>
      <c r="L1415" s="2" t="s">
        <v>160</v>
      </c>
      <c r="M1415" s="2" t="s">
        <v>161</v>
      </c>
      <c r="N1415" s="2" t="s">
        <v>1732</v>
      </c>
      <c r="O1415" s="2" t="s">
        <v>96</v>
      </c>
      <c r="P1415" s="2" t="str">
        <f>"2170522903                    "</f>
        <v xml:space="preserve">2170522903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4.1500000000000004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2.1</v>
      </c>
      <c r="BJ1415" s="2">
        <v>1</v>
      </c>
      <c r="BK1415" s="2">
        <v>2.5</v>
      </c>
      <c r="BL1415" s="2">
        <v>50.95</v>
      </c>
      <c r="BM1415" s="2">
        <v>7.13</v>
      </c>
      <c r="BN1415" s="2">
        <v>58.08</v>
      </c>
      <c r="BO1415" s="2">
        <v>58.08</v>
      </c>
      <c r="BP1415" s="2"/>
      <c r="BQ1415" s="2" t="s">
        <v>1733</v>
      </c>
      <c r="BR1415" s="2" t="s">
        <v>83</v>
      </c>
      <c r="BS1415" s="3">
        <v>42661</v>
      </c>
      <c r="BT1415" s="4">
        <v>0.43888888888888888</v>
      </c>
      <c r="BU1415" s="2" t="s">
        <v>1734</v>
      </c>
      <c r="BV1415" s="2" t="s">
        <v>85</v>
      </c>
      <c r="BW1415" s="2"/>
      <c r="BX1415" s="2"/>
      <c r="BY1415" s="2">
        <v>5042.3999999999996</v>
      </c>
      <c r="BZ1415" s="2"/>
      <c r="CA1415" s="2" t="s">
        <v>1193</v>
      </c>
      <c r="CB1415" s="2"/>
      <c r="CC1415" s="2" t="s">
        <v>161</v>
      </c>
      <c r="CD1415" s="2">
        <v>7490</v>
      </c>
      <c r="CE1415" s="2" t="s">
        <v>86</v>
      </c>
      <c r="CF1415" s="5">
        <v>42661</v>
      </c>
      <c r="CG1415" s="2"/>
      <c r="CH1415" s="2"/>
      <c r="CI1415" s="2">
        <v>1</v>
      </c>
      <c r="CJ1415" s="2">
        <v>1</v>
      </c>
      <c r="CK1415" s="2">
        <v>21</v>
      </c>
      <c r="CL1415" s="2" t="s">
        <v>88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"FES1162507249"</f>
        <v>FES1162507249</v>
      </c>
      <c r="F1416" s="3">
        <v>42660</v>
      </c>
      <c r="G1416" s="2">
        <v>201704</v>
      </c>
      <c r="H1416" s="2" t="s">
        <v>74</v>
      </c>
      <c r="I1416" s="2" t="s">
        <v>75</v>
      </c>
      <c r="J1416" s="2" t="s">
        <v>76</v>
      </c>
      <c r="K1416" s="2" t="s">
        <v>77</v>
      </c>
      <c r="L1416" s="2" t="s">
        <v>98</v>
      </c>
      <c r="M1416" s="2" t="s">
        <v>99</v>
      </c>
      <c r="N1416" s="2" t="s">
        <v>350</v>
      </c>
      <c r="O1416" s="2" t="s">
        <v>96</v>
      </c>
      <c r="P1416" s="2" t="str">
        <f>"2170530771                    "</f>
        <v xml:space="preserve">2170530771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3.32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1</v>
      </c>
      <c r="BJ1416" s="2">
        <v>0.2</v>
      </c>
      <c r="BK1416" s="2">
        <v>1</v>
      </c>
      <c r="BL1416" s="2">
        <v>40.76</v>
      </c>
      <c r="BM1416" s="2">
        <v>5.71</v>
      </c>
      <c r="BN1416" s="2">
        <v>46.47</v>
      </c>
      <c r="BO1416" s="2">
        <v>46.47</v>
      </c>
      <c r="BP1416" s="2"/>
      <c r="BQ1416" s="2" t="s">
        <v>351</v>
      </c>
      <c r="BR1416" s="2" t="s">
        <v>83</v>
      </c>
      <c r="BS1416" s="3">
        <v>42661</v>
      </c>
      <c r="BT1416" s="4">
        <v>0.375</v>
      </c>
      <c r="BU1416" s="2" t="s">
        <v>352</v>
      </c>
      <c r="BV1416" s="2" t="s">
        <v>85</v>
      </c>
      <c r="BW1416" s="2"/>
      <c r="BX1416" s="2"/>
      <c r="BY1416" s="2">
        <v>1200</v>
      </c>
      <c r="BZ1416" s="2"/>
      <c r="CA1416" s="2" t="s">
        <v>107</v>
      </c>
      <c r="CB1416" s="2"/>
      <c r="CC1416" s="2" t="s">
        <v>99</v>
      </c>
      <c r="CD1416" s="2">
        <v>6001</v>
      </c>
      <c r="CE1416" s="2" t="s">
        <v>108</v>
      </c>
      <c r="CF1416" s="5">
        <v>42661</v>
      </c>
      <c r="CG1416" s="2"/>
      <c r="CH1416" s="2"/>
      <c r="CI1416" s="2">
        <v>1</v>
      </c>
      <c r="CJ1416" s="2">
        <v>1</v>
      </c>
      <c r="CK1416" s="2">
        <v>21</v>
      </c>
      <c r="CL1416" s="2" t="s">
        <v>88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"FES1162507242"</f>
        <v>FES1162507242</v>
      </c>
      <c r="F1417" s="3">
        <v>42660</v>
      </c>
      <c r="G1417" s="2">
        <v>201704</v>
      </c>
      <c r="H1417" s="2" t="s">
        <v>74</v>
      </c>
      <c r="I1417" s="2" t="s">
        <v>75</v>
      </c>
      <c r="J1417" s="2" t="s">
        <v>76</v>
      </c>
      <c r="K1417" s="2" t="s">
        <v>77</v>
      </c>
      <c r="L1417" s="2" t="s">
        <v>98</v>
      </c>
      <c r="M1417" s="2" t="s">
        <v>99</v>
      </c>
      <c r="N1417" s="2" t="s">
        <v>133</v>
      </c>
      <c r="O1417" s="2" t="s">
        <v>96</v>
      </c>
      <c r="P1417" s="2" t="str">
        <f>"2170530760                    "</f>
        <v xml:space="preserve">2170530760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3.32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1</v>
      </c>
      <c r="BJ1417" s="2">
        <v>0.2</v>
      </c>
      <c r="BK1417" s="2">
        <v>1</v>
      </c>
      <c r="BL1417" s="2">
        <v>40.76</v>
      </c>
      <c r="BM1417" s="2">
        <v>5.71</v>
      </c>
      <c r="BN1417" s="2">
        <v>46.47</v>
      </c>
      <c r="BO1417" s="2">
        <v>46.47</v>
      </c>
      <c r="BP1417" s="2"/>
      <c r="BQ1417" s="2" t="s">
        <v>134</v>
      </c>
      <c r="BR1417" s="2" t="s">
        <v>83</v>
      </c>
      <c r="BS1417" s="3">
        <v>42661</v>
      </c>
      <c r="BT1417" s="4">
        <v>0.33333333333333331</v>
      </c>
      <c r="BU1417" s="2" t="s">
        <v>431</v>
      </c>
      <c r="BV1417" s="2" t="s">
        <v>85</v>
      </c>
      <c r="BW1417" s="2"/>
      <c r="BX1417" s="2"/>
      <c r="BY1417" s="2">
        <v>1200</v>
      </c>
      <c r="BZ1417" s="2"/>
      <c r="CA1417" s="2"/>
      <c r="CB1417" s="2"/>
      <c r="CC1417" s="2" t="s">
        <v>99</v>
      </c>
      <c r="CD1417" s="2">
        <v>6001</v>
      </c>
      <c r="CE1417" s="2" t="s">
        <v>108</v>
      </c>
      <c r="CF1417" s="5">
        <v>42662</v>
      </c>
      <c r="CG1417" s="2"/>
      <c r="CH1417" s="2"/>
      <c r="CI1417" s="2">
        <v>1</v>
      </c>
      <c r="CJ1417" s="2">
        <v>1</v>
      </c>
      <c r="CK1417" s="2">
        <v>21</v>
      </c>
      <c r="CL1417" s="2" t="s">
        <v>88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"FES1162507116"</f>
        <v>FES1162507116</v>
      </c>
      <c r="F1418" s="3">
        <v>42660</v>
      </c>
      <c r="G1418" s="2">
        <v>201704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160</v>
      </c>
      <c r="M1418" s="2" t="s">
        <v>161</v>
      </c>
      <c r="N1418" s="2" t="s">
        <v>176</v>
      </c>
      <c r="O1418" s="2" t="s">
        <v>96</v>
      </c>
      <c r="P1418" s="2" t="str">
        <f>"2170530637                    "</f>
        <v xml:space="preserve">2170530637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3.32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</v>
      </c>
      <c r="BJ1418" s="2">
        <v>0.2</v>
      </c>
      <c r="BK1418" s="2">
        <v>1</v>
      </c>
      <c r="BL1418" s="2">
        <v>40.76</v>
      </c>
      <c r="BM1418" s="2">
        <v>5.71</v>
      </c>
      <c r="BN1418" s="2">
        <v>46.47</v>
      </c>
      <c r="BO1418" s="2">
        <v>46.47</v>
      </c>
      <c r="BP1418" s="2"/>
      <c r="BQ1418" s="2" t="s">
        <v>258</v>
      </c>
      <c r="BR1418" s="2" t="s">
        <v>83</v>
      </c>
      <c r="BS1418" s="3">
        <v>42661</v>
      </c>
      <c r="BT1418" s="4">
        <v>0.41666666666666669</v>
      </c>
      <c r="BU1418" s="2" t="s">
        <v>1735</v>
      </c>
      <c r="BV1418" s="2" t="s">
        <v>85</v>
      </c>
      <c r="BW1418" s="2"/>
      <c r="BX1418" s="2"/>
      <c r="BY1418" s="2">
        <v>1200</v>
      </c>
      <c r="BZ1418" s="2"/>
      <c r="CA1418" s="2"/>
      <c r="CB1418" s="2"/>
      <c r="CC1418" s="2" t="s">
        <v>161</v>
      </c>
      <c r="CD1418" s="2">
        <v>7405</v>
      </c>
      <c r="CE1418" s="2" t="s">
        <v>108</v>
      </c>
      <c r="CF1418" s="5">
        <v>42662</v>
      </c>
      <c r="CG1418" s="2"/>
      <c r="CH1418" s="2"/>
      <c r="CI1418" s="2">
        <v>1</v>
      </c>
      <c r="CJ1418" s="2">
        <v>1</v>
      </c>
      <c r="CK1418" s="2">
        <v>21</v>
      </c>
      <c r="CL1418" s="2" t="s">
        <v>88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"FES1162507165"</f>
        <v>FES1162507165</v>
      </c>
      <c r="F1419" s="3">
        <v>42660</v>
      </c>
      <c r="G1419" s="2">
        <v>201704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160</v>
      </c>
      <c r="M1419" s="2" t="s">
        <v>161</v>
      </c>
      <c r="N1419" s="2" t="s">
        <v>643</v>
      </c>
      <c r="O1419" s="2" t="s">
        <v>96</v>
      </c>
      <c r="P1419" s="2" t="str">
        <f>"2170530667                    "</f>
        <v xml:space="preserve">2170530667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3.32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1</v>
      </c>
      <c r="BJ1419" s="2">
        <v>0.2</v>
      </c>
      <c r="BK1419" s="2">
        <v>1</v>
      </c>
      <c r="BL1419" s="2">
        <v>40.76</v>
      </c>
      <c r="BM1419" s="2">
        <v>5.71</v>
      </c>
      <c r="BN1419" s="2">
        <v>46.47</v>
      </c>
      <c r="BO1419" s="2">
        <v>46.47</v>
      </c>
      <c r="BP1419" s="2"/>
      <c r="BQ1419" s="2" t="s">
        <v>644</v>
      </c>
      <c r="BR1419" s="2" t="s">
        <v>83</v>
      </c>
      <c r="BS1419" s="3">
        <v>42661</v>
      </c>
      <c r="BT1419" s="4">
        <v>0.41666666666666669</v>
      </c>
      <c r="BU1419" s="2" t="s">
        <v>1700</v>
      </c>
      <c r="BV1419" s="2" t="s">
        <v>85</v>
      </c>
      <c r="BW1419" s="2"/>
      <c r="BX1419" s="2"/>
      <c r="BY1419" s="2">
        <v>1200</v>
      </c>
      <c r="BZ1419" s="2"/>
      <c r="CA1419" s="2"/>
      <c r="CB1419" s="2"/>
      <c r="CC1419" s="2" t="s">
        <v>161</v>
      </c>
      <c r="CD1419" s="2">
        <v>7925</v>
      </c>
      <c r="CE1419" s="2" t="s">
        <v>108</v>
      </c>
      <c r="CF1419" s="5">
        <v>42662</v>
      </c>
      <c r="CG1419" s="2"/>
      <c r="CH1419" s="2"/>
      <c r="CI1419" s="2">
        <v>1</v>
      </c>
      <c r="CJ1419" s="2">
        <v>1</v>
      </c>
      <c r="CK1419" s="2">
        <v>21</v>
      </c>
      <c r="CL1419" s="2" t="s">
        <v>88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"FES1162507236"</f>
        <v>FES1162507236</v>
      </c>
      <c r="F1420" s="3">
        <v>42660</v>
      </c>
      <c r="G1420" s="2">
        <v>201704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510</v>
      </c>
      <c r="M1420" s="2" t="s">
        <v>511</v>
      </c>
      <c r="N1420" s="2" t="s">
        <v>982</v>
      </c>
      <c r="O1420" s="2" t="s">
        <v>96</v>
      </c>
      <c r="P1420" s="2" t="str">
        <f>"2170530750                    "</f>
        <v xml:space="preserve">2170530750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3.32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0.2</v>
      </c>
      <c r="BK1420" s="2">
        <v>1</v>
      </c>
      <c r="BL1420" s="2">
        <v>40.76</v>
      </c>
      <c r="BM1420" s="2">
        <v>5.71</v>
      </c>
      <c r="BN1420" s="2">
        <v>46.47</v>
      </c>
      <c r="BO1420" s="2">
        <v>46.47</v>
      </c>
      <c r="BP1420" s="2"/>
      <c r="BQ1420" s="2" t="s">
        <v>983</v>
      </c>
      <c r="BR1420" s="2" t="s">
        <v>83</v>
      </c>
      <c r="BS1420" s="3">
        <v>42661</v>
      </c>
      <c r="BT1420" s="4">
        <v>0.4291666666666667</v>
      </c>
      <c r="BU1420" s="2" t="s">
        <v>1229</v>
      </c>
      <c r="BV1420" s="2" t="s">
        <v>85</v>
      </c>
      <c r="BW1420" s="2"/>
      <c r="BX1420" s="2"/>
      <c r="BY1420" s="2">
        <v>1200</v>
      </c>
      <c r="BZ1420" s="2"/>
      <c r="CA1420" s="2" t="s">
        <v>1736</v>
      </c>
      <c r="CB1420" s="2"/>
      <c r="CC1420" s="2" t="s">
        <v>511</v>
      </c>
      <c r="CD1420" s="2">
        <v>3290</v>
      </c>
      <c r="CE1420" s="2" t="s">
        <v>108</v>
      </c>
      <c r="CF1420" s="5">
        <v>42661</v>
      </c>
      <c r="CG1420" s="2"/>
      <c r="CH1420" s="2"/>
      <c r="CI1420" s="2">
        <v>1</v>
      </c>
      <c r="CJ1420" s="2">
        <v>1</v>
      </c>
      <c r="CK1420" s="2">
        <v>21</v>
      </c>
      <c r="CL1420" s="2" t="s">
        <v>88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"FES1162507161"</f>
        <v>FES1162507161</v>
      </c>
      <c r="F1421" s="3">
        <v>42660</v>
      </c>
      <c r="G1421" s="2">
        <v>201704</v>
      </c>
      <c r="H1421" s="2" t="s">
        <v>74</v>
      </c>
      <c r="I1421" s="2" t="s">
        <v>75</v>
      </c>
      <c r="J1421" s="2" t="s">
        <v>76</v>
      </c>
      <c r="K1421" s="2" t="s">
        <v>77</v>
      </c>
      <c r="L1421" s="2" t="s">
        <v>253</v>
      </c>
      <c r="M1421" s="2" t="s">
        <v>254</v>
      </c>
      <c r="N1421" s="2" t="s">
        <v>255</v>
      </c>
      <c r="O1421" s="2" t="s">
        <v>96</v>
      </c>
      <c r="P1421" s="2" t="str">
        <f>"2170530501                    "</f>
        <v xml:space="preserve">2170530501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6.43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</v>
      </c>
      <c r="BJ1421" s="2">
        <v>0.2</v>
      </c>
      <c r="BK1421" s="2">
        <v>1</v>
      </c>
      <c r="BL1421" s="2">
        <v>78.97</v>
      </c>
      <c r="BM1421" s="2">
        <v>11.06</v>
      </c>
      <c r="BN1421" s="2">
        <v>90.03</v>
      </c>
      <c r="BO1421" s="2">
        <v>90.03</v>
      </c>
      <c r="BP1421" s="2"/>
      <c r="BQ1421" s="2" t="s">
        <v>117</v>
      </c>
      <c r="BR1421" s="2" t="s">
        <v>83</v>
      </c>
      <c r="BS1421" s="3">
        <v>42661</v>
      </c>
      <c r="BT1421" s="4">
        <v>0.52083333333333337</v>
      </c>
      <c r="BU1421" s="2" t="s">
        <v>974</v>
      </c>
      <c r="BV1421" s="2" t="s">
        <v>85</v>
      </c>
      <c r="BW1421" s="2"/>
      <c r="BX1421" s="2"/>
      <c r="BY1421" s="2">
        <v>1200</v>
      </c>
      <c r="BZ1421" s="2"/>
      <c r="CA1421" s="2"/>
      <c r="CB1421" s="2"/>
      <c r="CC1421" s="2" t="s">
        <v>254</v>
      </c>
      <c r="CD1421" s="2">
        <v>3370</v>
      </c>
      <c r="CE1421" s="2" t="s">
        <v>108</v>
      </c>
      <c r="CF1421" s="5">
        <v>42663</v>
      </c>
      <c r="CG1421" s="2"/>
      <c r="CH1421" s="2"/>
      <c r="CI1421" s="2">
        <v>3</v>
      </c>
      <c r="CJ1421" s="2">
        <v>1</v>
      </c>
      <c r="CK1421" s="2">
        <v>23</v>
      </c>
      <c r="CL1421" s="2" t="s">
        <v>88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"FES1162507090"</f>
        <v>FES1162507090</v>
      </c>
      <c r="F1422" s="3">
        <v>42660</v>
      </c>
      <c r="G1422" s="2">
        <v>201704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269</v>
      </c>
      <c r="M1422" s="2" t="s">
        <v>270</v>
      </c>
      <c r="N1422" s="2" t="s">
        <v>1737</v>
      </c>
      <c r="O1422" s="2" t="s">
        <v>96</v>
      </c>
      <c r="P1422" s="2" t="str">
        <f>"2170530604                    "</f>
        <v xml:space="preserve">2170530604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3.32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1</v>
      </c>
      <c r="BJ1422" s="2">
        <v>0.5</v>
      </c>
      <c r="BK1422" s="2">
        <v>1</v>
      </c>
      <c r="BL1422" s="2">
        <v>40.76</v>
      </c>
      <c r="BM1422" s="2">
        <v>5.71</v>
      </c>
      <c r="BN1422" s="2">
        <v>46.47</v>
      </c>
      <c r="BO1422" s="2">
        <v>46.47</v>
      </c>
      <c r="BP1422" s="2"/>
      <c r="BQ1422" s="2" t="s">
        <v>91</v>
      </c>
      <c r="BR1422" s="2" t="s">
        <v>83</v>
      </c>
      <c r="BS1422" s="3">
        <v>42661</v>
      </c>
      <c r="BT1422" s="4">
        <v>0.37847222222222227</v>
      </c>
      <c r="BU1422" s="2" t="s">
        <v>1738</v>
      </c>
      <c r="BV1422" s="2" t="s">
        <v>85</v>
      </c>
      <c r="BW1422" s="2"/>
      <c r="BX1422" s="2"/>
      <c r="BY1422" s="2">
        <v>2400</v>
      </c>
      <c r="BZ1422" s="2"/>
      <c r="CA1422" s="2"/>
      <c r="CB1422" s="2"/>
      <c r="CC1422" s="2" t="s">
        <v>270</v>
      </c>
      <c r="CD1422" s="2">
        <v>3610</v>
      </c>
      <c r="CE1422" s="2" t="s">
        <v>108</v>
      </c>
      <c r="CF1422" s="5">
        <v>42662</v>
      </c>
      <c r="CG1422" s="2"/>
      <c r="CH1422" s="2"/>
      <c r="CI1422" s="2">
        <v>1</v>
      </c>
      <c r="CJ1422" s="2">
        <v>1</v>
      </c>
      <c r="CK1422" s="2">
        <v>21</v>
      </c>
      <c r="CL1422" s="2" t="s">
        <v>88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"FES1162507172"</f>
        <v>FES1162507172</v>
      </c>
      <c r="F1423" s="3">
        <v>42660</v>
      </c>
      <c r="G1423" s="2">
        <v>201704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218</v>
      </c>
      <c r="M1423" s="2" t="s">
        <v>219</v>
      </c>
      <c r="N1423" s="2" t="s">
        <v>691</v>
      </c>
      <c r="O1423" s="2" t="s">
        <v>96</v>
      </c>
      <c r="P1423" s="2" t="str">
        <f>"2170530676                    "</f>
        <v xml:space="preserve">2170530676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3.32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1</v>
      </c>
      <c r="BJ1423" s="2">
        <v>0.2</v>
      </c>
      <c r="BK1423" s="2">
        <v>1</v>
      </c>
      <c r="BL1423" s="2">
        <v>40.76</v>
      </c>
      <c r="BM1423" s="2">
        <v>5.71</v>
      </c>
      <c r="BN1423" s="2">
        <v>46.47</v>
      </c>
      <c r="BO1423" s="2">
        <v>46.47</v>
      </c>
      <c r="BP1423" s="2"/>
      <c r="BQ1423" s="2" t="s">
        <v>692</v>
      </c>
      <c r="BR1423" s="2" t="s">
        <v>83</v>
      </c>
      <c r="BS1423" s="3">
        <v>42661</v>
      </c>
      <c r="BT1423" s="4">
        <v>0.4513888888888889</v>
      </c>
      <c r="BU1423" s="2" t="s">
        <v>636</v>
      </c>
      <c r="BV1423" s="2" t="s">
        <v>85</v>
      </c>
      <c r="BW1423" s="2"/>
      <c r="BX1423" s="2"/>
      <c r="BY1423" s="2">
        <v>1200</v>
      </c>
      <c r="BZ1423" s="2"/>
      <c r="CA1423" s="2"/>
      <c r="CB1423" s="2"/>
      <c r="CC1423" s="2" t="s">
        <v>219</v>
      </c>
      <c r="CD1423" s="2">
        <v>7599</v>
      </c>
      <c r="CE1423" s="2" t="s">
        <v>108</v>
      </c>
      <c r="CF1423" s="5">
        <v>42662</v>
      </c>
      <c r="CG1423" s="2"/>
      <c r="CH1423" s="2"/>
      <c r="CI1423" s="2">
        <v>1</v>
      </c>
      <c r="CJ1423" s="2">
        <v>1</v>
      </c>
      <c r="CK1423" s="2">
        <v>21</v>
      </c>
      <c r="CL1423" s="2" t="s">
        <v>88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"FES1162507138"</f>
        <v>FES1162507138</v>
      </c>
      <c r="F1424" s="3">
        <v>42660</v>
      </c>
      <c r="G1424" s="2">
        <v>201704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148</v>
      </c>
      <c r="M1424" s="2" t="s">
        <v>149</v>
      </c>
      <c r="N1424" s="2" t="s">
        <v>1739</v>
      </c>
      <c r="O1424" s="2" t="s">
        <v>96</v>
      </c>
      <c r="P1424" s="2" t="str">
        <f>"2170526350                    "</f>
        <v xml:space="preserve">2170526350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3.32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1</v>
      </c>
      <c r="BJ1424" s="2">
        <v>0.2</v>
      </c>
      <c r="BK1424" s="2">
        <v>1</v>
      </c>
      <c r="BL1424" s="2">
        <v>40.76</v>
      </c>
      <c r="BM1424" s="2">
        <v>5.71</v>
      </c>
      <c r="BN1424" s="2">
        <v>46.47</v>
      </c>
      <c r="BO1424" s="2">
        <v>46.47</v>
      </c>
      <c r="BP1424" s="2"/>
      <c r="BQ1424" s="2"/>
      <c r="BR1424" s="2" t="s">
        <v>83</v>
      </c>
      <c r="BS1424" s="3">
        <v>42661</v>
      </c>
      <c r="BT1424" s="4">
        <v>0.4375</v>
      </c>
      <c r="BU1424" s="2" t="s">
        <v>1740</v>
      </c>
      <c r="BV1424" s="2"/>
      <c r="BW1424" s="2"/>
      <c r="BX1424" s="2"/>
      <c r="BY1424" s="2">
        <v>1200</v>
      </c>
      <c r="BZ1424" s="2"/>
      <c r="CA1424" s="2" t="s">
        <v>129</v>
      </c>
      <c r="CB1424" s="2"/>
      <c r="CC1424" s="2" t="s">
        <v>149</v>
      </c>
      <c r="CD1424" s="2">
        <v>4000</v>
      </c>
      <c r="CE1424" s="2" t="s">
        <v>108</v>
      </c>
      <c r="CF1424" s="5">
        <v>42662</v>
      </c>
      <c r="CG1424" s="2"/>
      <c r="CH1424" s="2"/>
      <c r="CI1424" s="2">
        <v>0</v>
      </c>
      <c r="CJ1424" s="2">
        <v>0</v>
      </c>
      <c r="CK1424" s="2">
        <v>21</v>
      </c>
      <c r="CL1424" s="2" t="s">
        <v>88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"FES1162507141"</f>
        <v>FES1162507141</v>
      </c>
      <c r="F1425" s="3">
        <v>42660</v>
      </c>
      <c r="G1425" s="2">
        <v>201704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269</v>
      </c>
      <c r="M1425" s="2" t="s">
        <v>270</v>
      </c>
      <c r="N1425" s="2" t="s">
        <v>804</v>
      </c>
      <c r="O1425" s="2" t="s">
        <v>96</v>
      </c>
      <c r="P1425" s="2" t="str">
        <f>"2170528225                    "</f>
        <v xml:space="preserve">2170528225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3.32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</v>
      </c>
      <c r="BJ1425" s="2">
        <v>0.2</v>
      </c>
      <c r="BK1425" s="2">
        <v>1</v>
      </c>
      <c r="BL1425" s="2">
        <v>40.76</v>
      </c>
      <c r="BM1425" s="2">
        <v>5.71</v>
      </c>
      <c r="BN1425" s="2">
        <v>46.47</v>
      </c>
      <c r="BO1425" s="2">
        <v>46.47</v>
      </c>
      <c r="BP1425" s="2"/>
      <c r="BQ1425" s="2" t="s">
        <v>805</v>
      </c>
      <c r="BR1425" s="2" t="s">
        <v>83</v>
      </c>
      <c r="BS1425" s="3">
        <v>42661</v>
      </c>
      <c r="BT1425" s="4">
        <v>0.30555555555555552</v>
      </c>
      <c r="BU1425" s="2" t="s">
        <v>1702</v>
      </c>
      <c r="BV1425" s="2" t="s">
        <v>85</v>
      </c>
      <c r="BW1425" s="2"/>
      <c r="BX1425" s="2"/>
      <c r="BY1425" s="2">
        <v>1200</v>
      </c>
      <c r="BZ1425" s="2"/>
      <c r="CA1425" s="2"/>
      <c r="CB1425" s="2"/>
      <c r="CC1425" s="2" t="s">
        <v>270</v>
      </c>
      <c r="CD1425" s="2">
        <v>3610</v>
      </c>
      <c r="CE1425" s="2" t="s">
        <v>108</v>
      </c>
      <c r="CF1425" s="5">
        <v>42662</v>
      </c>
      <c r="CG1425" s="2"/>
      <c r="CH1425" s="2"/>
      <c r="CI1425" s="2">
        <v>1</v>
      </c>
      <c r="CJ1425" s="2">
        <v>1</v>
      </c>
      <c r="CK1425" s="2">
        <v>21</v>
      </c>
      <c r="CL1425" s="2" t="s">
        <v>88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"FES1162507149"</f>
        <v>FES1162507149</v>
      </c>
      <c r="F1426" s="3">
        <v>42660</v>
      </c>
      <c r="G1426" s="2">
        <v>201704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160</v>
      </c>
      <c r="M1426" s="2" t="s">
        <v>161</v>
      </c>
      <c r="N1426" s="2" t="s">
        <v>179</v>
      </c>
      <c r="O1426" s="2" t="s">
        <v>96</v>
      </c>
      <c r="P1426" s="2" t="str">
        <f>"2170529994                    "</f>
        <v xml:space="preserve">2170529994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3.32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1</v>
      </c>
      <c r="BJ1426" s="2">
        <v>0.2</v>
      </c>
      <c r="BK1426" s="2">
        <v>1</v>
      </c>
      <c r="BL1426" s="2">
        <v>40.76</v>
      </c>
      <c r="BM1426" s="2">
        <v>5.71</v>
      </c>
      <c r="BN1426" s="2">
        <v>46.47</v>
      </c>
      <c r="BO1426" s="2">
        <v>46.47</v>
      </c>
      <c r="BP1426" s="2"/>
      <c r="BQ1426" s="2" t="s">
        <v>180</v>
      </c>
      <c r="BR1426" s="2" t="s">
        <v>83</v>
      </c>
      <c r="BS1426" s="3">
        <v>42661</v>
      </c>
      <c r="BT1426" s="4">
        <v>0.41666666666666669</v>
      </c>
      <c r="BU1426" s="2" t="s">
        <v>1711</v>
      </c>
      <c r="BV1426" s="2" t="s">
        <v>85</v>
      </c>
      <c r="BW1426" s="2"/>
      <c r="BX1426" s="2"/>
      <c r="BY1426" s="2">
        <v>1200</v>
      </c>
      <c r="BZ1426" s="2"/>
      <c r="CA1426" s="2"/>
      <c r="CB1426" s="2"/>
      <c r="CC1426" s="2" t="s">
        <v>161</v>
      </c>
      <c r="CD1426" s="2">
        <v>7405</v>
      </c>
      <c r="CE1426" s="2" t="s">
        <v>108</v>
      </c>
      <c r="CF1426" s="5">
        <v>42662</v>
      </c>
      <c r="CG1426" s="2"/>
      <c r="CH1426" s="2"/>
      <c r="CI1426" s="2">
        <v>1</v>
      </c>
      <c r="CJ1426" s="2">
        <v>1</v>
      </c>
      <c r="CK1426" s="2">
        <v>21</v>
      </c>
      <c r="CL1426" s="2" t="s">
        <v>88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"FES1162507262"</f>
        <v>FES1162507262</v>
      </c>
      <c r="F1427" s="3">
        <v>42660</v>
      </c>
      <c r="G1427" s="2">
        <v>201704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148</v>
      </c>
      <c r="M1427" s="2" t="s">
        <v>149</v>
      </c>
      <c r="N1427" s="2" t="s">
        <v>809</v>
      </c>
      <c r="O1427" s="2" t="s">
        <v>96</v>
      </c>
      <c r="P1427" s="2" t="str">
        <f>"2170530730                    "</f>
        <v xml:space="preserve">2170530730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22.39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13.3</v>
      </c>
      <c r="BJ1427" s="2">
        <v>3.6</v>
      </c>
      <c r="BK1427" s="2">
        <v>13.5</v>
      </c>
      <c r="BL1427" s="2">
        <v>275.11</v>
      </c>
      <c r="BM1427" s="2">
        <v>38.520000000000003</v>
      </c>
      <c r="BN1427" s="2">
        <v>313.63</v>
      </c>
      <c r="BO1427" s="2">
        <v>313.63</v>
      </c>
      <c r="BP1427" s="2"/>
      <c r="BQ1427" s="2" t="s">
        <v>91</v>
      </c>
      <c r="BR1427" s="2" t="s">
        <v>83</v>
      </c>
      <c r="BS1427" s="3">
        <v>42661</v>
      </c>
      <c r="BT1427" s="4">
        <v>0.4375</v>
      </c>
      <c r="BU1427" s="2" t="s">
        <v>1741</v>
      </c>
      <c r="BV1427" s="2" t="s">
        <v>85</v>
      </c>
      <c r="BW1427" s="2"/>
      <c r="BX1427" s="2"/>
      <c r="BY1427" s="2">
        <v>18212.04</v>
      </c>
      <c r="BZ1427" s="2"/>
      <c r="CA1427" s="2"/>
      <c r="CB1427" s="2"/>
      <c r="CC1427" s="2" t="s">
        <v>149</v>
      </c>
      <c r="CD1427" s="2">
        <v>4094</v>
      </c>
      <c r="CE1427" s="2" t="s">
        <v>86</v>
      </c>
      <c r="CF1427" s="5">
        <v>42662</v>
      </c>
      <c r="CG1427" s="2"/>
      <c r="CH1427" s="2"/>
      <c r="CI1427" s="2">
        <v>1</v>
      </c>
      <c r="CJ1427" s="2">
        <v>1</v>
      </c>
      <c r="CK1427" s="2">
        <v>21</v>
      </c>
      <c r="CL1427" s="2" t="s">
        <v>88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"FES1162504049"</f>
        <v>FES1162504049</v>
      </c>
      <c r="F1428" s="3">
        <v>42660</v>
      </c>
      <c r="G1428" s="2">
        <v>201704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160</v>
      </c>
      <c r="M1428" s="2" t="s">
        <v>161</v>
      </c>
      <c r="N1428" s="2" t="s">
        <v>1742</v>
      </c>
      <c r="O1428" s="2" t="s">
        <v>96</v>
      </c>
      <c r="P1428" s="2" t="str">
        <f>"2170527391                    "</f>
        <v xml:space="preserve">2170527391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3.32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1</v>
      </c>
      <c r="BJ1428" s="2">
        <v>0.9</v>
      </c>
      <c r="BK1428" s="2">
        <v>1</v>
      </c>
      <c r="BL1428" s="2">
        <v>40.76</v>
      </c>
      <c r="BM1428" s="2">
        <v>5.71</v>
      </c>
      <c r="BN1428" s="2">
        <v>46.47</v>
      </c>
      <c r="BO1428" s="2">
        <v>46.47</v>
      </c>
      <c r="BP1428" s="2"/>
      <c r="BQ1428" s="2" t="s">
        <v>168</v>
      </c>
      <c r="BR1428" s="2" t="s">
        <v>83</v>
      </c>
      <c r="BS1428" s="3">
        <v>42661</v>
      </c>
      <c r="BT1428" s="4">
        <v>0.43124999999999997</v>
      </c>
      <c r="BU1428" s="2" t="s">
        <v>1743</v>
      </c>
      <c r="BV1428" s="2" t="s">
        <v>85</v>
      </c>
      <c r="BW1428" s="2"/>
      <c r="BX1428" s="2"/>
      <c r="BY1428" s="2">
        <v>4350</v>
      </c>
      <c r="BZ1428" s="2"/>
      <c r="CA1428" s="2"/>
      <c r="CB1428" s="2"/>
      <c r="CC1428" s="2" t="s">
        <v>161</v>
      </c>
      <c r="CD1428" s="2">
        <v>7580</v>
      </c>
      <c r="CE1428" s="2" t="s">
        <v>86</v>
      </c>
      <c r="CF1428" s="5">
        <v>42662</v>
      </c>
      <c r="CG1428" s="2"/>
      <c r="CH1428" s="2"/>
      <c r="CI1428" s="2">
        <v>1</v>
      </c>
      <c r="CJ1428" s="2">
        <v>1</v>
      </c>
      <c r="CK1428" s="2">
        <v>21</v>
      </c>
      <c r="CL1428" s="2" t="s">
        <v>88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"FES1162507183"</f>
        <v>FES1162507183</v>
      </c>
      <c r="F1429" s="3">
        <v>42660</v>
      </c>
      <c r="G1429" s="2">
        <v>201704</v>
      </c>
      <c r="H1429" s="2" t="s">
        <v>74</v>
      </c>
      <c r="I1429" s="2" t="s">
        <v>75</v>
      </c>
      <c r="J1429" s="2" t="s">
        <v>76</v>
      </c>
      <c r="K1429" s="2" t="s">
        <v>77</v>
      </c>
      <c r="L1429" s="2" t="s">
        <v>260</v>
      </c>
      <c r="M1429" s="2" t="s">
        <v>261</v>
      </c>
      <c r="N1429" s="2" t="s">
        <v>1744</v>
      </c>
      <c r="O1429" s="2" t="s">
        <v>96</v>
      </c>
      <c r="P1429" s="2" t="str">
        <f>"2170530687                    "</f>
        <v xml:space="preserve">2170530687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3.32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2</v>
      </c>
      <c r="BJ1429" s="2">
        <v>1</v>
      </c>
      <c r="BK1429" s="2">
        <v>2</v>
      </c>
      <c r="BL1429" s="2">
        <v>40.76</v>
      </c>
      <c r="BM1429" s="2">
        <v>5.71</v>
      </c>
      <c r="BN1429" s="2">
        <v>46.47</v>
      </c>
      <c r="BO1429" s="2">
        <v>46.47</v>
      </c>
      <c r="BP1429" s="2"/>
      <c r="BQ1429" s="2" t="s">
        <v>91</v>
      </c>
      <c r="BR1429" s="2" t="s">
        <v>83</v>
      </c>
      <c r="BS1429" s="3">
        <v>42661</v>
      </c>
      <c r="BT1429" s="4">
        <v>0.44236111111111115</v>
      </c>
      <c r="BU1429" s="2" t="s">
        <v>1745</v>
      </c>
      <c r="BV1429" s="2" t="s">
        <v>85</v>
      </c>
      <c r="BW1429" s="2"/>
      <c r="BX1429" s="2"/>
      <c r="BY1429" s="2">
        <v>4945.1499999999996</v>
      </c>
      <c r="BZ1429" s="2"/>
      <c r="CA1429" s="2" t="s">
        <v>451</v>
      </c>
      <c r="CB1429" s="2"/>
      <c r="CC1429" s="2" t="s">
        <v>261</v>
      </c>
      <c r="CD1429" s="2">
        <v>6850</v>
      </c>
      <c r="CE1429" s="2" t="s">
        <v>86</v>
      </c>
      <c r="CF1429" s="5">
        <v>42661</v>
      </c>
      <c r="CG1429" s="2"/>
      <c r="CH1429" s="2"/>
      <c r="CI1429" s="2">
        <v>3</v>
      </c>
      <c r="CJ1429" s="2">
        <v>1</v>
      </c>
      <c r="CK1429" s="2">
        <v>21</v>
      </c>
      <c r="CL1429" s="2" t="s">
        <v>88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"FES1162507273"</f>
        <v>FES1162507273</v>
      </c>
      <c r="F1430" s="3">
        <v>42660</v>
      </c>
      <c r="G1430" s="2">
        <v>201704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143</v>
      </c>
      <c r="M1430" s="2" t="s">
        <v>144</v>
      </c>
      <c r="N1430" s="2" t="s">
        <v>1018</v>
      </c>
      <c r="O1430" s="2" t="s">
        <v>96</v>
      </c>
      <c r="P1430" s="2" t="str">
        <f>"2170530800                    "</f>
        <v xml:space="preserve">2170530800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3.32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1</v>
      </c>
      <c r="BJ1430" s="2">
        <v>0.2</v>
      </c>
      <c r="BK1430" s="2">
        <v>1</v>
      </c>
      <c r="BL1430" s="2">
        <v>40.76</v>
      </c>
      <c r="BM1430" s="2">
        <v>5.71</v>
      </c>
      <c r="BN1430" s="2">
        <v>46.47</v>
      </c>
      <c r="BO1430" s="2">
        <v>46.47</v>
      </c>
      <c r="BP1430" s="2"/>
      <c r="BQ1430" s="2" t="s">
        <v>91</v>
      </c>
      <c r="BR1430" s="2" t="s">
        <v>83</v>
      </c>
      <c r="BS1430" s="3">
        <v>42661</v>
      </c>
      <c r="BT1430" s="4">
        <v>0.41666666666666669</v>
      </c>
      <c r="BU1430" s="2" t="s">
        <v>1746</v>
      </c>
      <c r="BV1430" s="2"/>
      <c r="BW1430" s="2"/>
      <c r="BX1430" s="2"/>
      <c r="BY1430" s="2">
        <v>1200</v>
      </c>
      <c r="BZ1430" s="2"/>
      <c r="CA1430" s="2"/>
      <c r="CB1430" s="2"/>
      <c r="CC1430" s="2" t="s">
        <v>144</v>
      </c>
      <c r="CD1430" s="2">
        <v>5201</v>
      </c>
      <c r="CE1430" s="2" t="s">
        <v>108</v>
      </c>
      <c r="CF1430" s="5">
        <v>42662</v>
      </c>
      <c r="CG1430" s="2"/>
      <c r="CH1430" s="2"/>
      <c r="CI1430" s="2">
        <v>0</v>
      </c>
      <c r="CJ1430" s="2">
        <v>0</v>
      </c>
      <c r="CK1430" s="2">
        <v>21</v>
      </c>
      <c r="CL1430" s="2" t="s">
        <v>88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"FES1162507132"</f>
        <v>FES1162507132</v>
      </c>
      <c r="F1431" s="3">
        <v>42660</v>
      </c>
      <c r="G1431" s="2">
        <v>201704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137</v>
      </c>
      <c r="M1431" s="2" t="s">
        <v>138</v>
      </c>
      <c r="N1431" s="2" t="s">
        <v>291</v>
      </c>
      <c r="O1431" s="2" t="s">
        <v>96</v>
      </c>
      <c r="P1431" s="2" t="str">
        <f>"2170519668                    "</f>
        <v xml:space="preserve">2170519668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3.32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1</v>
      </c>
      <c r="BJ1431" s="2">
        <v>0.2</v>
      </c>
      <c r="BK1431" s="2">
        <v>1</v>
      </c>
      <c r="BL1431" s="2">
        <v>40.76</v>
      </c>
      <c r="BM1431" s="2">
        <v>5.71</v>
      </c>
      <c r="BN1431" s="2">
        <v>46.47</v>
      </c>
      <c r="BO1431" s="2">
        <v>46.47</v>
      </c>
      <c r="BP1431" s="2"/>
      <c r="BQ1431" s="2" t="s">
        <v>117</v>
      </c>
      <c r="BR1431" s="2" t="s">
        <v>83</v>
      </c>
      <c r="BS1431" s="3">
        <v>42661</v>
      </c>
      <c r="BT1431" s="4">
        <v>0.39374999999999999</v>
      </c>
      <c r="BU1431" s="2" t="s">
        <v>781</v>
      </c>
      <c r="BV1431" s="2"/>
      <c r="BW1431" s="2"/>
      <c r="BX1431" s="2"/>
      <c r="BY1431" s="2">
        <v>1200</v>
      </c>
      <c r="BZ1431" s="2"/>
      <c r="CA1431" s="2" t="s">
        <v>613</v>
      </c>
      <c r="CB1431" s="2"/>
      <c r="CC1431" s="2" t="s">
        <v>138</v>
      </c>
      <c r="CD1431" s="2">
        <v>3201</v>
      </c>
      <c r="CE1431" s="2" t="s">
        <v>108</v>
      </c>
      <c r="CF1431" s="5">
        <v>42662</v>
      </c>
      <c r="CG1431" s="2"/>
      <c r="CH1431" s="2"/>
      <c r="CI1431" s="2">
        <v>0</v>
      </c>
      <c r="CJ1431" s="2">
        <v>0</v>
      </c>
      <c r="CK1431" s="2">
        <v>21</v>
      </c>
      <c r="CL1431" s="2" t="s">
        <v>88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"FES1162507156"</f>
        <v>FES1162507156</v>
      </c>
      <c r="F1432" s="3">
        <v>42660</v>
      </c>
      <c r="G1432" s="2">
        <v>201704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153</v>
      </c>
      <c r="M1432" s="2" t="s">
        <v>153</v>
      </c>
      <c r="N1432" s="2" t="s">
        <v>343</v>
      </c>
      <c r="O1432" s="2" t="s">
        <v>96</v>
      </c>
      <c r="P1432" s="2" t="str">
        <f>"217053403                     "</f>
        <v xml:space="preserve">217053403 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3.32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1.2</v>
      </c>
      <c r="BJ1432" s="2">
        <v>1</v>
      </c>
      <c r="BK1432" s="2">
        <v>1.5</v>
      </c>
      <c r="BL1432" s="2">
        <v>40.76</v>
      </c>
      <c r="BM1432" s="2">
        <v>5.71</v>
      </c>
      <c r="BN1432" s="2">
        <v>46.47</v>
      </c>
      <c r="BO1432" s="2">
        <v>46.47</v>
      </c>
      <c r="BP1432" s="2"/>
      <c r="BQ1432" s="2" t="s">
        <v>344</v>
      </c>
      <c r="BR1432" s="2" t="s">
        <v>83</v>
      </c>
      <c r="BS1432" s="3">
        <v>42661</v>
      </c>
      <c r="BT1432" s="4">
        <v>0.51597222222222217</v>
      </c>
      <c r="BU1432" s="2" t="s">
        <v>1089</v>
      </c>
      <c r="BV1432" s="2" t="s">
        <v>85</v>
      </c>
      <c r="BW1432" s="2"/>
      <c r="BX1432" s="2"/>
      <c r="BY1432" s="2">
        <v>5005.7299999999996</v>
      </c>
      <c r="BZ1432" s="2"/>
      <c r="CA1432" s="2"/>
      <c r="CB1432" s="2"/>
      <c r="CC1432" s="2" t="s">
        <v>153</v>
      </c>
      <c r="CD1432" s="2">
        <v>7646</v>
      </c>
      <c r="CE1432" s="2" t="s">
        <v>86</v>
      </c>
      <c r="CF1432" s="5">
        <v>42662</v>
      </c>
      <c r="CG1432" s="2"/>
      <c r="CH1432" s="2"/>
      <c r="CI1432" s="2">
        <v>1</v>
      </c>
      <c r="CJ1432" s="2">
        <v>1</v>
      </c>
      <c r="CK1432" s="2">
        <v>21</v>
      </c>
      <c r="CL1432" s="2" t="s">
        <v>88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"FES1162507211"</f>
        <v>FES1162507211</v>
      </c>
      <c r="F1433" s="3">
        <v>42660</v>
      </c>
      <c r="G1433" s="2">
        <v>201704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286</v>
      </c>
      <c r="M1433" s="2" t="s">
        <v>287</v>
      </c>
      <c r="N1433" s="2" t="s">
        <v>288</v>
      </c>
      <c r="O1433" s="2" t="s">
        <v>96</v>
      </c>
      <c r="P1433" s="2" t="str">
        <f>"2170530721                    "</f>
        <v xml:space="preserve">2170530721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5.81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2</v>
      </c>
      <c r="BJ1433" s="2">
        <v>3.3</v>
      </c>
      <c r="BK1433" s="2">
        <v>3.5</v>
      </c>
      <c r="BL1433" s="2">
        <v>71.33</v>
      </c>
      <c r="BM1433" s="2">
        <v>9.99</v>
      </c>
      <c r="BN1433" s="2">
        <v>81.319999999999993</v>
      </c>
      <c r="BO1433" s="2">
        <v>81.319999999999993</v>
      </c>
      <c r="BP1433" s="2"/>
      <c r="BQ1433" s="2" t="s">
        <v>289</v>
      </c>
      <c r="BR1433" s="2" t="s">
        <v>83</v>
      </c>
      <c r="BS1433" s="3">
        <v>42661</v>
      </c>
      <c r="BT1433" s="4">
        <v>0.41666666666666669</v>
      </c>
      <c r="BU1433" s="2" t="s">
        <v>1747</v>
      </c>
      <c r="BV1433" s="2" t="s">
        <v>85</v>
      </c>
      <c r="BW1433" s="2"/>
      <c r="BX1433" s="2"/>
      <c r="BY1433" s="2">
        <v>16331.87</v>
      </c>
      <c r="BZ1433" s="2"/>
      <c r="CA1433" s="2"/>
      <c r="CB1433" s="2"/>
      <c r="CC1433" s="2" t="s">
        <v>287</v>
      </c>
      <c r="CD1433" s="2">
        <v>1947</v>
      </c>
      <c r="CE1433" s="2" t="s">
        <v>368</v>
      </c>
      <c r="CF1433" s="5">
        <v>42663</v>
      </c>
      <c r="CG1433" s="2"/>
      <c r="CH1433" s="2"/>
      <c r="CI1433" s="2">
        <v>1</v>
      </c>
      <c r="CJ1433" s="2">
        <v>1</v>
      </c>
      <c r="CK1433" s="2">
        <v>21</v>
      </c>
      <c r="CL1433" s="2" t="s">
        <v>88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"FES1162507084"</f>
        <v>FES1162507084</v>
      </c>
      <c r="F1434" s="3">
        <v>42660</v>
      </c>
      <c r="G1434" s="2">
        <v>201704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137</v>
      </c>
      <c r="M1434" s="2" t="s">
        <v>138</v>
      </c>
      <c r="N1434" s="2" t="s">
        <v>291</v>
      </c>
      <c r="O1434" s="2" t="s">
        <v>96</v>
      </c>
      <c r="P1434" s="2" t="str">
        <f>"2170524714                    "</f>
        <v xml:space="preserve">2170524714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4.9800000000000004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2.9</v>
      </c>
      <c r="BJ1434" s="2">
        <v>2.9</v>
      </c>
      <c r="BK1434" s="2">
        <v>3</v>
      </c>
      <c r="BL1434" s="2">
        <v>61.14</v>
      </c>
      <c r="BM1434" s="2">
        <v>8.56</v>
      </c>
      <c r="BN1434" s="2">
        <v>69.7</v>
      </c>
      <c r="BO1434" s="2">
        <v>69.7</v>
      </c>
      <c r="BP1434" s="2"/>
      <c r="BQ1434" s="2" t="s">
        <v>117</v>
      </c>
      <c r="BR1434" s="2" t="s">
        <v>83</v>
      </c>
      <c r="BS1434" s="3">
        <v>42661</v>
      </c>
      <c r="BT1434" s="4">
        <v>0.39374999999999999</v>
      </c>
      <c r="BU1434" s="2" t="s">
        <v>781</v>
      </c>
      <c r="BV1434" s="2"/>
      <c r="BW1434" s="2"/>
      <c r="BX1434" s="2"/>
      <c r="BY1434" s="2">
        <v>14397.75</v>
      </c>
      <c r="BZ1434" s="2"/>
      <c r="CA1434" s="2" t="s">
        <v>613</v>
      </c>
      <c r="CB1434" s="2"/>
      <c r="CC1434" s="2" t="s">
        <v>138</v>
      </c>
      <c r="CD1434" s="2">
        <v>3201</v>
      </c>
      <c r="CE1434" s="2" t="s">
        <v>368</v>
      </c>
      <c r="CF1434" s="5">
        <v>42661</v>
      </c>
      <c r="CG1434" s="2"/>
      <c r="CH1434" s="2"/>
      <c r="CI1434" s="2">
        <v>0</v>
      </c>
      <c r="CJ1434" s="2">
        <v>0</v>
      </c>
      <c r="CK1434" s="2">
        <v>21</v>
      </c>
      <c r="CL1434" s="2" t="s">
        <v>88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"FES1162507255"</f>
        <v>FES1162507255</v>
      </c>
      <c r="F1435" s="3">
        <v>42660</v>
      </c>
      <c r="G1435" s="2">
        <v>201704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98</v>
      </c>
      <c r="M1435" s="2" t="s">
        <v>99</v>
      </c>
      <c r="N1435" s="2" t="s">
        <v>109</v>
      </c>
      <c r="O1435" s="2" t="s">
        <v>96</v>
      </c>
      <c r="P1435" s="2" t="str">
        <f>"2170530782                    "</f>
        <v xml:space="preserve">2170530782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3.32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1</v>
      </c>
      <c r="BI1435" s="2">
        <v>2</v>
      </c>
      <c r="BJ1435" s="2">
        <v>0.9</v>
      </c>
      <c r="BK1435" s="2">
        <v>2</v>
      </c>
      <c r="BL1435" s="2">
        <v>40.76</v>
      </c>
      <c r="BM1435" s="2">
        <v>5.71</v>
      </c>
      <c r="BN1435" s="2">
        <v>46.47</v>
      </c>
      <c r="BO1435" s="2">
        <v>46.47</v>
      </c>
      <c r="BP1435" s="2"/>
      <c r="BQ1435" s="2" t="s">
        <v>110</v>
      </c>
      <c r="BR1435" s="2" t="s">
        <v>83</v>
      </c>
      <c r="BS1435" s="3">
        <v>42661</v>
      </c>
      <c r="BT1435" s="4">
        <v>0.3611111111111111</v>
      </c>
      <c r="BU1435" s="2" t="s">
        <v>1613</v>
      </c>
      <c r="BV1435" s="2" t="s">
        <v>85</v>
      </c>
      <c r="BW1435" s="2"/>
      <c r="BX1435" s="2"/>
      <c r="BY1435" s="2">
        <v>4372.3900000000003</v>
      </c>
      <c r="BZ1435" s="2"/>
      <c r="CA1435" s="2" t="s">
        <v>107</v>
      </c>
      <c r="CB1435" s="2"/>
      <c r="CC1435" s="2" t="s">
        <v>99</v>
      </c>
      <c r="CD1435" s="2">
        <v>6001</v>
      </c>
      <c r="CE1435" s="2" t="s">
        <v>368</v>
      </c>
      <c r="CF1435" s="5">
        <v>42661</v>
      </c>
      <c r="CG1435" s="2"/>
      <c r="CH1435" s="2"/>
      <c r="CI1435" s="2">
        <v>1</v>
      </c>
      <c r="CJ1435" s="2">
        <v>1</v>
      </c>
      <c r="CK1435" s="2">
        <v>21</v>
      </c>
      <c r="CL1435" s="2" t="s">
        <v>88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"FES1162507227"</f>
        <v>FES1162507227</v>
      </c>
      <c r="F1436" s="3">
        <v>42660</v>
      </c>
      <c r="G1436" s="2">
        <v>201704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1380</v>
      </c>
      <c r="M1436" s="2" t="s">
        <v>1381</v>
      </c>
      <c r="N1436" s="2" t="s">
        <v>1748</v>
      </c>
      <c r="O1436" s="2" t="s">
        <v>96</v>
      </c>
      <c r="P1436" s="2" t="str">
        <f>"2170530738                    "</f>
        <v xml:space="preserve">2170530738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6.43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1.4</v>
      </c>
      <c r="BJ1436" s="2">
        <v>1.8</v>
      </c>
      <c r="BK1436" s="2">
        <v>2</v>
      </c>
      <c r="BL1436" s="2">
        <v>78.97</v>
      </c>
      <c r="BM1436" s="2">
        <v>11.06</v>
      </c>
      <c r="BN1436" s="2">
        <v>90.03</v>
      </c>
      <c r="BO1436" s="2">
        <v>90.03</v>
      </c>
      <c r="BP1436" s="2"/>
      <c r="BQ1436" s="2"/>
      <c r="BR1436" s="2" t="s">
        <v>83</v>
      </c>
      <c r="BS1436" s="3">
        <v>42661</v>
      </c>
      <c r="BT1436" s="4">
        <v>0.54166666666666663</v>
      </c>
      <c r="BU1436" s="2" t="s">
        <v>1749</v>
      </c>
      <c r="BV1436" s="2" t="s">
        <v>85</v>
      </c>
      <c r="BW1436" s="2"/>
      <c r="BX1436" s="2"/>
      <c r="BY1436" s="2">
        <v>9002.58</v>
      </c>
      <c r="BZ1436" s="2"/>
      <c r="CA1436" s="2"/>
      <c r="CB1436" s="2"/>
      <c r="CC1436" s="2" t="s">
        <v>1381</v>
      </c>
      <c r="CD1436" s="2">
        <v>4390</v>
      </c>
      <c r="CE1436" s="2" t="s">
        <v>86</v>
      </c>
      <c r="CF1436" s="5">
        <v>42662</v>
      </c>
      <c r="CG1436" s="2"/>
      <c r="CH1436" s="2"/>
      <c r="CI1436" s="2">
        <v>1</v>
      </c>
      <c r="CJ1436" s="2">
        <v>1</v>
      </c>
      <c r="CK1436" s="2">
        <v>23</v>
      </c>
      <c r="CL1436" s="2" t="s">
        <v>88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"FES1162507173"</f>
        <v>FES1162507173</v>
      </c>
      <c r="F1437" s="3">
        <v>42660</v>
      </c>
      <c r="G1437" s="2">
        <v>201704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269</v>
      </c>
      <c r="M1437" s="2" t="s">
        <v>270</v>
      </c>
      <c r="N1437" s="2" t="s">
        <v>496</v>
      </c>
      <c r="O1437" s="2" t="s">
        <v>96</v>
      </c>
      <c r="P1437" s="2" t="str">
        <f>"2170530677                    "</f>
        <v xml:space="preserve">2170530677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3.32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0.5</v>
      </c>
      <c r="BJ1437" s="2">
        <v>1.4</v>
      </c>
      <c r="BK1437" s="2">
        <v>1.5</v>
      </c>
      <c r="BL1437" s="2">
        <v>40.76</v>
      </c>
      <c r="BM1437" s="2">
        <v>5.71</v>
      </c>
      <c r="BN1437" s="2">
        <v>46.47</v>
      </c>
      <c r="BO1437" s="2">
        <v>46.47</v>
      </c>
      <c r="BP1437" s="2"/>
      <c r="BQ1437" s="2" t="s">
        <v>892</v>
      </c>
      <c r="BR1437" s="2" t="s">
        <v>83</v>
      </c>
      <c r="BS1437" s="3">
        <v>42661</v>
      </c>
      <c r="BT1437" s="4">
        <v>0.4375</v>
      </c>
      <c r="BU1437" s="2" t="s">
        <v>1750</v>
      </c>
      <c r="BV1437" s="2" t="s">
        <v>85</v>
      </c>
      <c r="BW1437" s="2"/>
      <c r="BX1437" s="2"/>
      <c r="BY1437" s="2">
        <v>7075</v>
      </c>
      <c r="BZ1437" s="2"/>
      <c r="CA1437" s="2"/>
      <c r="CB1437" s="2"/>
      <c r="CC1437" s="2" t="s">
        <v>270</v>
      </c>
      <c r="CD1437" s="2">
        <v>3610</v>
      </c>
      <c r="CE1437" s="2" t="s">
        <v>86</v>
      </c>
      <c r="CF1437" s="5">
        <v>42662</v>
      </c>
      <c r="CG1437" s="2"/>
      <c r="CH1437" s="2"/>
      <c r="CI1437" s="2">
        <v>1</v>
      </c>
      <c r="CJ1437" s="2">
        <v>1</v>
      </c>
      <c r="CK1437" s="2">
        <v>21</v>
      </c>
      <c r="CL1437" s="2" t="s">
        <v>88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"FES1162507199"</f>
        <v>FES1162507199</v>
      </c>
      <c r="F1438" s="3">
        <v>42660</v>
      </c>
      <c r="G1438" s="2">
        <v>201704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160</v>
      </c>
      <c r="M1438" s="2" t="s">
        <v>161</v>
      </c>
      <c r="N1438" s="2" t="s">
        <v>179</v>
      </c>
      <c r="O1438" s="2" t="s">
        <v>96</v>
      </c>
      <c r="P1438" s="2" t="str">
        <f>"2170530711                    "</f>
        <v xml:space="preserve">2170530711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3.32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0.5</v>
      </c>
      <c r="BJ1438" s="2">
        <v>0.2</v>
      </c>
      <c r="BK1438" s="2">
        <v>0.5</v>
      </c>
      <c r="BL1438" s="2">
        <v>40.76</v>
      </c>
      <c r="BM1438" s="2">
        <v>5.71</v>
      </c>
      <c r="BN1438" s="2">
        <v>46.47</v>
      </c>
      <c r="BO1438" s="2">
        <v>46.47</v>
      </c>
      <c r="BP1438" s="2"/>
      <c r="BQ1438" s="2" t="s">
        <v>180</v>
      </c>
      <c r="BR1438" s="2" t="s">
        <v>83</v>
      </c>
      <c r="BS1438" s="3">
        <v>42661</v>
      </c>
      <c r="BT1438" s="4">
        <v>0.41666666666666669</v>
      </c>
      <c r="BU1438" s="2" t="s">
        <v>1711</v>
      </c>
      <c r="BV1438" s="2" t="s">
        <v>85</v>
      </c>
      <c r="BW1438" s="2"/>
      <c r="BX1438" s="2"/>
      <c r="BY1438" s="2">
        <v>1200</v>
      </c>
      <c r="BZ1438" s="2"/>
      <c r="CA1438" s="2"/>
      <c r="CB1438" s="2"/>
      <c r="CC1438" s="2" t="s">
        <v>161</v>
      </c>
      <c r="CD1438" s="2">
        <v>7405</v>
      </c>
      <c r="CE1438" s="2" t="s">
        <v>108</v>
      </c>
      <c r="CF1438" s="5">
        <v>42662</v>
      </c>
      <c r="CG1438" s="2"/>
      <c r="CH1438" s="2"/>
      <c r="CI1438" s="2">
        <v>1</v>
      </c>
      <c r="CJ1438" s="2">
        <v>1</v>
      </c>
      <c r="CK1438" s="2">
        <v>21</v>
      </c>
      <c r="CL1438" s="2" t="s">
        <v>88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"FES1162507216"</f>
        <v>FES1162507216</v>
      </c>
      <c r="F1439" s="3">
        <v>42660</v>
      </c>
      <c r="G1439" s="2">
        <v>201704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148</v>
      </c>
      <c r="M1439" s="2" t="s">
        <v>149</v>
      </c>
      <c r="N1439" s="2" t="s">
        <v>211</v>
      </c>
      <c r="O1439" s="2" t="s">
        <v>96</v>
      </c>
      <c r="P1439" s="2" t="str">
        <f>"2170530736                    "</f>
        <v xml:space="preserve">2170530736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3.32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2</v>
      </c>
      <c r="BJ1439" s="2">
        <v>0.2</v>
      </c>
      <c r="BK1439" s="2">
        <v>2</v>
      </c>
      <c r="BL1439" s="2">
        <v>40.76</v>
      </c>
      <c r="BM1439" s="2">
        <v>5.71</v>
      </c>
      <c r="BN1439" s="2">
        <v>46.47</v>
      </c>
      <c r="BO1439" s="2">
        <v>46.47</v>
      </c>
      <c r="BP1439" s="2"/>
      <c r="BQ1439" s="2" t="s">
        <v>91</v>
      </c>
      <c r="BR1439" s="2" t="s">
        <v>83</v>
      </c>
      <c r="BS1439" s="3">
        <v>42661</v>
      </c>
      <c r="BT1439" s="4">
        <v>0.4375</v>
      </c>
      <c r="BU1439" s="2" t="s">
        <v>1751</v>
      </c>
      <c r="BV1439" s="2" t="s">
        <v>85</v>
      </c>
      <c r="BW1439" s="2"/>
      <c r="BX1439" s="2"/>
      <c r="BY1439" s="2">
        <v>1200</v>
      </c>
      <c r="BZ1439" s="2"/>
      <c r="CA1439" s="2"/>
      <c r="CB1439" s="2"/>
      <c r="CC1439" s="2" t="s">
        <v>149</v>
      </c>
      <c r="CD1439" s="2">
        <v>4052</v>
      </c>
      <c r="CE1439" s="2" t="s">
        <v>108</v>
      </c>
      <c r="CF1439" s="5">
        <v>42662</v>
      </c>
      <c r="CG1439" s="2"/>
      <c r="CH1439" s="2"/>
      <c r="CI1439" s="2">
        <v>1</v>
      </c>
      <c r="CJ1439" s="2">
        <v>1</v>
      </c>
      <c r="CK1439" s="2">
        <v>21</v>
      </c>
      <c r="CL1439" s="2" t="s">
        <v>88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"FES1162507259"</f>
        <v>FES1162507259</v>
      </c>
      <c r="F1440" s="3">
        <v>42660</v>
      </c>
      <c r="G1440" s="2">
        <v>201704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153</v>
      </c>
      <c r="M1440" s="2" t="s">
        <v>153</v>
      </c>
      <c r="N1440" s="2" t="s">
        <v>343</v>
      </c>
      <c r="O1440" s="2" t="s">
        <v>96</v>
      </c>
      <c r="P1440" s="2" t="str">
        <f>"2170530691                    "</f>
        <v xml:space="preserve">2170530691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3.32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1</v>
      </c>
      <c r="BJ1440" s="2">
        <v>0.2</v>
      </c>
      <c r="BK1440" s="2">
        <v>1</v>
      </c>
      <c r="BL1440" s="2">
        <v>40.76</v>
      </c>
      <c r="BM1440" s="2">
        <v>5.71</v>
      </c>
      <c r="BN1440" s="2">
        <v>46.47</v>
      </c>
      <c r="BO1440" s="2">
        <v>46.47</v>
      </c>
      <c r="BP1440" s="2"/>
      <c r="BQ1440" s="2" t="s">
        <v>344</v>
      </c>
      <c r="BR1440" s="2" t="s">
        <v>83</v>
      </c>
      <c r="BS1440" s="3">
        <v>42661</v>
      </c>
      <c r="BT1440" s="4">
        <v>0.51736111111111105</v>
      </c>
      <c r="BU1440" s="2" t="s">
        <v>1089</v>
      </c>
      <c r="BV1440" s="2" t="s">
        <v>85</v>
      </c>
      <c r="BW1440" s="2"/>
      <c r="BX1440" s="2"/>
      <c r="BY1440" s="2">
        <v>1200</v>
      </c>
      <c r="BZ1440" s="2"/>
      <c r="CA1440" s="2"/>
      <c r="CB1440" s="2"/>
      <c r="CC1440" s="2" t="s">
        <v>153</v>
      </c>
      <c r="CD1440" s="2">
        <v>7646</v>
      </c>
      <c r="CE1440" s="2" t="s">
        <v>108</v>
      </c>
      <c r="CF1440" s="5">
        <v>42662</v>
      </c>
      <c r="CG1440" s="2"/>
      <c r="CH1440" s="2"/>
      <c r="CI1440" s="2">
        <v>1</v>
      </c>
      <c r="CJ1440" s="2">
        <v>1</v>
      </c>
      <c r="CK1440" s="2">
        <v>21</v>
      </c>
      <c r="CL1440" s="2" t="s">
        <v>88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"FES1162507096"</f>
        <v>FES1162507096</v>
      </c>
      <c r="F1441" s="3">
        <v>42660</v>
      </c>
      <c r="G1441" s="2">
        <v>201704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137</v>
      </c>
      <c r="M1441" s="2" t="s">
        <v>138</v>
      </c>
      <c r="N1441" s="2" t="s">
        <v>203</v>
      </c>
      <c r="O1441" s="2" t="s">
        <v>96</v>
      </c>
      <c r="P1441" s="2" t="str">
        <f>"2170527238                    "</f>
        <v xml:space="preserve">2170527238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42.29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25.2</v>
      </c>
      <c r="BJ1441" s="2">
        <v>13.3</v>
      </c>
      <c r="BK1441" s="2">
        <v>25.5</v>
      </c>
      <c r="BL1441" s="2">
        <v>519.65</v>
      </c>
      <c r="BM1441" s="2">
        <v>72.75</v>
      </c>
      <c r="BN1441" s="2">
        <v>592.4</v>
      </c>
      <c r="BO1441" s="2">
        <v>592.4</v>
      </c>
      <c r="BP1441" s="2"/>
      <c r="BQ1441" s="2" t="s">
        <v>168</v>
      </c>
      <c r="BR1441" s="2" t="s">
        <v>83</v>
      </c>
      <c r="BS1441" s="3">
        <v>42661</v>
      </c>
      <c r="BT1441" s="4">
        <v>0.39097222222222222</v>
      </c>
      <c r="BU1441" s="2" t="s">
        <v>697</v>
      </c>
      <c r="BV1441" s="2"/>
      <c r="BW1441" s="2"/>
      <c r="BX1441" s="2"/>
      <c r="BY1441" s="2">
        <v>66270.25</v>
      </c>
      <c r="BZ1441" s="2"/>
      <c r="CA1441" s="2" t="s">
        <v>613</v>
      </c>
      <c r="CB1441" s="2"/>
      <c r="CC1441" s="2" t="s">
        <v>138</v>
      </c>
      <c r="CD1441" s="2">
        <v>3201</v>
      </c>
      <c r="CE1441" s="2" t="s">
        <v>368</v>
      </c>
      <c r="CF1441" s="5">
        <v>42661</v>
      </c>
      <c r="CG1441" s="2"/>
      <c r="CH1441" s="2"/>
      <c r="CI1441" s="2">
        <v>0</v>
      </c>
      <c r="CJ1441" s="2">
        <v>0</v>
      </c>
      <c r="CK1441" s="2">
        <v>21</v>
      </c>
      <c r="CL1441" s="2" t="s">
        <v>88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"FES1162507220"</f>
        <v>FES1162507220</v>
      </c>
      <c r="F1442" s="3">
        <v>42660</v>
      </c>
      <c r="G1442" s="2">
        <v>201704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98</v>
      </c>
      <c r="M1442" s="2" t="s">
        <v>99</v>
      </c>
      <c r="N1442" s="2" t="s">
        <v>190</v>
      </c>
      <c r="O1442" s="2" t="s">
        <v>96</v>
      </c>
      <c r="P1442" s="2" t="str">
        <f>"2170530456                    "</f>
        <v xml:space="preserve">2170530456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23.22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14</v>
      </c>
      <c r="BJ1442" s="2">
        <v>4.5999999999999996</v>
      </c>
      <c r="BK1442" s="2">
        <v>14</v>
      </c>
      <c r="BL1442" s="2">
        <v>285.3</v>
      </c>
      <c r="BM1442" s="2">
        <v>39.94</v>
      </c>
      <c r="BN1442" s="2">
        <v>325.24</v>
      </c>
      <c r="BO1442" s="2">
        <v>325.24</v>
      </c>
      <c r="BP1442" s="2"/>
      <c r="BQ1442" s="2" t="s">
        <v>1034</v>
      </c>
      <c r="BR1442" s="2" t="s">
        <v>83</v>
      </c>
      <c r="BS1442" s="3">
        <v>42660</v>
      </c>
      <c r="BT1442" s="4">
        <v>0.34375</v>
      </c>
      <c r="BU1442" s="2" t="s">
        <v>431</v>
      </c>
      <c r="BV1442" s="2" t="s">
        <v>85</v>
      </c>
      <c r="BW1442" s="2"/>
      <c r="BX1442" s="2"/>
      <c r="BY1442" s="2">
        <v>23128</v>
      </c>
      <c r="BZ1442" s="2"/>
      <c r="CA1442" s="2"/>
      <c r="CB1442" s="2"/>
      <c r="CC1442" s="2" t="s">
        <v>99</v>
      </c>
      <c r="CD1442" s="2">
        <v>6001</v>
      </c>
      <c r="CE1442" s="2" t="s">
        <v>368</v>
      </c>
      <c r="CF1442" s="5">
        <v>42662</v>
      </c>
      <c r="CG1442" s="2"/>
      <c r="CH1442" s="2"/>
      <c r="CI1442" s="2">
        <v>1</v>
      </c>
      <c r="CJ1442" s="2">
        <v>0</v>
      </c>
      <c r="CK1442" s="2">
        <v>21</v>
      </c>
      <c r="CL1442" s="2" t="s">
        <v>88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"FES1162507241"</f>
        <v>FES1162507241</v>
      </c>
      <c r="F1443" s="3">
        <v>42660</v>
      </c>
      <c r="G1443" s="2">
        <v>201704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98</v>
      </c>
      <c r="M1443" s="2" t="s">
        <v>99</v>
      </c>
      <c r="N1443" s="2" t="s">
        <v>1752</v>
      </c>
      <c r="O1443" s="2" t="s">
        <v>96</v>
      </c>
      <c r="P1443" s="2" t="str">
        <f>"2170530759                    "</f>
        <v xml:space="preserve">2170530759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9.1199999999999992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5.2</v>
      </c>
      <c r="BJ1443" s="2">
        <v>1.6</v>
      </c>
      <c r="BK1443" s="2">
        <v>5.5</v>
      </c>
      <c r="BL1443" s="2">
        <v>112.08</v>
      </c>
      <c r="BM1443" s="2">
        <v>15.69</v>
      </c>
      <c r="BN1443" s="2">
        <v>127.77</v>
      </c>
      <c r="BO1443" s="2">
        <v>127.77</v>
      </c>
      <c r="BP1443" s="2"/>
      <c r="BQ1443" s="2" t="s">
        <v>91</v>
      </c>
      <c r="BR1443" s="2" t="s">
        <v>83</v>
      </c>
      <c r="BS1443" s="3">
        <v>42661</v>
      </c>
      <c r="BT1443" s="4">
        <v>0.41319444444444442</v>
      </c>
      <c r="BU1443" s="2" t="s">
        <v>1753</v>
      </c>
      <c r="BV1443" s="2" t="s">
        <v>85</v>
      </c>
      <c r="BW1443" s="2"/>
      <c r="BX1443" s="2"/>
      <c r="BY1443" s="2">
        <v>8177.17</v>
      </c>
      <c r="BZ1443" s="2"/>
      <c r="CA1443" s="2" t="s">
        <v>468</v>
      </c>
      <c r="CB1443" s="2"/>
      <c r="CC1443" s="2" t="s">
        <v>99</v>
      </c>
      <c r="CD1443" s="2">
        <v>6045</v>
      </c>
      <c r="CE1443" s="2" t="s">
        <v>1350</v>
      </c>
      <c r="CF1443" s="5">
        <v>42662</v>
      </c>
      <c r="CG1443" s="2"/>
      <c r="CH1443" s="2"/>
      <c r="CI1443" s="2">
        <v>1</v>
      </c>
      <c r="CJ1443" s="2">
        <v>1</v>
      </c>
      <c r="CK1443" s="2">
        <v>21</v>
      </c>
      <c r="CL1443" s="2" t="s">
        <v>88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"FES1162507147"</f>
        <v>FES1162507147</v>
      </c>
      <c r="F1444" s="3">
        <v>42660</v>
      </c>
      <c r="G1444" s="2">
        <v>201704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160</v>
      </c>
      <c r="M1444" s="2" t="s">
        <v>161</v>
      </c>
      <c r="N1444" s="2" t="s">
        <v>1434</v>
      </c>
      <c r="O1444" s="2" t="s">
        <v>96</v>
      </c>
      <c r="P1444" s="2" t="str">
        <f>"2170529786                    "</f>
        <v xml:space="preserve">2170529786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3.32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1</v>
      </c>
      <c r="BJ1444" s="2">
        <v>0.2</v>
      </c>
      <c r="BK1444" s="2">
        <v>1</v>
      </c>
      <c r="BL1444" s="2">
        <v>40.76</v>
      </c>
      <c r="BM1444" s="2">
        <v>5.71</v>
      </c>
      <c r="BN1444" s="2">
        <v>46.47</v>
      </c>
      <c r="BO1444" s="2">
        <v>46.47</v>
      </c>
      <c r="BP1444" s="2"/>
      <c r="BQ1444" s="2" t="s">
        <v>91</v>
      </c>
      <c r="BR1444" s="2" t="s">
        <v>83</v>
      </c>
      <c r="BS1444" s="3">
        <v>42661</v>
      </c>
      <c r="BT1444" s="4">
        <v>0.46180555555555558</v>
      </c>
      <c r="BU1444" s="2" t="s">
        <v>1435</v>
      </c>
      <c r="BV1444" s="2" t="s">
        <v>88</v>
      </c>
      <c r="BW1444" s="2" t="s">
        <v>277</v>
      </c>
      <c r="BX1444" s="2" t="s">
        <v>223</v>
      </c>
      <c r="BY1444" s="2">
        <v>1200</v>
      </c>
      <c r="BZ1444" s="2"/>
      <c r="CA1444" s="2" t="s">
        <v>229</v>
      </c>
      <c r="CB1444" s="2"/>
      <c r="CC1444" s="2" t="s">
        <v>161</v>
      </c>
      <c r="CD1444" s="2">
        <v>7460</v>
      </c>
      <c r="CE1444" s="2" t="s">
        <v>108</v>
      </c>
      <c r="CF1444" s="5">
        <v>42661</v>
      </c>
      <c r="CG1444" s="2"/>
      <c r="CH1444" s="2"/>
      <c r="CI1444" s="2">
        <v>1</v>
      </c>
      <c r="CJ1444" s="2">
        <v>1</v>
      </c>
      <c r="CK1444" s="2">
        <v>21</v>
      </c>
      <c r="CL1444" s="2" t="s">
        <v>88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"FES1162506980"</f>
        <v>FES1162506980</v>
      </c>
      <c r="F1445" s="3">
        <v>42660</v>
      </c>
      <c r="G1445" s="2">
        <v>201704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156</v>
      </c>
      <c r="M1445" s="2" t="s">
        <v>157</v>
      </c>
      <c r="N1445" s="2" t="s">
        <v>507</v>
      </c>
      <c r="O1445" s="2" t="s">
        <v>81</v>
      </c>
      <c r="P1445" s="2" t="str">
        <f>"2170530237                    "</f>
        <v xml:space="preserve">2170530237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17.25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3</v>
      </c>
      <c r="BI1445" s="2">
        <v>51</v>
      </c>
      <c r="BJ1445" s="2">
        <v>16.5</v>
      </c>
      <c r="BK1445" s="2">
        <v>51</v>
      </c>
      <c r="BL1445" s="2">
        <v>216.97</v>
      </c>
      <c r="BM1445" s="2">
        <v>30.38</v>
      </c>
      <c r="BN1445" s="2">
        <v>247.35</v>
      </c>
      <c r="BO1445" s="2">
        <v>247.35</v>
      </c>
      <c r="BP1445" s="2" t="s">
        <v>1064</v>
      </c>
      <c r="BQ1445" s="2" t="s">
        <v>508</v>
      </c>
      <c r="BR1445" s="2" t="s">
        <v>83</v>
      </c>
      <c r="BS1445" s="3">
        <v>42662</v>
      </c>
      <c r="BT1445" s="4">
        <v>0.41666666666666669</v>
      </c>
      <c r="BU1445" s="2" t="s">
        <v>1754</v>
      </c>
      <c r="BV1445" s="2" t="s">
        <v>85</v>
      </c>
      <c r="BW1445" s="2"/>
      <c r="BX1445" s="2"/>
      <c r="BY1445" s="2">
        <v>82460</v>
      </c>
      <c r="BZ1445" s="2"/>
      <c r="CA1445" s="2" t="s">
        <v>129</v>
      </c>
      <c r="CB1445" s="2"/>
      <c r="CC1445" s="2" t="s">
        <v>157</v>
      </c>
      <c r="CD1445" s="2">
        <v>7130</v>
      </c>
      <c r="CE1445" s="2" t="s">
        <v>86</v>
      </c>
      <c r="CF1445" s="5">
        <v>42663</v>
      </c>
      <c r="CG1445" s="2"/>
      <c r="CH1445" s="2"/>
      <c r="CI1445" s="2">
        <v>2</v>
      </c>
      <c r="CJ1445" s="2">
        <v>2</v>
      </c>
      <c r="CK1445" s="2" t="s">
        <v>1063</v>
      </c>
      <c r="CL1445" s="2" t="s">
        <v>88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"FES1162506923"</f>
        <v>FES1162506923</v>
      </c>
      <c r="F1446" s="3">
        <v>42660</v>
      </c>
      <c r="G1446" s="2">
        <v>201704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148</v>
      </c>
      <c r="M1446" s="2" t="s">
        <v>149</v>
      </c>
      <c r="N1446" s="2" t="s">
        <v>1232</v>
      </c>
      <c r="O1446" s="2" t="s">
        <v>81</v>
      </c>
      <c r="P1446" s="2" t="str">
        <f>"2170530482                    "</f>
        <v xml:space="preserve">2170530482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4.66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9</v>
      </c>
      <c r="BJ1446" s="2">
        <v>6.3</v>
      </c>
      <c r="BK1446" s="2">
        <v>9</v>
      </c>
      <c r="BL1446" s="2">
        <v>62.31</v>
      </c>
      <c r="BM1446" s="2">
        <v>8.7200000000000006</v>
      </c>
      <c r="BN1446" s="2">
        <v>71.03</v>
      </c>
      <c r="BO1446" s="2">
        <v>71.03</v>
      </c>
      <c r="BP1446" s="2" t="s">
        <v>90</v>
      </c>
      <c r="BQ1446" s="2" t="s">
        <v>117</v>
      </c>
      <c r="BR1446" s="2" t="s">
        <v>83</v>
      </c>
      <c r="BS1446" s="3">
        <v>42661</v>
      </c>
      <c r="BT1446" s="4">
        <v>0.63541666666666663</v>
      </c>
      <c r="BU1446" s="2" t="s">
        <v>1755</v>
      </c>
      <c r="BV1446" s="2" t="s">
        <v>85</v>
      </c>
      <c r="BW1446" s="2"/>
      <c r="BX1446" s="2"/>
      <c r="BY1446" s="2">
        <v>31668</v>
      </c>
      <c r="BZ1446" s="2"/>
      <c r="CA1446" s="2"/>
      <c r="CB1446" s="2"/>
      <c r="CC1446" s="2" t="s">
        <v>149</v>
      </c>
      <c r="CD1446" s="2">
        <v>4068</v>
      </c>
      <c r="CE1446" s="2" t="s">
        <v>86</v>
      </c>
      <c r="CF1446" s="5">
        <v>42662</v>
      </c>
      <c r="CG1446" s="2"/>
      <c r="CH1446" s="2"/>
      <c r="CI1446" s="2">
        <v>1</v>
      </c>
      <c r="CJ1446" s="2">
        <v>1</v>
      </c>
      <c r="CK1446" s="2" t="s">
        <v>1059</v>
      </c>
      <c r="CL1446" s="2" t="s">
        <v>88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"FES1162507077"</f>
        <v>FES1162507077</v>
      </c>
      <c r="F1447" s="3">
        <v>42660</v>
      </c>
      <c r="G1447" s="2">
        <v>201704</v>
      </c>
      <c r="H1447" s="2" t="s">
        <v>74</v>
      </c>
      <c r="I1447" s="2" t="s">
        <v>75</v>
      </c>
      <c r="J1447" s="2" t="s">
        <v>76</v>
      </c>
      <c r="K1447" s="2" t="s">
        <v>77</v>
      </c>
      <c r="L1447" s="2" t="s">
        <v>98</v>
      </c>
      <c r="M1447" s="2" t="s">
        <v>99</v>
      </c>
      <c r="N1447" s="2" t="s">
        <v>330</v>
      </c>
      <c r="O1447" s="2" t="s">
        <v>81</v>
      </c>
      <c r="P1447" s="2" t="str">
        <f>"2170528684                    "</f>
        <v xml:space="preserve">2170528684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29.17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2</v>
      </c>
      <c r="BI1447" s="2">
        <v>49</v>
      </c>
      <c r="BJ1447" s="2">
        <v>91.4</v>
      </c>
      <c r="BK1447" s="2">
        <v>92</v>
      </c>
      <c r="BL1447" s="2">
        <v>363.37</v>
      </c>
      <c r="BM1447" s="2">
        <v>50.87</v>
      </c>
      <c r="BN1447" s="2">
        <v>414.24</v>
      </c>
      <c r="BO1447" s="2">
        <v>414.24</v>
      </c>
      <c r="BP1447" s="2" t="s">
        <v>1070</v>
      </c>
      <c r="BQ1447" s="2" t="s">
        <v>331</v>
      </c>
      <c r="BR1447" s="2" t="s">
        <v>83</v>
      </c>
      <c r="BS1447" s="3">
        <v>42662</v>
      </c>
      <c r="BT1447" s="4">
        <v>0.47916666666666669</v>
      </c>
      <c r="BU1447" s="2" t="s">
        <v>461</v>
      </c>
      <c r="BV1447" s="2" t="s">
        <v>85</v>
      </c>
      <c r="BW1447" s="2"/>
      <c r="BX1447" s="2"/>
      <c r="BY1447" s="2">
        <v>456840</v>
      </c>
      <c r="BZ1447" s="2"/>
      <c r="CA1447" s="2"/>
      <c r="CB1447" s="2"/>
      <c r="CC1447" s="2" t="s">
        <v>99</v>
      </c>
      <c r="CD1447" s="2">
        <v>6070</v>
      </c>
      <c r="CE1447" s="2" t="s">
        <v>86</v>
      </c>
      <c r="CF1447" s="5">
        <v>42663</v>
      </c>
      <c r="CG1447" s="2"/>
      <c r="CH1447" s="2"/>
      <c r="CI1447" s="2">
        <v>2</v>
      </c>
      <c r="CJ1447" s="2">
        <v>2</v>
      </c>
      <c r="CK1447" s="2" t="s">
        <v>1063</v>
      </c>
      <c r="CL1447" s="2" t="s">
        <v>88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"FES1162507056"</f>
        <v>FES1162507056</v>
      </c>
      <c r="F1448" s="3">
        <v>42660</v>
      </c>
      <c r="G1448" s="2">
        <v>201704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98</v>
      </c>
      <c r="M1448" s="2" t="s">
        <v>99</v>
      </c>
      <c r="N1448" s="2" t="s">
        <v>832</v>
      </c>
      <c r="O1448" s="2" t="s">
        <v>81</v>
      </c>
      <c r="P1448" s="2" t="str">
        <f>"2170526654                    "</f>
        <v xml:space="preserve">2170526654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33.82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6</v>
      </c>
      <c r="BI1448" s="2">
        <v>55</v>
      </c>
      <c r="BJ1448" s="2">
        <v>107.6</v>
      </c>
      <c r="BK1448" s="2">
        <v>108</v>
      </c>
      <c r="BL1448" s="2">
        <v>420.5</v>
      </c>
      <c r="BM1448" s="2">
        <v>58.87</v>
      </c>
      <c r="BN1448" s="2">
        <v>479.37</v>
      </c>
      <c r="BO1448" s="2">
        <v>479.37</v>
      </c>
      <c r="BP1448" s="2" t="s">
        <v>1070</v>
      </c>
      <c r="BQ1448" s="2" t="s">
        <v>833</v>
      </c>
      <c r="BR1448" s="2" t="s">
        <v>83</v>
      </c>
      <c r="BS1448" s="3">
        <v>42662</v>
      </c>
      <c r="BT1448" s="4">
        <v>0.4381944444444445</v>
      </c>
      <c r="BU1448" s="2" t="s">
        <v>1756</v>
      </c>
      <c r="BV1448" s="2" t="s">
        <v>85</v>
      </c>
      <c r="BW1448" s="2"/>
      <c r="BX1448" s="2"/>
      <c r="BY1448" s="2">
        <v>537940</v>
      </c>
      <c r="BZ1448" s="2"/>
      <c r="CA1448" s="2"/>
      <c r="CB1448" s="2"/>
      <c r="CC1448" s="2" t="s">
        <v>99</v>
      </c>
      <c r="CD1448" s="2">
        <v>6001</v>
      </c>
      <c r="CE1448" s="2" t="s">
        <v>86</v>
      </c>
      <c r="CF1448" s="5">
        <v>42662</v>
      </c>
      <c r="CG1448" s="2"/>
      <c r="CH1448" s="2"/>
      <c r="CI1448" s="2">
        <v>2</v>
      </c>
      <c r="CJ1448" s="2">
        <v>2</v>
      </c>
      <c r="CK1448" s="2" t="s">
        <v>1063</v>
      </c>
      <c r="CL1448" s="2" t="s">
        <v>88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"FES1162507135"</f>
        <v>FES1162507135</v>
      </c>
      <c r="F1449" s="3">
        <v>42660</v>
      </c>
      <c r="G1449" s="2">
        <v>201704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148</v>
      </c>
      <c r="M1449" s="2" t="s">
        <v>149</v>
      </c>
      <c r="N1449" s="2" t="s">
        <v>1647</v>
      </c>
      <c r="O1449" s="2" t="s">
        <v>81</v>
      </c>
      <c r="P1449" s="2" t="str">
        <f>"2170525507                    "</f>
        <v xml:space="preserve">2170525507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13.52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4</v>
      </c>
      <c r="BI1449" s="2">
        <v>59.4</v>
      </c>
      <c r="BJ1449" s="2">
        <v>47.3</v>
      </c>
      <c r="BK1449" s="2">
        <v>60</v>
      </c>
      <c r="BL1449" s="2">
        <v>171.07</v>
      </c>
      <c r="BM1449" s="2">
        <v>23.95</v>
      </c>
      <c r="BN1449" s="2">
        <v>195.02</v>
      </c>
      <c r="BO1449" s="2">
        <v>195.02</v>
      </c>
      <c r="BP1449" s="2"/>
      <c r="BQ1449" s="2" t="s">
        <v>1648</v>
      </c>
      <c r="BR1449" s="2" t="s">
        <v>83</v>
      </c>
      <c r="BS1449" s="3">
        <v>42661</v>
      </c>
      <c r="BT1449" s="4">
        <v>0.54166666666666663</v>
      </c>
      <c r="BU1449" s="2" t="s">
        <v>210</v>
      </c>
      <c r="BV1449" s="2" t="s">
        <v>85</v>
      </c>
      <c r="BW1449" s="2"/>
      <c r="BX1449" s="2"/>
      <c r="BY1449" s="2">
        <v>236431.8</v>
      </c>
      <c r="BZ1449" s="2"/>
      <c r="CA1449" s="2"/>
      <c r="CB1449" s="2"/>
      <c r="CC1449" s="2" t="s">
        <v>149</v>
      </c>
      <c r="CD1449" s="2">
        <v>4001</v>
      </c>
      <c r="CE1449" s="2" t="s">
        <v>86</v>
      </c>
      <c r="CF1449" s="5">
        <v>42662</v>
      </c>
      <c r="CG1449" s="2"/>
      <c r="CH1449" s="2"/>
      <c r="CI1449" s="2">
        <v>1</v>
      </c>
      <c r="CJ1449" s="2">
        <v>1</v>
      </c>
      <c r="CK1449" s="2" t="s">
        <v>1059</v>
      </c>
      <c r="CL1449" s="2" t="s">
        <v>88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"FES1162507210"</f>
        <v>FES1162507210</v>
      </c>
      <c r="F1450" s="3">
        <v>42660</v>
      </c>
      <c r="G1450" s="2">
        <v>201704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1062</v>
      </c>
      <c r="M1450" s="2" t="s">
        <v>161</v>
      </c>
      <c r="N1450" s="2" t="s">
        <v>411</v>
      </c>
      <c r="O1450" s="2" t="s">
        <v>81</v>
      </c>
      <c r="P1450" s="2" t="str">
        <f>"2170530719                    "</f>
        <v xml:space="preserve">2170530719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6.79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1.1000000000000001</v>
      </c>
      <c r="BJ1450" s="2">
        <v>1.4</v>
      </c>
      <c r="BK1450" s="2">
        <v>2</v>
      </c>
      <c r="BL1450" s="2">
        <v>88.43</v>
      </c>
      <c r="BM1450" s="2">
        <v>12.38</v>
      </c>
      <c r="BN1450" s="2">
        <v>100.81</v>
      </c>
      <c r="BO1450" s="2">
        <v>100.81</v>
      </c>
      <c r="BP1450" s="2" t="s">
        <v>90</v>
      </c>
      <c r="BQ1450" s="2" t="s">
        <v>412</v>
      </c>
      <c r="BR1450" s="2" t="s">
        <v>83</v>
      </c>
      <c r="BS1450" s="3">
        <v>42664</v>
      </c>
      <c r="BT1450" s="4">
        <v>0.6875</v>
      </c>
      <c r="BU1450" s="2" t="s">
        <v>431</v>
      </c>
      <c r="BV1450" s="2" t="s">
        <v>88</v>
      </c>
      <c r="BW1450" s="2" t="s">
        <v>277</v>
      </c>
      <c r="BX1450" s="2" t="s">
        <v>166</v>
      </c>
      <c r="BY1450" s="2">
        <v>7017.02</v>
      </c>
      <c r="BZ1450" s="2"/>
      <c r="CA1450" s="2"/>
      <c r="CB1450" s="2"/>
      <c r="CC1450" s="2" t="s">
        <v>161</v>
      </c>
      <c r="CD1450" s="2">
        <v>7945</v>
      </c>
      <c r="CE1450" s="2" t="s">
        <v>368</v>
      </c>
      <c r="CF1450" s="5">
        <v>42667</v>
      </c>
      <c r="CG1450" s="2"/>
      <c r="CH1450" s="2"/>
      <c r="CI1450" s="2">
        <v>2</v>
      </c>
      <c r="CJ1450" s="2">
        <v>4</v>
      </c>
      <c r="CK1450" s="2" t="s">
        <v>1063</v>
      </c>
      <c r="CL1450" s="2" t="s">
        <v>88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"FES1162507164"</f>
        <v>FES1162507164</v>
      </c>
      <c r="F1451" s="3">
        <v>42660</v>
      </c>
      <c r="G1451" s="2">
        <v>201704</v>
      </c>
      <c r="H1451" s="2" t="s">
        <v>74</v>
      </c>
      <c r="I1451" s="2" t="s">
        <v>75</v>
      </c>
      <c r="J1451" s="2" t="s">
        <v>76</v>
      </c>
      <c r="K1451" s="2" t="s">
        <v>77</v>
      </c>
      <c r="L1451" s="2" t="s">
        <v>78</v>
      </c>
      <c r="M1451" s="2" t="s">
        <v>79</v>
      </c>
      <c r="N1451" s="2" t="s">
        <v>89</v>
      </c>
      <c r="O1451" s="2" t="s">
        <v>81</v>
      </c>
      <c r="P1451" s="2" t="str">
        <f>"2170530639                    "</f>
        <v xml:space="preserve">2170530639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5.7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2</v>
      </c>
      <c r="BI1451" s="2">
        <v>10.5</v>
      </c>
      <c r="BJ1451" s="2">
        <v>8.3000000000000007</v>
      </c>
      <c r="BK1451" s="2">
        <v>11</v>
      </c>
      <c r="BL1451" s="2">
        <v>75.05</v>
      </c>
      <c r="BM1451" s="2">
        <v>10.51</v>
      </c>
      <c r="BN1451" s="2">
        <v>85.56</v>
      </c>
      <c r="BO1451" s="2">
        <v>85.56</v>
      </c>
      <c r="BP1451" s="2" t="s">
        <v>90</v>
      </c>
      <c r="BQ1451" s="2" t="s">
        <v>91</v>
      </c>
      <c r="BR1451" s="2" t="s">
        <v>83</v>
      </c>
      <c r="BS1451" s="3">
        <v>42661</v>
      </c>
      <c r="BT1451" s="4">
        <v>0.41666666666666669</v>
      </c>
      <c r="BU1451" s="2" t="s">
        <v>84</v>
      </c>
      <c r="BV1451" s="2" t="s">
        <v>85</v>
      </c>
      <c r="BW1451" s="2"/>
      <c r="BX1451" s="2"/>
      <c r="BY1451" s="2">
        <v>41697.54</v>
      </c>
      <c r="BZ1451" s="2"/>
      <c r="CA1451" s="2"/>
      <c r="CB1451" s="2"/>
      <c r="CC1451" s="2" t="s">
        <v>79</v>
      </c>
      <c r="CD1451" s="2">
        <v>1873</v>
      </c>
      <c r="CE1451" s="2" t="s">
        <v>86</v>
      </c>
      <c r="CF1451" s="5">
        <v>42663</v>
      </c>
      <c r="CG1451" s="2"/>
      <c r="CH1451" s="2"/>
      <c r="CI1451" s="2">
        <v>1</v>
      </c>
      <c r="CJ1451" s="2">
        <v>1</v>
      </c>
      <c r="CK1451" s="2" t="s">
        <v>87</v>
      </c>
      <c r="CL1451" s="2" t="s">
        <v>88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"FES1162507080"</f>
        <v>FES1162507080</v>
      </c>
      <c r="F1452" s="3">
        <v>42660</v>
      </c>
      <c r="G1452" s="2">
        <v>201704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98</v>
      </c>
      <c r="M1452" s="2" t="s">
        <v>99</v>
      </c>
      <c r="N1452" s="2" t="s">
        <v>109</v>
      </c>
      <c r="O1452" s="2" t="s">
        <v>81</v>
      </c>
      <c r="P1452" s="2" t="str">
        <f>"2170528030                    "</f>
        <v xml:space="preserve">2170528030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14.35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3</v>
      </c>
      <c r="BI1452" s="2">
        <v>41</v>
      </c>
      <c r="BJ1452" s="2">
        <v>20.2</v>
      </c>
      <c r="BK1452" s="2">
        <v>41</v>
      </c>
      <c r="BL1452" s="2">
        <v>181.27</v>
      </c>
      <c r="BM1452" s="2">
        <v>25.38</v>
      </c>
      <c r="BN1452" s="2">
        <v>206.65</v>
      </c>
      <c r="BO1452" s="2">
        <v>206.65</v>
      </c>
      <c r="BP1452" s="2" t="s">
        <v>1070</v>
      </c>
      <c r="BQ1452" s="2" t="s">
        <v>110</v>
      </c>
      <c r="BR1452" s="2" t="s">
        <v>83</v>
      </c>
      <c r="BS1452" s="3">
        <v>42662</v>
      </c>
      <c r="BT1452" s="4">
        <v>0.4145833333333333</v>
      </c>
      <c r="BU1452" s="2" t="s">
        <v>629</v>
      </c>
      <c r="BV1452" s="2" t="s">
        <v>85</v>
      </c>
      <c r="BW1452" s="2"/>
      <c r="BX1452" s="2"/>
      <c r="BY1452" s="2">
        <v>100818</v>
      </c>
      <c r="BZ1452" s="2"/>
      <c r="CA1452" s="2"/>
      <c r="CB1452" s="2"/>
      <c r="CC1452" s="2" t="s">
        <v>99</v>
      </c>
      <c r="CD1452" s="2">
        <v>6001</v>
      </c>
      <c r="CE1452" s="2" t="s">
        <v>86</v>
      </c>
      <c r="CF1452" s="5">
        <v>42662</v>
      </c>
      <c r="CG1452" s="2"/>
      <c r="CH1452" s="2"/>
      <c r="CI1452" s="2">
        <v>2</v>
      </c>
      <c r="CJ1452" s="2">
        <v>2</v>
      </c>
      <c r="CK1452" s="2" t="s">
        <v>1063</v>
      </c>
      <c r="CL1452" s="2" t="s">
        <v>88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"FES1162506918"</f>
        <v>FES1162506918</v>
      </c>
      <c r="F1453" s="3">
        <v>42660</v>
      </c>
      <c r="G1453" s="2">
        <v>201704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1062</v>
      </c>
      <c r="M1453" s="2" t="s">
        <v>161</v>
      </c>
      <c r="N1453" s="2" t="s">
        <v>267</v>
      </c>
      <c r="O1453" s="2" t="s">
        <v>81</v>
      </c>
      <c r="P1453" s="2" t="str">
        <f>"2170530442                    "</f>
        <v xml:space="preserve">2170530442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6.79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1</v>
      </c>
      <c r="BJ1453" s="2">
        <v>1.3</v>
      </c>
      <c r="BK1453" s="2">
        <v>2</v>
      </c>
      <c r="BL1453" s="2">
        <v>88.43</v>
      </c>
      <c r="BM1453" s="2">
        <v>12.38</v>
      </c>
      <c r="BN1453" s="2">
        <v>100.81</v>
      </c>
      <c r="BO1453" s="2">
        <v>100.81</v>
      </c>
      <c r="BP1453" s="2" t="s">
        <v>90</v>
      </c>
      <c r="BQ1453" s="2" t="s">
        <v>117</v>
      </c>
      <c r="BR1453" s="2" t="s">
        <v>83</v>
      </c>
      <c r="BS1453" s="3">
        <v>42662</v>
      </c>
      <c r="BT1453" s="4">
        <v>0.41666666666666669</v>
      </c>
      <c r="BU1453" s="2" t="s">
        <v>1325</v>
      </c>
      <c r="BV1453" s="2" t="s">
        <v>85</v>
      </c>
      <c r="BW1453" s="2"/>
      <c r="BX1453" s="2"/>
      <c r="BY1453" s="2">
        <v>6555</v>
      </c>
      <c r="BZ1453" s="2"/>
      <c r="CA1453" s="2" t="s">
        <v>129</v>
      </c>
      <c r="CB1453" s="2"/>
      <c r="CC1453" s="2" t="s">
        <v>161</v>
      </c>
      <c r="CD1453" s="2">
        <v>7441</v>
      </c>
      <c r="CE1453" s="2" t="s">
        <v>86</v>
      </c>
      <c r="CF1453" s="5">
        <v>42663</v>
      </c>
      <c r="CG1453" s="2"/>
      <c r="CH1453" s="2"/>
      <c r="CI1453" s="2">
        <v>2</v>
      </c>
      <c r="CJ1453" s="2">
        <v>2</v>
      </c>
      <c r="CK1453" s="2" t="s">
        <v>1063</v>
      </c>
      <c r="CL1453" s="2" t="s">
        <v>88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"FES1162507078"</f>
        <v>FES1162507078</v>
      </c>
      <c r="F1454" s="3">
        <v>42660</v>
      </c>
      <c r="G1454" s="2">
        <v>201704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98</v>
      </c>
      <c r="M1454" s="2" t="s">
        <v>99</v>
      </c>
      <c r="N1454" s="2" t="s">
        <v>109</v>
      </c>
      <c r="O1454" s="2" t="s">
        <v>96</v>
      </c>
      <c r="P1454" s="2" t="str">
        <f>"2170528043                    "</f>
        <v xml:space="preserve">2170528043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18.239999999999998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2</v>
      </c>
      <c r="BI1454" s="2">
        <v>10.199999999999999</v>
      </c>
      <c r="BJ1454" s="2">
        <v>10.9</v>
      </c>
      <c r="BK1454" s="2">
        <v>11</v>
      </c>
      <c r="BL1454" s="2">
        <v>224.16</v>
      </c>
      <c r="BM1454" s="2">
        <v>31.38</v>
      </c>
      <c r="BN1454" s="2">
        <v>255.54</v>
      </c>
      <c r="BO1454" s="2">
        <v>255.54</v>
      </c>
      <c r="BP1454" s="2"/>
      <c r="BQ1454" s="2" t="s">
        <v>110</v>
      </c>
      <c r="BR1454" s="2" t="s">
        <v>83</v>
      </c>
      <c r="BS1454" s="3">
        <v>42661</v>
      </c>
      <c r="BT1454" s="4">
        <v>0.3611111111111111</v>
      </c>
      <c r="BU1454" s="2" t="s">
        <v>1613</v>
      </c>
      <c r="BV1454" s="2" t="s">
        <v>85</v>
      </c>
      <c r="BW1454" s="2"/>
      <c r="BX1454" s="2"/>
      <c r="BY1454" s="2">
        <v>54716.23</v>
      </c>
      <c r="BZ1454" s="2"/>
      <c r="CA1454" s="2" t="s">
        <v>107</v>
      </c>
      <c r="CB1454" s="2"/>
      <c r="CC1454" s="2" t="s">
        <v>99</v>
      </c>
      <c r="CD1454" s="2">
        <v>6001</v>
      </c>
      <c r="CE1454" s="2" t="s">
        <v>86</v>
      </c>
      <c r="CF1454" s="5">
        <v>42661</v>
      </c>
      <c r="CG1454" s="2"/>
      <c r="CH1454" s="2"/>
      <c r="CI1454" s="2">
        <v>1</v>
      </c>
      <c r="CJ1454" s="2">
        <v>1</v>
      </c>
      <c r="CK1454" s="2">
        <v>21</v>
      </c>
      <c r="CL1454" s="2" t="s">
        <v>88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"FES1162506917"</f>
        <v>FES1162506917</v>
      </c>
      <c r="F1455" s="3">
        <v>42660</v>
      </c>
      <c r="G1455" s="2">
        <v>201704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153</v>
      </c>
      <c r="M1455" s="2" t="s">
        <v>153</v>
      </c>
      <c r="N1455" s="2" t="s">
        <v>154</v>
      </c>
      <c r="O1455" s="2" t="s">
        <v>96</v>
      </c>
      <c r="P1455" s="2" t="str">
        <f>"2170530375                    "</f>
        <v xml:space="preserve">2170530375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3.32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1.6</v>
      </c>
      <c r="BJ1455" s="2">
        <v>1</v>
      </c>
      <c r="BK1455" s="2">
        <v>2</v>
      </c>
      <c r="BL1455" s="2">
        <v>40.76</v>
      </c>
      <c r="BM1455" s="2">
        <v>5.71</v>
      </c>
      <c r="BN1455" s="2">
        <v>46.47</v>
      </c>
      <c r="BO1455" s="2">
        <v>46.47</v>
      </c>
      <c r="BP1455" s="2"/>
      <c r="BQ1455" s="2" t="s">
        <v>117</v>
      </c>
      <c r="BR1455" s="2" t="s">
        <v>83</v>
      </c>
      <c r="BS1455" s="3">
        <v>42661</v>
      </c>
      <c r="BT1455" s="4">
        <v>0.60763888888888895</v>
      </c>
      <c r="BU1455" s="2" t="s">
        <v>636</v>
      </c>
      <c r="BV1455" s="2" t="s">
        <v>88</v>
      </c>
      <c r="BW1455" s="2" t="s">
        <v>222</v>
      </c>
      <c r="BX1455" s="2" t="s">
        <v>356</v>
      </c>
      <c r="BY1455" s="2">
        <v>5114.07</v>
      </c>
      <c r="BZ1455" s="2"/>
      <c r="CA1455" s="2"/>
      <c r="CB1455" s="2"/>
      <c r="CC1455" s="2" t="s">
        <v>153</v>
      </c>
      <c r="CD1455" s="2">
        <v>7646</v>
      </c>
      <c r="CE1455" s="2" t="s">
        <v>86</v>
      </c>
      <c r="CF1455" s="5">
        <v>42662</v>
      </c>
      <c r="CG1455" s="2"/>
      <c r="CH1455" s="2"/>
      <c r="CI1455" s="2">
        <v>1</v>
      </c>
      <c r="CJ1455" s="2">
        <v>1</v>
      </c>
      <c r="CK1455" s="2">
        <v>21</v>
      </c>
      <c r="CL1455" s="2" t="s">
        <v>88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"FES1162507075"</f>
        <v>FES1162507075</v>
      </c>
      <c r="F1456" s="3">
        <v>42660</v>
      </c>
      <c r="G1456" s="2">
        <v>201704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98</v>
      </c>
      <c r="M1456" s="2" t="s">
        <v>99</v>
      </c>
      <c r="N1456" s="2" t="s">
        <v>109</v>
      </c>
      <c r="O1456" s="2" t="s">
        <v>96</v>
      </c>
      <c r="P1456" s="2" t="str">
        <f>"2170528068                    "</f>
        <v xml:space="preserve">2170528068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25.71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2</v>
      </c>
      <c r="BI1456" s="2">
        <v>10.5</v>
      </c>
      <c r="BJ1456" s="2">
        <v>15.3</v>
      </c>
      <c r="BK1456" s="2">
        <v>15.5</v>
      </c>
      <c r="BL1456" s="2">
        <v>315.87</v>
      </c>
      <c r="BM1456" s="2">
        <v>44.22</v>
      </c>
      <c r="BN1456" s="2">
        <v>360.09</v>
      </c>
      <c r="BO1456" s="2">
        <v>360.09</v>
      </c>
      <c r="BP1456" s="2"/>
      <c r="BQ1456" s="2" t="s">
        <v>110</v>
      </c>
      <c r="BR1456" s="2" t="s">
        <v>83</v>
      </c>
      <c r="BS1456" s="3">
        <v>42661</v>
      </c>
      <c r="BT1456" s="4">
        <v>0.3611111111111111</v>
      </c>
      <c r="BU1456" s="2" t="s">
        <v>1613</v>
      </c>
      <c r="BV1456" s="2" t="s">
        <v>85</v>
      </c>
      <c r="BW1456" s="2"/>
      <c r="BX1456" s="2"/>
      <c r="BY1456" s="2">
        <v>76437.289999999994</v>
      </c>
      <c r="BZ1456" s="2"/>
      <c r="CA1456" s="2" t="s">
        <v>107</v>
      </c>
      <c r="CB1456" s="2"/>
      <c r="CC1456" s="2" t="s">
        <v>99</v>
      </c>
      <c r="CD1456" s="2">
        <v>6001</v>
      </c>
      <c r="CE1456" s="2" t="s">
        <v>86</v>
      </c>
      <c r="CF1456" s="5">
        <v>42661</v>
      </c>
      <c r="CG1456" s="2"/>
      <c r="CH1456" s="2"/>
      <c r="CI1456" s="2">
        <v>1</v>
      </c>
      <c r="CJ1456" s="2">
        <v>1</v>
      </c>
      <c r="CK1456" s="2">
        <v>21</v>
      </c>
      <c r="CL1456" s="2" t="s">
        <v>88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"FES1162507069"</f>
        <v>FES1162507069</v>
      </c>
      <c r="F1457" s="3">
        <v>42660</v>
      </c>
      <c r="G1457" s="2">
        <v>201704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153</v>
      </c>
      <c r="M1457" s="2" t="s">
        <v>153</v>
      </c>
      <c r="N1457" s="2" t="s">
        <v>353</v>
      </c>
      <c r="O1457" s="2" t="s">
        <v>96</v>
      </c>
      <c r="P1457" s="2" t="str">
        <f>"2170530574                    "</f>
        <v xml:space="preserve">2170530574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24.05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7.7</v>
      </c>
      <c r="BJ1457" s="2">
        <v>14.3</v>
      </c>
      <c r="BK1457" s="2">
        <v>14.5</v>
      </c>
      <c r="BL1457" s="2">
        <v>295.49</v>
      </c>
      <c r="BM1457" s="2">
        <v>41.37</v>
      </c>
      <c r="BN1457" s="2">
        <v>336.86</v>
      </c>
      <c r="BO1457" s="2">
        <v>336.86</v>
      </c>
      <c r="BP1457" s="2"/>
      <c r="BQ1457" s="2" t="s">
        <v>354</v>
      </c>
      <c r="BR1457" s="2" t="s">
        <v>83</v>
      </c>
      <c r="BS1457" s="3">
        <v>42661</v>
      </c>
      <c r="BT1457" s="4">
        <v>0.52083333333333337</v>
      </c>
      <c r="BU1457" s="2" t="s">
        <v>1757</v>
      </c>
      <c r="BV1457" s="2"/>
      <c r="BW1457" s="2"/>
      <c r="BX1457" s="2"/>
      <c r="BY1457" s="2">
        <v>71292</v>
      </c>
      <c r="BZ1457" s="2"/>
      <c r="CA1457" s="2"/>
      <c r="CB1457" s="2"/>
      <c r="CC1457" s="2" t="s">
        <v>153</v>
      </c>
      <c r="CD1457" s="2">
        <v>7646</v>
      </c>
      <c r="CE1457" s="2" t="s">
        <v>86</v>
      </c>
      <c r="CF1457" s="5">
        <v>42662</v>
      </c>
      <c r="CG1457" s="2"/>
      <c r="CH1457" s="2"/>
      <c r="CI1457" s="2">
        <v>0</v>
      </c>
      <c r="CJ1457" s="2">
        <v>0</v>
      </c>
      <c r="CK1457" s="2">
        <v>21</v>
      </c>
      <c r="CL1457" s="2" t="s">
        <v>88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"FES1162507020"</f>
        <v>FES1162507020</v>
      </c>
      <c r="F1458" s="3">
        <v>42660</v>
      </c>
      <c r="G1458" s="2">
        <v>201704</v>
      </c>
      <c r="H1458" s="2" t="s">
        <v>74</v>
      </c>
      <c r="I1458" s="2" t="s">
        <v>75</v>
      </c>
      <c r="J1458" s="2" t="s">
        <v>76</v>
      </c>
      <c r="K1458" s="2" t="s">
        <v>77</v>
      </c>
      <c r="L1458" s="2" t="s">
        <v>269</v>
      </c>
      <c r="M1458" s="2" t="s">
        <v>270</v>
      </c>
      <c r="N1458" s="2" t="s">
        <v>1758</v>
      </c>
      <c r="O1458" s="2" t="s">
        <v>96</v>
      </c>
      <c r="P1458" s="2" t="str">
        <f>"2170529663                    "</f>
        <v xml:space="preserve">2170529663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9.1199999999999992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2</v>
      </c>
      <c r="BI1458" s="2">
        <v>5.2</v>
      </c>
      <c r="BJ1458" s="2">
        <v>1.9</v>
      </c>
      <c r="BK1458" s="2">
        <v>5.5</v>
      </c>
      <c r="BL1458" s="2">
        <v>112.08</v>
      </c>
      <c r="BM1458" s="2">
        <v>15.69</v>
      </c>
      <c r="BN1458" s="2">
        <v>127.77</v>
      </c>
      <c r="BO1458" s="2">
        <v>127.77</v>
      </c>
      <c r="BP1458" s="2"/>
      <c r="BQ1458" s="2" t="s">
        <v>168</v>
      </c>
      <c r="BR1458" s="2" t="s">
        <v>83</v>
      </c>
      <c r="BS1458" s="3">
        <v>42661</v>
      </c>
      <c r="BT1458" s="4">
        <v>0.4375</v>
      </c>
      <c r="BU1458" s="2" t="s">
        <v>238</v>
      </c>
      <c r="BV1458" s="2" t="s">
        <v>85</v>
      </c>
      <c r="BW1458" s="2"/>
      <c r="BX1458" s="2"/>
      <c r="BY1458" s="2">
        <v>9268.9599999999991</v>
      </c>
      <c r="BZ1458" s="2"/>
      <c r="CA1458" s="2"/>
      <c r="CB1458" s="2"/>
      <c r="CC1458" s="2" t="s">
        <v>270</v>
      </c>
      <c r="CD1458" s="2">
        <v>3610</v>
      </c>
      <c r="CE1458" s="2" t="s">
        <v>368</v>
      </c>
      <c r="CF1458" s="5">
        <v>42662</v>
      </c>
      <c r="CG1458" s="2"/>
      <c r="CH1458" s="2"/>
      <c r="CI1458" s="2">
        <v>1</v>
      </c>
      <c r="CJ1458" s="2">
        <v>1</v>
      </c>
      <c r="CK1458" s="2">
        <v>21</v>
      </c>
      <c r="CL1458" s="2" t="s">
        <v>88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"FES1162507029"</f>
        <v>FES1162507029</v>
      </c>
      <c r="F1459" s="3">
        <v>42660</v>
      </c>
      <c r="G1459" s="2">
        <v>201704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160</v>
      </c>
      <c r="M1459" s="2" t="s">
        <v>161</v>
      </c>
      <c r="N1459" s="2" t="s">
        <v>179</v>
      </c>
      <c r="O1459" s="2" t="s">
        <v>96</v>
      </c>
      <c r="P1459" s="2" t="str">
        <f>"2170530401                    "</f>
        <v xml:space="preserve">2170530401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13.27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7.7</v>
      </c>
      <c r="BJ1459" s="2">
        <v>2.5</v>
      </c>
      <c r="BK1459" s="2">
        <v>8</v>
      </c>
      <c r="BL1459" s="2">
        <v>163.03</v>
      </c>
      <c r="BM1459" s="2">
        <v>22.82</v>
      </c>
      <c r="BN1459" s="2">
        <v>185.85</v>
      </c>
      <c r="BO1459" s="2">
        <v>185.85</v>
      </c>
      <c r="BP1459" s="2"/>
      <c r="BQ1459" s="2" t="s">
        <v>180</v>
      </c>
      <c r="BR1459" s="2" t="s">
        <v>83</v>
      </c>
      <c r="BS1459" s="3">
        <v>42661</v>
      </c>
      <c r="BT1459" s="4">
        <v>0.41666666666666669</v>
      </c>
      <c r="BU1459" s="2" t="s">
        <v>1711</v>
      </c>
      <c r="BV1459" s="2" t="s">
        <v>85</v>
      </c>
      <c r="BW1459" s="2"/>
      <c r="BX1459" s="2"/>
      <c r="BY1459" s="2">
        <v>12681.77</v>
      </c>
      <c r="BZ1459" s="2"/>
      <c r="CA1459" s="2"/>
      <c r="CB1459" s="2"/>
      <c r="CC1459" s="2" t="s">
        <v>161</v>
      </c>
      <c r="CD1459" s="2">
        <v>7405</v>
      </c>
      <c r="CE1459" s="2" t="s">
        <v>368</v>
      </c>
      <c r="CF1459" s="5">
        <v>42662</v>
      </c>
      <c r="CG1459" s="2"/>
      <c r="CH1459" s="2"/>
      <c r="CI1459" s="2">
        <v>1</v>
      </c>
      <c r="CJ1459" s="2">
        <v>1</v>
      </c>
      <c r="CK1459" s="2">
        <v>21</v>
      </c>
      <c r="CL1459" s="2" t="s">
        <v>88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"FES1162506979"</f>
        <v>FES1162506979</v>
      </c>
      <c r="F1460" s="3">
        <v>42660</v>
      </c>
      <c r="G1460" s="2">
        <v>201704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160</v>
      </c>
      <c r="M1460" s="2" t="s">
        <v>161</v>
      </c>
      <c r="N1460" s="2" t="s">
        <v>420</v>
      </c>
      <c r="O1460" s="2" t="s">
        <v>96</v>
      </c>
      <c r="P1460" s="2" t="str">
        <f>"2170530098                    "</f>
        <v xml:space="preserve">2170530098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3.32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1.4</v>
      </c>
      <c r="BJ1460" s="2">
        <v>2</v>
      </c>
      <c r="BK1460" s="2">
        <v>2</v>
      </c>
      <c r="BL1460" s="2">
        <v>40.76</v>
      </c>
      <c r="BM1460" s="2">
        <v>5.71</v>
      </c>
      <c r="BN1460" s="2">
        <v>46.47</v>
      </c>
      <c r="BO1460" s="2">
        <v>46.47</v>
      </c>
      <c r="BP1460" s="2"/>
      <c r="BQ1460" s="2" t="s">
        <v>1501</v>
      </c>
      <c r="BR1460" s="2" t="s">
        <v>83</v>
      </c>
      <c r="BS1460" s="3">
        <v>42661</v>
      </c>
      <c r="BT1460" s="4">
        <v>0.4236111111111111</v>
      </c>
      <c r="BU1460" s="2" t="s">
        <v>388</v>
      </c>
      <c r="BV1460" s="2" t="s">
        <v>85</v>
      </c>
      <c r="BW1460" s="2"/>
      <c r="BX1460" s="2"/>
      <c r="BY1460" s="2">
        <v>10077.6</v>
      </c>
      <c r="BZ1460" s="2"/>
      <c r="CA1460" s="2"/>
      <c r="CB1460" s="2"/>
      <c r="CC1460" s="2" t="s">
        <v>161</v>
      </c>
      <c r="CD1460" s="2">
        <v>7560</v>
      </c>
      <c r="CE1460" s="2" t="s">
        <v>86</v>
      </c>
      <c r="CF1460" s="5">
        <v>42662</v>
      </c>
      <c r="CG1460" s="2"/>
      <c r="CH1460" s="2"/>
      <c r="CI1460" s="2">
        <v>1</v>
      </c>
      <c r="CJ1460" s="2">
        <v>1</v>
      </c>
      <c r="CK1460" s="2">
        <v>21</v>
      </c>
      <c r="CL1460" s="2" t="s">
        <v>88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"FES1162507055"</f>
        <v>FES1162507055</v>
      </c>
      <c r="F1461" s="3">
        <v>42660</v>
      </c>
      <c r="G1461" s="2">
        <v>201704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253</v>
      </c>
      <c r="M1461" s="2" t="s">
        <v>254</v>
      </c>
      <c r="N1461" s="2" t="s">
        <v>255</v>
      </c>
      <c r="O1461" s="2" t="s">
        <v>96</v>
      </c>
      <c r="P1461" s="2" t="str">
        <f>"2170526507                    "</f>
        <v xml:space="preserve">2170526507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6.43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2</v>
      </c>
      <c r="BJ1461" s="2">
        <v>1.3</v>
      </c>
      <c r="BK1461" s="2">
        <v>2</v>
      </c>
      <c r="BL1461" s="2">
        <v>78.97</v>
      </c>
      <c r="BM1461" s="2">
        <v>11.06</v>
      </c>
      <c r="BN1461" s="2">
        <v>90.03</v>
      </c>
      <c r="BO1461" s="2">
        <v>90.03</v>
      </c>
      <c r="BP1461" s="2"/>
      <c r="BQ1461" s="2" t="s">
        <v>117</v>
      </c>
      <c r="BR1461" s="2" t="s">
        <v>83</v>
      </c>
      <c r="BS1461" s="3">
        <v>42661</v>
      </c>
      <c r="BT1461" s="4">
        <v>0.59722222222222221</v>
      </c>
      <c r="BU1461" s="2" t="s">
        <v>974</v>
      </c>
      <c r="BV1461" s="2" t="s">
        <v>85</v>
      </c>
      <c r="BW1461" s="2"/>
      <c r="BX1461" s="2"/>
      <c r="BY1461" s="2">
        <v>6313.73</v>
      </c>
      <c r="BZ1461" s="2"/>
      <c r="CA1461" s="2"/>
      <c r="CB1461" s="2"/>
      <c r="CC1461" s="2" t="s">
        <v>254</v>
      </c>
      <c r="CD1461" s="2">
        <v>3370</v>
      </c>
      <c r="CE1461" s="2" t="s">
        <v>86</v>
      </c>
      <c r="CF1461" s="5">
        <v>42663</v>
      </c>
      <c r="CG1461" s="2"/>
      <c r="CH1461" s="2"/>
      <c r="CI1461" s="2">
        <v>3</v>
      </c>
      <c r="CJ1461" s="2">
        <v>1</v>
      </c>
      <c r="CK1461" s="2">
        <v>23</v>
      </c>
      <c r="CL1461" s="2" t="s">
        <v>88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"FES1162507054"</f>
        <v>FES1162507054</v>
      </c>
      <c r="F1462" s="3">
        <v>42660</v>
      </c>
      <c r="G1462" s="2">
        <v>201704</v>
      </c>
      <c r="H1462" s="2" t="s">
        <v>74</v>
      </c>
      <c r="I1462" s="2" t="s">
        <v>75</v>
      </c>
      <c r="J1462" s="2" t="s">
        <v>76</v>
      </c>
      <c r="K1462" s="2" t="s">
        <v>77</v>
      </c>
      <c r="L1462" s="2" t="s">
        <v>98</v>
      </c>
      <c r="M1462" s="2" t="s">
        <v>99</v>
      </c>
      <c r="N1462" s="2" t="s">
        <v>894</v>
      </c>
      <c r="O1462" s="2" t="s">
        <v>96</v>
      </c>
      <c r="P1462" s="2" t="str">
        <f>"2170525243                    "</f>
        <v xml:space="preserve">2170525243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4.9800000000000004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2.5</v>
      </c>
      <c r="BJ1462" s="2">
        <v>2.9</v>
      </c>
      <c r="BK1462" s="2">
        <v>3</v>
      </c>
      <c r="BL1462" s="2">
        <v>61.14</v>
      </c>
      <c r="BM1462" s="2">
        <v>8.56</v>
      </c>
      <c r="BN1462" s="2">
        <v>69.7</v>
      </c>
      <c r="BO1462" s="2">
        <v>69.7</v>
      </c>
      <c r="BP1462" s="2"/>
      <c r="BQ1462" s="2" t="s">
        <v>895</v>
      </c>
      <c r="BR1462" s="2" t="s">
        <v>83</v>
      </c>
      <c r="BS1462" s="3">
        <v>42661</v>
      </c>
      <c r="BT1462" s="4">
        <v>0.30694444444444441</v>
      </c>
      <c r="BU1462" s="2" t="s">
        <v>1143</v>
      </c>
      <c r="BV1462" s="2" t="s">
        <v>85</v>
      </c>
      <c r="BW1462" s="2"/>
      <c r="BX1462" s="2"/>
      <c r="BY1462" s="2">
        <v>14444.8</v>
      </c>
      <c r="BZ1462" s="2"/>
      <c r="CA1462" s="2" t="s">
        <v>107</v>
      </c>
      <c r="CB1462" s="2"/>
      <c r="CC1462" s="2" t="s">
        <v>99</v>
      </c>
      <c r="CD1462" s="2">
        <v>6012</v>
      </c>
      <c r="CE1462" s="2" t="s">
        <v>86</v>
      </c>
      <c r="CF1462" s="5">
        <v>42661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88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"FES1162507063"</f>
        <v>FES1162507063</v>
      </c>
      <c r="F1463" s="3">
        <v>42660</v>
      </c>
      <c r="G1463" s="2">
        <v>201704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323</v>
      </c>
      <c r="M1463" s="2" t="s">
        <v>324</v>
      </c>
      <c r="N1463" s="2" t="s">
        <v>325</v>
      </c>
      <c r="O1463" s="2" t="s">
        <v>96</v>
      </c>
      <c r="P1463" s="2" t="str">
        <f>"2170528386                    "</f>
        <v xml:space="preserve">2170528386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38.979999999999997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9.6999999999999993</v>
      </c>
      <c r="BJ1463" s="2">
        <v>23.3</v>
      </c>
      <c r="BK1463" s="2">
        <v>23.5</v>
      </c>
      <c r="BL1463" s="2">
        <v>478.9</v>
      </c>
      <c r="BM1463" s="2">
        <v>67.05</v>
      </c>
      <c r="BN1463" s="2">
        <v>545.95000000000005</v>
      </c>
      <c r="BO1463" s="2">
        <v>545.95000000000005</v>
      </c>
      <c r="BP1463" s="2"/>
      <c r="BQ1463" s="2" t="s">
        <v>117</v>
      </c>
      <c r="BR1463" s="2" t="s">
        <v>83</v>
      </c>
      <c r="BS1463" s="3">
        <v>42661</v>
      </c>
      <c r="BT1463" s="4">
        <v>0.4236111111111111</v>
      </c>
      <c r="BU1463" s="2" t="s">
        <v>1759</v>
      </c>
      <c r="BV1463" s="2"/>
      <c r="BW1463" s="2"/>
      <c r="BX1463" s="2"/>
      <c r="BY1463" s="2">
        <v>116678.31</v>
      </c>
      <c r="BZ1463" s="2"/>
      <c r="CA1463" s="2" t="s">
        <v>129</v>
      </c>
      <c r="CB1463" s="2"/>
      <c r="CC1463" s="2" t="s">
        <v>324</v>
      </c>
      <c r="CD1463" s="2">
        <v>9301</v>
      </c>
      <c r="CE1463" s="2" t="s">
        <v>86</v>
      </c>
      <c r="CF1463" s="5">
        <v>42663</v>
      </c>
      <c r="CG1463" s="2"/>
      <c r="CH1463" s="2"/>
      <c r="CI1463" s="2">
        <v>0</v>
      </c>
      <c r="CJ1463" s="2">
        <v>0</v>
      </c>
      <c r="CK1463" s="2">
        <v>21</v>
      </c>
      <c r="CL1463" s="2" t="s">
        <v>88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"FES1162506929"</f>
        <v>FES1162506929</v>
      </c>
      <c r="F1464" s="3">
        <v>42660</v>
      </c>
      <c r="G1464" s="2">
        <v>201704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98</v>
      </c>
      <c r="M1464" s="2" t="s">
        <v>99</v>
      </c>
      <c r="N1464" s="2" t="s">
        <v>133</v>
      </c>
      <c r="O1464" s="2" t="s">
        <v>96</v>
      </c>
      <c r="P1464" s="2" t="str">
        <f>"2170530490                    "</f>
        <v xml:space="preserve">2170530490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26.54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10.7</v>
      </c>
      <c r="BJ1464" s="2">
        <v>15.6</v>
      </c>
      <c r="BK1464" s="2">
        <v>16</v>
      </c>
      <c r="BL1464" s="2">
        <v>326.06</v>
      </c>
      <c r="BM1464" s="2">
        <v>45.65</v>
      </c>
      <c r="BN1464" s="2">
        <v>371.71</v>
      </c>
      <c r="BO1464" s="2">
        <v>371.71</v>
      </c>
      <c r="BP1464" s="2"/>
      <c r="BQ1464" s="2" t="s">
        <v>134</v>
      </c>
      <c r="BR1464" s="2" t="s">
        <v>83</v>
      </c>
      <c r="BS1464" s="3">
        <v>42661</v>
      </c>
      <c r="BT1464" s="4">
        <v>0.33333333333333331</v>
      </c>
      <c r="BU1464" s="2" t="s">
        <v>554</v>
      </c>
      <c r="BV1464" s="2" t="s">
        <v>85</v>
      </c>
      <c r="BW1464" s="2"/>
      <c r="BX1464" s="2"/>
      <c r="BY1464" s="2">
        <v>78048.3</v>
      </c>
      <c r="BZ1464" s="2"/>
      <c r="CA1464" s="2"/>
      <c r="CB1464" s="2"/>
      <c r="CC1464" s="2" t="s">
        <v>99</v>
      </c>
      <c r="CD1464" s="2">
        <v>6001</v>
      </c>
      <c r="CE1464" s="2" t="s">
        <v>368</v>
      </c>
      <c r="CF1464" s="5">
        <v>42662</v>
      </c>
      <c r="CG1464" s="2"/>
      <c r="CH1464" s="2"/>
      <c r="CI1464" s="2">
        <v>1</v>
      </c>
      <c r="CJ1464" s="2">
        <v>1</v>
      </c>
      <c r="CK1464" s="2">
        <v>21</v>
      </c>
      <c r="CL1464" s="2" t="s">
        <v>88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"FES1162506993"</f>
        <v>FES1162506993</v>
      </c>
      <c r="F1465" s="3">
        <v>42660</v>
      </c>
      <c r="G1465" s="2">
        <v>201704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98</v>
      </c>
      <c r="M1465" s="2" t="s">
        <v>99</v>
      </c>
      <c r="N1465" s="2" t="s">
        <v>109</v>
      </c>
      <c r="O1465" s="2" t="s">
        <v>96</v>
      </c>
      <c r="P1465" s="2" t="str">
        <f>"2170528016                    "</f>
        <v xml:space="preserve">2170528016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5.81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2.6</v>
      </c>
      <c r="BJ1465" s="2">
        <v>3.5</v>
      </c>
      <c r="BK1465" s="2">
        <v>3.5</v>
      </c>
      <c r="BL1465" s="2">
        <v>71.33</v>
      </c>
      <c r="BM1465" s="2">
        <v>9.99</v>
      </c>
      <c r="BN1465" s="2">
        <v>81.319999999999993</v>
      </c>
      <c r="BO1465" s="2">
        <v>81.319999999999993</v>
      </c>
      <c r="BP1465" s="2"/>
      <c r="BQ1465" s="2" t="s">
        <v>110</v>
      </c>
      <c r="BR1465" s="2" t="s">
        <v>83</v>
      </c>
      <c r="BS1465" s="3">
        <v>42661</v>
      </c>
      <c r="BT1465" s="4">
        <v>0.3611111111111111</v>
      </c>
      <c r="BU1465" s="2" t="s">
        <v>1613</v>
      </c>
      <c r="BV1465" s="2" t="s">
        <v>85</v>
      </c>
      <c r="BW1465" s="2"/>
      <c r="BX1465" s="2"/>
      <c r="BY1465" s="2">
        <v>17288.7</v>
      </c>
      <c r="BZ1465" s="2"/>
      <c r="CA1465" s="2" t="s">
        <v>107</v>
      </c>
      <c r="CB1465" s="2"/>
      <c r="CC1465" s="2" t="s">
        <v>99</v>
      </c>
      <c r="CD1465" s="2">
        <v>6001</v>
      </c>
      <c r="CE1465" s="2" t="s">
        <v>86</v>
      </c>
      <c r="CF1465" s="5">
        <v>42661</v>
      </c>
      <c r="CG1465" s="2"/>
      <c r="CH1465" s="2"/>
      <c r="CI1465" s="2">
        <v>1</v>
      </c>
      <c r="CJ1465" s="2">
        <v>1</v>
      </c>
      <c r="CK1465" s="2">
        <v>21</v>
      </c>
      <c r="CL1465" s="2" t="s">
        <v>88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"FES1162507021"</f>
        <v>FES1162507021</v>
      </c>
      <c r="F1466" s="3">
        <v>42660</v>
      </c>
      <c r="G1466" s="2">
        <v>201704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171</v>
      </c>
      <c r="M1466" s="2" t="s">
        <v>172</v>
      </c>
      <c r="N1466" s="2" t="s">
        <v>429</v>
      </c>
      <c r="O1466" s="2" t="s">
        <v>96</v>
      </c>
      <c r="P1466" s="2" t="str">
        <f>"2170529737                    "</f>
        <v xml:space="preserve">2170529737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5.81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3.3</v>
      </c>
      <c r="BJ1466" s="2">
        <v>1.4</v>
      </c>
      <c r="BK1466" s="2">
        <v>3.5</v>
      </c>
      <c r="BL1466" s="2">
        <v>71.33</v>
      </c>
      <c r="BM1466" s="2">
        <v>9.99</v>
      </c>
      <c r="BN1466" s="2">
        <v>81.319999999999993</v>
      </c>
      <c r="BO1466" s="2">
        <v>81.319999999999993</v>
      </c>
      <c r="BP1466" s="2"/>
      <c r="BQ1466" s="2" t="s">
        <v>430</v>
      </c>
      <c r="BR1466" s="2" t="s">
        <v>83</v>
      </c>
      <c r="BS1466" s="3">
        <v>42660</v>
      </c>
      <c r="BT1466" s="4">
        <v>0.41319444444444442</v>
      </c>
      <c r="BU1466" s="2" t="s">
        <v>920</v>
      </c>
      <c r="BV1466" s="2" t="s">
        <v>85</v>
      </c>
      <c r="BW1466" s="2"/>
      <c r="BX1466" s="2"/>
      <c r="BY1466" s="2">
        <v>6776.35</v>
      </c>
      <c r="BZ1466" s="2"/>
      <c r="CA1466" s="2"/>
      <c r="CB1466" s="2"/>
      <c r="CC1466" s="2" t="s">
        <v>172</v>
      </c>
      <c r="CD1466" s="2">
        <v>6220</v>
      </c>
      <c r="CE1466" s="2" t="s">
        <v>86</v>
      </c>
      <c r="CF1466" s="5">
        <v>42662</v>
      </c>
      <c r="CG1466" s="2"/>
      <c r="CH1466" s="2"/>
      <c r="CI1466" s="2">
        <v>1</v>
      </c>
      <c r="CJ1466" s="2">
        <v>0</v>
      </c>
      <c r="CK1466" s="2">
        <v>21</v>
      </c>
      <c r="CL1466" s="2" t="s">
        <v>88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"FES1162506964"</f>
        <v>FES1162506964</v>
      </c>
      <c r="F1467" s="3">
        <v>42660</v>
      </c>
      <c r="G1467" s="2">
        <v>201704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148</v>
      </c>
      <c r="M1467" s="2" t="s">
        <v>149</v>
      </c>
      <c r="N1467" s="2" t="s">
        <v>1647</v>
      </c>
      <c r="O1467" s="2" t="s">
        <v>96</v>
      </c>
      <c r="P1467" s="2" t="str">
        <f>"2170528921                    "</f>
        <v xml:space="preserve">2170528921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4.9800000000000004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1.2</v>
      </c>
      <c r="BJ1467" s="2">
        <v>2.6</v>
      </c>
      <c r="BK1467" s="2">
        <v>3</v>
      </c>
      <c r="BL1467" s="2">
        <v>61.14</v>
      </c>
      <c r="BM1467" s="2">
        <v>8.56</v>
      </c>
      <c r="BN1467" s="2">
        <v>69.7</v>
      </c>
      <c r="BO1467" s="2">
        <v>69.7</v>
      </c>
      <c r="BP1467" s="2"/>
      <c r="BQ1467" s="2" t="s">
        <v>1648</v>
      </c>
      <c r="BR1467" s="2" t="s">
        <v>83</v>
      </c>
      <c r="BS1467" s="3">
        <v>42661</v>
      </c>
      <c r="BT1467" s="4">
        <v>0.4375</v>
      </c>
      <c r="BU1467" s="2" t="s">
        <v>1760</v>
      </c>
      <c r="BV1467" s="2" t="s">
        <v>85</v>
      </c>
      <c r="BW1467" s="2"/>
      <c r="BX1467" s="2"/>
      <c r="BY1467" s="2">
        <v>13241.75</v>
      </c>
      <c r="BZ1467" s="2"/>
      <c r="CA1467" s="2"/>
      <c r="CB1467" s="2"/>
      <c r="CC1467" s="2" t="s">
        <v>149</v>
      </c>
      <c r="CD1467" s="2">
        <v>4001</v>
      </c>
      <c r="CE1467" s="2" t="s">
        <v>86</v>
      </c>
      <c r="CF1467" s="5">
        <v>42662</v>
      </c>
      <c r="CG1467" s="2"/>
      <c r="CH1467" s="2"/>
      <c r="CI1467" s="2">
        <v>1</v>
      </c>
      <c r="CJ1467" s="2">
        <v>1</v>
      </c>
      <c r="CK1467" s="2">
        <v>21</v>
      </c>
      <c r="CL1467" s="2" t="s">
        <v>88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"FES1162507057"</f>
        <v>FES1162507057</v>
      </c>
      <c r="F1468" s="3">
        <v>42660</v>
      </c>
      <c r="G1468" s="2">
        <v>201704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148</v>
      </c>
      <c r="M1468" s="2" t="s">
        <v>149</v>
      </c>
      <c r="N1468" s="2" t="s">
        <v>483</v>
      </c>
      <c r="O1468" s="2" t="s">
        <v>96</v>
      </c>
      <c r="P1468" s="2" t="str">
        <f>"2170527163                    "</f>
        <v xml:space="preserve">2170527163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33.17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19.899999999999999</v>
      </c>
      <c r="BJ1468" s="2">
        <v>4.7</v>
      </c>
      <c r="BK1468" s="2">
        <v>20</v>
      </c>
      <c r="BL1468" s="2">
        <v>407.57</v>
      </c>
      <c r="BM1468" s="2">
        <v>57.06</v>
      </c>
      <c r="BN1468" s="2">
        <v>464.63</v>
      </c>
      <c r="BO1468" s="2">
        <v>464.63</v>
      </c>
      <c r="BP1468" s="2"/>
      <c r="BQ1468" s="2" t="s">
        <v>484</v>
      </c>
      <c r="BR1468" s="2" t="s">
        <v>83</v>
      </c>
      <c r="BS1468" s="3">
        <v>42661</v>
      </c>
      <c r="BT1468" s="4">
        <v>0.4375</v>
      </c>
      <c r="BU1468" s="2" t="s">
        <v>1325</v>
      </c>
      <c r="BV1468" s="2"/>
      <c r="BW1468" s="2"/>
      <c r="BX1468" s="2"/>
      <c r="BY1468" s="2">
        <v>23378.94</v>
      </c>
      <c r="BZ1468" s="2"/>
      <c r="CA1468" s="2" t="s">
        <v>129</v>
      </c>
      <c r="CB1468" s="2"/>
      <c r="CC1468" s="2" t="s">
        <v>149</v>
      </c>
      <c r="CD1468" s="2">
        <v>4001</v>
      </c>
      <c r="CE1468" s="2" t="s">
        <v>86</v>
      </c>
      <c r="CF1468" s="5">
        <v>42662</v>
      </c>
      <c r="CG1468" s="2"/>
      <c r="CH1468" s="2"/>
      <c r="CI1468" s="2">
        <v>0</v>
      </c>
      <c r="CJ1468" s="2">
        <v>0</v>
      </c>
      <c r="CK1468" s="2">
        <v>21</v>
      </c>
      <c r="CL1468" s="2" t="s">
        <v>88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"FES1162507047"</f>
        <v>FES1162507047</v>
      </c>
      <c r="F1469" s="3">
        <v>42660</v>
      </c>
      <c r="G1469" s="2">
        <v>201704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93</v>
      </c>
      <c r="M1469" s="2" t="s">
        <v>94</v>
      </c>
      <c r="N1469" s="2" t="s">
        <v>130</v>
      </c>
      <c r="O1469" s="2" t="s">
        <v>96</v>
      </c>
      <c r="P1469" s="2" t="str">
        <f>"2170530553                    "</f>
        <v xml:space="preserve">2170530553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4.1500000000000004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2.1</v>
      </c>
      <c r="BJ1469" s="2">
        <v>1</v>
      </c>
      <c r="BK1469" s="2">
        <v>2.5</v>
      </c>
      <c r="BL1469" s="2">
        <v>50.95</v>
      </c>
      <c r="BM1469" s="2">
        <v>7.13</v>
      </c>
      <c r="BN1469" s="2">
        <v>58.08</v>
      </c>
      <c r="BO1469" s="2">
        <v>58.08</v>
      </c>
      <c r="BP1469" s="2"/>
      <c r="BQ1469" s="2" t="s">
        <v>131</v>
      </c>
      <c r="BR1469" s="2" t="s">
        <v>83</v>
      </c>
      <c r="BS1469" s="3">
        <v>42661</v>
      </c>
      <c r="BT1469" s="4">
        <v>0.4375</v>
      </c>
      <c r="BU1469" s="2" t="s">
        <v>1667</v>
      </c>
      <c r="BV1469" s="2" t="s">
        <v>85</v>
      </c>
      <c r="BW1469" s="2"/>
      <c r="BX1469" s="2"/>
      <c r="BY1469" s="2">
        <v>5212.03</v>
      </c>
      <c r="BZ1469" s="2"/>
      <c r="CA1469" s="2" t="s">
        <v>129</v>
      </c>
      <c r="CB1469" s="2"/>
      <c r="CC1469" s="2" t="s">
        <v>94</v>
      </c>
      <c r="CD1469" s="2">
        <v>4302</v>
      </c>
      <c r="CE1469" s="2" t="s">
        <v>86</v>
      </c>
      <c r="CF1469" s="5">
        <v>42662</v>
      </c>
      <c r="CG1469" s="2"/>
      <c r="CH1469" s="2"/>
      <c r="CI1469" s="2">
        <v>1</v>
      </c>
      <c r="CJ1469" s="2">
        <v>1</v>
      </c>
      <c r="CK1469" s="2">
        <v>21</v>
      </c>
      <c r="CL1469" s="2" t="s">
        <v>88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"FES1162507082"</f>
        <v>FES1162507082</v>
      </c>
      <c r="F1470" s="3">
        <v>42660</v>
      </c>
      <c r="G1470" s="2">
        <v>201704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119</v>
      </c>
      <c r="M1470" s="2" t="s">
        <v>120</v>
      </c>
      <c r="N1470" s="2" t="s">
        <v>1258</v>
      </c>
      <c r="O1470" s="2" t="s">
        <v>96</v>
      </c>
      <c r="P1470" s="2" t="str">
        <f>"2170526215                    "</f>
        <v xml:space="preserve">2170526215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118.59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2</v>
      </c>
      <c r="BI1470" s="2">
        <v>25.8</v>
      </c>
      <c r="BJ1470" s="2">
        <v>71.5</v>
      </c>
      <c r="BK1470" s="2">
        <v>71.5</v>
      </c>
      <c r="BL1470" s="2">
        <v>1457.07</v>
      </c>
      <c r="BM1470" s="2">
        <v>203.99</v>
      </c>
      <c r="BN1470" s="2">
        <v>1661.06</v>
      </c>
      <c r="BO1470" s="2">
        <v>1661.06</v>
      </c>
      <c r="BP1470" s="2"/>
      <c r="BQ1470" s="2" t="s">
        <v>1259</v>
      </c>
      <c r="BR1470" s="2" t="s">
        <v>83</v>
      </c>
      <c r="BS1470" s="3">
        <v>42661</v>
      </c>
      <c r="BT1470" s="4">
        <v>0.41666666666666669</v>
      </c>
      <c r="BU1470" s="2" t="s">
        <v>1689</v>
      </c>
      <c r="BV1470" s="2" t="s">
        <v>85</v>
      </c>
      <c r="BW1470" s="2"/>
      <c r="BX1470" s="2"/>
      <c r="BY1470" s="2">
        <v>357388.13</v>
      </c>
      <c r="BZ1470" s="2"/>
      <c r="CA1470" s="2"/>
      <c r="CB1470" s="2"/>
      <c r="CC1470" s="2" t="s">
        <v>120</v>
      </c>
      <c r="CD1470" s="2">
        <v>6229</v>
      </c>
      <c r="CE1470" s="2" t="s">
        <v>86</v>
      </c>
      <c r="CF1470" s="5">
        <v>42662</v>
      </c>
      <c r="CG1470" s="2"/>
      <c r="CH1470" s="2"/>
      <c r="CI1470" s="2">
        <v>1</v>
      </c>
      <c r="CJ1470" s="2">
        <v>1</v>
      </c>
      <c r="CK1470" s="2">
        <v>21</v>
      </c>
      <c r="CL1470" s="2" t="s">
        <v>88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"FES1162507059"</f>
        <v>FES1162507059</v>
      </c>
      <c r="F1471" s="3">
        <v>42660</v>
      </c>
      <c r="G1471" s="2">
        <v>201704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160</v>
      </c>
      <c r="M1471" s="2" t="s">
        <v>161</v>
      </c>
      <c r="N1471" s="2" t="s">
        <v>244</v>
      </c>
      <c r="O1471" s="2" t="s">
        <v>96</v>
      </c>
      <c r="P1471" s="2" t="str">
        <f>"2170527526                    "</f>
        <v xml:space="preserve">2170527526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7.46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4.4000000000000004</v>
      </c>
      <c r="BJ1471" s="2">
        <v>2.9</v>
      </c>
      <c r="BK1471" s="2">
        <v>4.5</v>
      </c>
      <c r="BL1471" s="2">
        <v>91.7</v>
      </c>
      <c r="BM1471" s="2">
        <v>12.84</v>
      </c>
      <c r="BN1471" s="2">
        <v>104.54</v>
      </c>
      <c r="BO1471" s="2">
        <v>104.54</v>
      </c>
      <c r="BP1471" s="2"/>
      <c r="BQ1471" s="2" t="s">
        <v>117</v>
      </c>
      <c r="BR1471" s="2" t="s">
        <v>83</v>
      </c>
      <c r="BS1471" s="3">
        <v>42661</v>
      </c>
      <c r="BT1471" s="4">
        <v>0.41666666666666669</v>
      </c>
      <c r="BU1471" s="2" t="s">
        <v>709</v>
      </c>
      <c r="BV1471" s="2" t="s">
        <v>85</v>
      </c>
      <c r="BW1471" s="2"/>
      <c r="BX1471" s="2"/>
      <c r="BY1471" s="2">
        <v>14478.33</v>
      </c>
      <c r="BZ1471" s="2"/>
      <c r="CA1471" s="2"/>
      <c r="CB1471" s="2"/>
      <c r="CC1471" s="2" t="s">
        <v>161</v>
      </c>
      <c r="CD1471" s="2">
        <v>7800</v>
      </c>
      <c r="CE1471" s="2" t="s">
        <v>86</v>
      </c>
      <c r="CF1471" s="5">
        <v>42662</v>
      </c>
      <c r="CG1471" s="2"/>
      <c r="CH1471" s="2"/>
      <c r="CI1471" s="2">
        <v>1</v>
      </c>
      <c r="CJ1471" s="2">
        <v>1</v>
      </c>
      <c r="CK1471" s="2">
        <v>21</v>
      </c>
      <c r="CL1471" s="2" t="s">
        <v>88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"FES1162506982"</f>
        <v>FES1162506982</v>
      </c>
      <c r="F1472" s="3">
        <v>42660</v>
      </c>
      <c r="G1472" s="2">
        <v>201704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207</v>
      </c>
      <c r="M1472" s="2" t="s">
        <v>208</v>
      </c>
      <c r="N1472" s="2" t="s">
        <v>1761</v>
      </c>
      <c r="O1472" s="2" t="s">
        <v>96</v>
      </c>
      <c r="P1472" s="2" t="str">
        <f>"2170530451                    "</f>
        <v xml:space="preserve">2170530451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6.63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1</v>
      </c>
      <c r="BI1472" s="2">
        <v>3.3</v>
      </c>
      <c r="BJ1472" s="2">
        <v>3.9</v>
      </c>
      <c r="BK1472" s="2">
        <v>4</v>
      </c>
      <c r="BL1472" s="2">
        <v>81.510000000000005</v>
      </c>
      <c r="BM1472" s="2">
        <v>11.41</v>
      </c>
      <c r="BN1472" s="2">
        <v>92.92</v>
      </c>
      <c r="BO1472" s="2">
        <v>92.92</v>
      </c>
      <c r="BP1472" s="2"/>
      <c r="BQ1472" s="2" t="s">
        <v>1762</v>
      </c>
      <c r="BR1472" s="2" t="s">
        <v>83</v>
      </c>
      <c r="BS1472" s="3">
        <v>42661</v>
      </c>
      <c r="BT1472" s="4">
        <v>0.4375</v>
      </c>
      <c r="BU1472" s="2" t="s">
        <v>1763</v>
      </c>
      <c r="BV1472" s="2" t="s">
        <v>85</v>
      </c>
      <c r="BW1472" s="2"/>
      <c r="BX1472" s="2"/>
      <c r="BY1472" s="2">
        <v>19621.14</v>
      </c>
      <c r="BZ1472" s="2"/>
      <c r="CA1472" s="2"/>
      <c r="CB1472" s="2"/>
      <c r="CC1472" s="2" t="s">
        <v>208</v>
      </c>
      <c r="CD1472" s="2">
        <v>4110</v>
      </c>
      <c r="CE1472" s="2" t="s">
        <v>86</v>
      </c>
      <c r="CF1472" s="5">
        <v>42662</v>
      </c>
      <c r="CG1472" s="2"/>
      <c r="CH1472" s="2"/>
      <c r="CI1472" s="2">
        <v>1</v>
      </c>
      <c r="CJ1472" s="2">
        <v>1</v>
      </c>
      <c r="CK1472" s="2">
        <v>21</v>
      </c>
      <c r="CL1472" s="2" t="s">
        <v>88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"FES1162506000"</f>
        <v>FES1162506000</v>
      </c>
      <c r="F1473" s="3">
        <v>42660</v>
      </c>
      <c r="G1473" s="2">
        <v>201704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148</v>
      </c>
      <c r="M1473" s="2" t="s">
        <v>149</v>
      </c>
      <c r="N1473" s="2" t="s">
        <v>296</v>
      </c>
      <c r="O1473" s="2" t="s">
        <v>96</v>
      </c>
      <c r="P1473" s="2" t="str">
        <f>"2170524680                    "</f>
        <v xml:space="preserve">2170524680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16.59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1</v>
      </c>
      <c r="BI1473" s="2">
        <v>10</v>
      </c>
      <c r="BJ1473" s="2">
        <v>7.5</v>
      </c>
      <c r="BK1473" s="2">
        <v>10</v>
      </c>
      <c r="BL1473" s="2">
        <v>203.79</v>
      </c>
      <c r="BM1473" s="2">
        <v>28.53</v>
      </c>
      <c r="BN1473" s="2">
        <v>232.32</v>
      </c>
      <c r="BO1473" s="2">
        <v>232.32</v>
      </c>
      <c r="BP1473" s="2"/>
      <c r="BQ1473" s="2" t="s">
        <v>168</v>
      </c>
      <c r="BR1473" s="2" t="s">
        <v>83</v>
      </c>
      <c r="BS1473" s="3">
        <v>42661</v>
      </c>
      <c r="BT1473" s="4">
        <v>0.4375</v>
      </c>
      <c r="BU1473" s="2" t="s">
        <v>431</v>
      </c>
      <c r="BV1473" s="2" t="s">
        <v>85</v>
      </c>
      <c r="BW1473" s="2"/>
      <c r="BX1473" s="2"/>
      <c r="BY1473" s="2">
        <v>37578.239999999998</v>
      </c>
      <c r="BZ1473" s="2"/>
      <c r="CA1473" s="2"/>
      <c r="CB1473" s="2"/>
      <c r="CC1473" s="2" t="s">
        <v>149</v>
      </c>
      <c r="CD1473" s="2">
        <v>4001</v>
      </c>
      <c r="CE1473" s="2" t="s">
        <v>86</v>
      </c>
      <c r="CF1473" s="5">
        <v>42662</v>
      </c>
      <c r="CG1473" s="2"/>
      <c r="CH1473" s="2"/>
      <c r="CI1473" s="2">
        <v>1</v>
      </c>
      <c r="CJ1473" s="2">
        <v>1</v>
      </c>
      <c r="CK1473" s="2">
        <v>21</v>
      </c>
      <c r="CL1473" s="2" t="s">
        <v>88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"FES1162507083"</f>
        <v>FES1162507083</v>
      </c>
      <c r="F1474" s="3">
        <v>42660</v>
      </c>
      <c r="G1474" s="2">
        <v>201704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98</v>
      </c>
      <c r="M1474" s="2" t="s">
        <v>99</v>
      </c>
      <c r="N1474" s="2" t="s">
        <v>109</v>
      </c>
      <c r="O1474" s="2" t="s">
        <v>96</v>
      </c>
      <c r="P1474" s="2" t="str">
        <f>"2170527969                    "</f>
        <v xml:space="preserve">2170527969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12.44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2.8</v>
      </c>
      <c r="BJ1474" s="2">
        <v>7.2</v>
      </c>
      <c r="BK1474" s="2">
        <v>7.5</v>
      </c>
      <c r="BL1474" s="2">
        <v>152.84</v>
      </c>
      <c r="BM1474" s="2">
        <v>21.4</v>
      </c>
      <c r="BN1474" s="2">
        <v>174.24</v>
      </c>
      <c r="BO1474" s="2">
        <v>174.24</v>
      </c>
      <c r="BP1474" s="2"/>
      <c r="BQ1474" s="2" t="s">
        <v>110</v>
      </c>
      <c r="BR1474" s="2" t="s">
        <v>83</v>
      </c>
      <c r="BS1474" s="3">
        <v>42661</v>
      </c>
      <c r="BT1474" s="4">
        <v>0.3611111111111111</v>
      </c>
      <c r="BU1474" s="2" t="s">
        <v>1613</v>
      </c>
      <c r="BV1474" s="2" t="s">
        <v>85</v>
      </c>
      <c r="BW1474" s="2"/>
      <c r="BX1474" s="2"/>
      <c r="BY1474" s="2">
        <v>35917.910000000003</v>
      </c>
      <c r="BZ1474" s="2"/>
      <c r="CA1474" s="2" t="s">
        <v>107</v>
      </c>
      <c r="CB1474" s="2"/>
      <c r="CC1474" s="2" t="s">
        <v>99</v>
      </c>
      <c r="CD1474" s="2">
        <v>6001</v>
      </c>
      <c r="CE1474" s="2" t="s">
        <v>86</v>
      </c>
      <c r="CF1474" s="5">
        <v>42661</v>
      </c>
      <c r="CG1474" s="2"/>
      <c r="CH1474" s="2"/>
      <c r="CI1474" s="2">
        <v>1</v>
      </c>
      <c r="CJ1474" s="2">
        <v>1</v>
      </c>
      <c r="CK1474" s="2">
        <v>21</v>
      </c>
      <c r="CL1474" s="2" t="s">
        <v>88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"FES1162507103"</f>
        <v>FES1162507103</v>
      </c>
      <c r="F1475" s="3">
        <v>42660</v>
      </c>
      <c r="G1475" s="2">
        <v>201704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148</v>
      </c>
      <c r="M1475" s="2" t="s">
        <v>149</v>
      </c>
      <c r="N1475" s="2" t="s">
        <v>473</v>
      </c>
      <c r="O1475" s="2" t="s">
        <v>96</v>
      </c>
      <c r="P1475" s="2" t="str">
        <f>"2170530622                    "</f>
        <v xml:space="preserve">2170530622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3.32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1.8</v>
      </c>
      <c r="BJ1475" s="2">
        <v>2</v>
      </c>
      <c r="BK1475" s="2">
        <v>2</v>
      </c>
      <c r="BL1475" s="2">
        <v>40.76</v>
      </c>
      <c r="BM1475" s="2">
        <v>5.71</v>
      </c>
      <c r="BN1475" s="2">
        <v>46.47</v>
      </c>
      <c r="BO1475" s="2">
        <v>46.47</v>
      </c>
      <c r="BP1475" s="2"/>
      <c r="BQ1475" s="2" t="s">
        <v>117</v>
      </c>
      <c r="BR1475" s="2" t="s">
        <v>83</v>
      </c>
      <c r="BS1475" s="3">
        <v>42661</v>
      </c>
      <c r="BT1475" s="4">
        <v>0.4375</v>
      </c>
      <c r="BU1475" s="2" t="s">
        <v>1764</v>
      </c>
      <c r="BV1475" s="2" t="s">
        <v>85</v>
      </c>
      <c r="BW1475" s="2"/>
      <c r="BX1475" s="2"/>
      <c r="BY1475" s="2">
        <v>9864.61</v>
      </c>
      <c r="BZ1475" s="2"/>
      <c r="CA1475" s="2"/>
      <c r="CB1475" s="2"/>
      <c r="CC1475" s="2" t="s">
        <v>149</v>
      </c>
      <c r="CD1475" s="2">
        <v>4052</v>
      </c>
      <c r="CE1475" s="2" t="s">
        <v>86</v>
      </c>
      <c r="CF1475" s="5">
        <v>42662</v>
      </c>
      <c r="CG1475" s="2"/>
      <c r="CH1475" s="2"/>
      <c r="CI1475" s="2">
        <v>1</v>
      </c>
      <c r="CJ1475" s="2">
        <v>1</v>
      </c>
      <c r="CK1475" s="2">
        <v>21</v>
      </c>
      <c r="CL1475" s="2" t="s">
        <v>88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"FES1162506920"</f>
        <v>FES1162506920</v>
      </c>
      <c r="F1476" s="3">
        <v>42660</v>
      </c>
      <c r="G1476" s="2">
        <v>201704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160</v>
      </c>
      <c r="M1476" s="2" t="s">
        <v>161</v>
      </c>
      <c r="N1476" s="2" t="s">
        <v>267</v>
      </c>
      <c r="O1476" s="2" t="s">
        <v>96</v>
      </c>
      <c r="P1476" s="2" t="str">
        <f>"2170530449                    "</f>
        <v xml:space="preserve">2170530449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7.46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1.9</v>
      </c>
      <c r="BJ1476" s="2">
        <v>4.0999999999999996</v>
      </c>
      <c r="BK1476" s="2">
        <v>4.5</v>
      </c>
      <c r="BL1476" s="2">
        <v>91.7</v>
      </c>
      <c r="BM1476" s="2">
        <v>12.84</v>
      </c>
      <c r="BN1476" s="2">
        <v>104.54</v>
      </c>
      <c r="BO1476" s="2">
        <v>104.54</v>
      </c>
      <c r="BP1476" s="2"/>
      <c r="BQ1476" s="2" t="s">
        <v>117</v>
      </c>
      <c r="BR1476" s="2" t="s">
        <v>83</v>
      </c>
      <c r="BS1476" s="3">
        <v>42661</v>
      </c>
      <c r="BT1476" s="4">
        <v>0.41666666666666669</v>
      </c>
      <c r="BU1476" s="2" t="s">
        <v>1530</v>
      </c>
      <c r="BV1476" s="2" t="s">
        <v>85</v>
      </c>
      <c r="BW1476" s="2"/>
      <c r="BX1476" s="2"/>
      <c r="BY1476" s="2">
        <v>20348.27</v>
      </c>
      <c r="BZ1476" s="2"/>
      <c r="CA1476" s="2"/>
      <c r="CB1476" s="2"/>
      <c r="CC1476" s="2" t="s">
        <v>161</v>
      </c>
      <c r="CD1476" s="2">
        <v>7441</v>
      </c>
      <c r="CE1476" s="2" t="s">
        <v>86</v>
      </c>
      <c r="CF1476" s="5">
        <v>42662</v>
      </c>
      <c r="CG1476" s="2"/>
      <c r="CH1476" s="2"/>
      <c r="CI1476" s="2">
        <v>1</v>
      </c>
      <c r="CJ1476" s="2">
        <v>1</v>
      </c>
      <c r="CK1476" s="2">
        <v>21</v>
      </c>
      <c r="CL1476" s="2" t="s">
        <v>88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"FES1162507114"</f>
        <v>FES1162507114</v>
      </c>
      <c r="F1477" s="3">
        <v>42660</v>
      </c>
      <c r="G1477" s="2">
        <v>201704</v>
      </c>
      <c r="H1477" s="2" t="s">
        <v>74</v>
      </c>
      <c r="I1477" s="2" t="s">
        <v>75</v>
      </c>
      <c r="J1477" s="2" t="s">
        <v>76</v>
      </c>
      <c r="K1477" s="2" t="s">
        <v>77</v>
      </c>
      <c r="L1477" s="2" t="s">
        <v>98</v>
      </c>
      <c r="M1477" s="2" t="s">
        <v>99</v>
      </c>
      <c r="N1477" s="2" t="s">
        <v>133</v>
      </c>
      <c r="O1477" s="2" t="s">
        <v>96</v>
      </c>
      <c r="P1477" s="2" t="str">
        <f>"2170530635                    "</f>
        <v xml:space="preserve">2170530635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24.05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14.2</v>
      </c>
      <c r="BJ1477" s="2">
        <v>4.5999999999999996</v>
      </c>
      <c r="BK1477" s="2">
        <v>14.5</v>
      </c>
      <c r="BL1477" s="2">
        <v>295.49</v>
      </c>
      <c r="BM1477" s="2">
        <v>41.37</v>
      </c>
      <c r="BN1477" s="2">
        <v>336.86</v>
      </c>
      <c r="BO1477" s="2">
        <v>336.86</v>
      </c>
      <c r="BP1477" s="2"/>
      <c r="BQ1477" s="2" t="s">
        <v>134</v>
      </c>
      <c r="BR1477" s="2" t="s">
        <v>83</v>
      </c>
      <c r="BS1477" s="3">
        <v>42661</v>
      </c>
      <c r="BT1477" s="4">
        <v>0.33333333333333331</v>
      </c>
      <c r="BU1477" s="2" t="s">
        <v>1714</v>
      </c>
      <c r="BV1477" s="2" t="s">
        <v>85</v>
      </c>
      <c r="BW1477" s="2"/>
      <c r="BX1477" s="2"/>
      <c r="BY1477" s="2">
        <v>23114.05</v>
      </c>
      <c r="BZ1477" s="2"/>
      <c r="CA1477" s="2" t="s">
        <v>437</v>
      </c>
      <c r="CB1477" s="2"/>
      <c r="CC1477" s="2" t="s">
        <v>99</v>
      </c>
      <c r="CD1477" s="2">
        <v>6001</v>
      </c>
      <c r="CE1477" s="2" t="s">
        <v>86</v>
      </c>
      <c r="CF1477" s="5">
        <v>42661</v>
      </c>
      <c r="CG1477" s="2"/>
      <c r="CH1477" s="2"/>
      <c r="CI1477" s="2">
        <v>1</v>
      </c>
      <c r="CJ1477" s="2">
        <v>1</v>
      </c>
      <c r="CK1477" s="2">
        <v>21</v>
      </c>
      <c r="CL1477" s="2" t="s">
        <v>88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"FES1162507058"</f>
        <v>FES1162507058</v>
      </c>
      <c r="F1478" s="3">
        <v>42660</v>
      </c>
      <c r="G1478" s="2">
        <v>201704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160</v>
      </c>
      <c r="M1478" s="2" t="s">
        <v>161</v>
      </c>
      <c r="N1478" s="2" t="s">
        <v>244</v>
      </c>
      <c r="O1478" s="2" t="s">
        <v>96</v>
      </c>
      <c r="P1478" s="2" t="str">
        <f>"2170527511                    "</f>
        <v xml:space="preserve">2170527511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4.1500000000000004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2</v>
      </c>
      <c r="BI1478" s="2">
        <v>2.1</v>
      </c>
      <c r="BJ1478" s="2">
        <v>1.8</v>
      </c>
      <c r="BK1478" s="2">
        <v>2.5</v>
      </c>
      <c r="BL1478" s="2">
        <v>50.95</v>
      </c>
      <c r="BM1478" s="2">
        <v>7.13</v>
      </c>
      <c r="BN1478" s="2">
        <v>58.08</v>
      </c>
      <c r="BO1478" s="2">
        <v>58.08</v>
      </c>
      <c r="BP1478" s="2"/>
      <c r="BQ1478" s="2" t="s">
        <v>117</v>
      </c>
      <c r="BR1478" s="2" t="s">
        <v>83</v>
      </c>
      <c r="BS1478" s="3">
        <v>42661</v>
      </c>
      <c r="BT1478" s="4">
        <v>0.4201388888888889</v>
      </c>
      <c r="BU1478" s="2" t="s">
        <v>709</v>
      </c>
      <c r="BV1478" s="2" t="s">
        <v>85</v>
      </c>
      <c r="BW1478" s="2"/>
      <c r="BX1478" s="2"/>
      <c r="BY1478" s="2">
        <v>8852.89</v>
      </c>
      <c r="BZ1478" s="2"/>
      <c r="CA1478" s="2"/>
      <c r="CB1478" s="2"/>
      <c r="CC1478" s="2" t="s">
        <v>161</v>
      </c>
      <c r="CD1478" s="2">
        <v>7800</v>
      </c>
      <c r="CE1478" s="2" t="s">
        <v>86</v>
      </c>
      <c r="CF1478" s="5">
        <v>42662</v>
      </c>
      <c r="CG1478" s="2"/>
      <c r="CH1478" s="2"/>
      <c r="CI1478" s="2">
        <v>1</v>
      </c>
      <c r="CJ1478" s="2">
        <v>1</v>
      </c>
      <c r="CK1478" s="2">
        <v>21</v>
      </c>
      <c r="CL1478" s="2" t="s">
        <v>88</v>
      </c>
      <c r="CM1478" s="2"/>
    </row>
    <row r="1479" spans="1:91">
      <c r="A1479" s="2" t="s">
        <v>71</v>
      </c>
      <c r="B1479" s="2" t="s">
        <v>72</v>
      </c>
      <c r="C1479" s="2" t="s">
        <v>73</v>
      </c>
      <c r="D1479" s="2"/>
      <c r="E1479" s="2" t="str">
        <f>"FES1162507180"</f>
        <v>FES1162507180</v>
      </c>
      <c r="F1479" s="3">
        <v>42660</v>
      </c>
      <c r="G1479" s="2">
        <v>201704</v>
      </c>
      <c r="H1479" s="2" t="s">
        <v>74</v>
      </c>
      <c r="I1479" s="2" t="s">
        <v>75</v>
      </c>
      <c r="J1479" s="2" t="s">
        <v>76</v>
      </c>
      <c r="K1479" s="2" t="s">
        <v>77</v>
      </c>
      <c r="L1479" s="2" t="s">
        <v>148</v>
      </c>
      <c r="M1479" s="2" t="s">
        <v>149</v>
      </c>
      <c r="N1479" s="2" t="s">
        <v>242</v>
      </c>
      <c r="O1479" s="2" t="s">
        <v>96</v>
      </c>
      <c r="P1479" s="2" t="str">
        <f>"2170530685                    "</f>
        <v xml:space="preserve">2170530685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5.81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3.2</v>
      </c>
      <c r="BJ1479" s="2">
        <v>3.5</v>
      </c>
      <c r="BK1479" s="2">
        <v>3.5</v>
      </c>
      <c r="BL1479" s="2">
        <v>71.33</v>
      </c>
      <c r="BM1479" s="2">
        <v>9.99</v>
      </c>
      <c r="BN1479" s="2">
        <v>81.319999999999993</v>
      </c>
      <c r="BO1479" s="2">
        <v>81.319999999999993</v>
      </c>
      <c r="BP1479" s="2"/>
      <c r="BQ1479" s="2" t="s">
        <v>91</v>
      </c>
      <c r="BR1479" s="2" t="s">
        <v>83</v>
      </c>
      <c r="BS1479" s="3">
        <v>42661</v>
      </c>
      <c r="BT1479" s="4">
        <v>0.4375</v>
      </c>
      <c r="BU1479" s="2" t="s">
        <v>1614</v>
      </c>
      <c r="BV1479" s="2"/>
      <c r="BW1479" s="2"/>
      <c r="BX1479" s="2"/>
      <c r="BY1479" s="2">
        <v>17695.580000000002</v>
      </c>
      <c r="BZ1479" s="2"/>
      <c r="CA1479" s="2"/>
      <c r="CB1479" s="2"/>
      <c r="CC1479" s="2" t="s">
        <v>149</v>
      </c>
      <c r="CD1479" s="2">
        <v>4001</v>
      </c>
      <c r="CE1479" s="2" t="s">
        <v>86</v>
      </c>
      <c r="CF1479" s="5">
        <v>42662</v>
      </c>
      <c r="CG1479" s="2"/>
      <c r="CH1479" s="2"/>
      <c r="CI1479" s="2">
        <v>0</v>
      </c>
      <c r="CJ1479" s="2">
        <v>0</v>
      </c>
      <c r="CK1479" s="2">
        <v>21</v>
      </c>
      <c r="CL1479" s="2" t="s">
        <v>88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"FES1162506935"</f>
        <v>FES1162506935</v>
      </c>
      <c r="F1480" s="3">
        <v>42660</v>
      </c>
      <c r="G1480" s="2">
        <v>201704</v>
      </c>
      <c r="H1480" s="2" t="s">
        <v>74</v>
      </c>
      <c r="I1480" s="2" t="s">
        <v>75</v>
      </c>
      <c r="J1480" s="2" t="s">
        <v>76</v>
      </c>
      <c r="K1480" s="2" t="s">
        <v>77</v>
      </c>
      <c r="L1480" s="2" t="s">
        <v>160</v>
      </c>
      <c r="M1480" s="2" t="s">
        <v>161</v>
      </c>
      <c r="N1480" s="2" t="s">
        <v>184</v>
      </c>
      <c r="O1480" s="2" t="s">
        <v>96</v>
      </c>
      <c r="P1480" s="2" t="str">
        <f>"2170530497                    "</f>
        <v xml:space="preserve">2170530497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7.46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4.4000000000000004</v>
      </c>
      <c r="BJ1480" s="2">
        <v>4</v>
      </c>
      <c r="BK1480" s="2">
        <v>4.5</v>
      </c>
      <c r="BL1480" s="2">
        <v>91.7</v>
      </c>
      <c r="BM1480" s="2">
        <v>12.84</v>
      </c>
      <c r="BN1480" s="2">
        <v>104.54</v>
      </c>
      <c r="BO1480" s="2">
        <v>104.54</v>
      </c>
      <c r="BP1480" s="2"/>
      <c r="BQ1480" s="2" t="s">
        <v>117</v>
      </c>
      <c r="BR1480" s="2" t="s">
        <v>83</v>
      </c>
      <c r="BS1480" s="3">
        <v>42661</v>
      </c>
      <c r="BT1480" s="4">
        <v>0.41666666666666669</v>
      </c>
      <c r="BU1480" s="2" t="s">
        <v>185</v>
      </c>
      <c r="BV1480" s="2" t="s">
        <v>85</v>
      </c>
      <c r="BW1480" s="2"/>
      <c r="BX1480" s="2"/>
      <c r="BY1480" s="2">
        <v>19837.060000000001</v>
      </c>
      <c r="BZ1480" s="2"/>
      <c r="CA1480" s="2"/>
      <c r="CB1480" s="2"/>
      <c r="CC1480" s="2" t="s">
        <v>161</v>
      </c>
      <c r="CD1480" s="2">
        <v>7441</v>
      </c>
      <c r="CE1480" s="2" t="s">
        <v>86</v>
      </c>
      <c r="CF1480" s="5">
        <v>42662</v>
      </c>
      <c r="CG1480" s="2"/>
      <c r="CH1480" s="2"/>
      <c r="CI1480" s="2">
        <v>1</v>
      </c>
      <c r="CJ1480" s="2">
        <v>1</v>
      </c>
      <c r="CK1480" s="2">
        <v>21</v>
      </c>
      <c r="CL1480" s="2" t="s">
        <v>88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"FES1162507007"</f>
        <v>FES1162507007</v>
      </c>
      <c r="F1481" s="3">
        <v>42660</v>
      </c>
      <c r="G1481" s="2">
        <v>201704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160</v>
      </c>
      <c r="M1481" s="2" t="s">
        <v>161</v>
      </c>
      <c r="N1481" s="2" t="s">
        <v>980</v>
      </c>
      <c r="O1481" s="2" t="s">
        <v>96</v>
      </c>
      <c r="P1481" s="2" t="str">
        <f>"2170530521                    "</f>
        <v xml:space="preserve">2170530521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9.1199999999999992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2.7</v>
      </c>
      <c r="BJ1481" s="2">
        <v>5.2</v>
      </c>
      <c r="BK1481" s="2">
        <v>5.5</v>
      </c>
      <c r="BL1481" s="2">
        <v>112.08</v>
      </c>
      <c r="BM1481" s="2">
        <v>15.69</v>
      </c>
      <c r="BN1481" s="2">
        <v>127.77</v>
      </c>
      <c r="BO1481" s="2">
        <v>127.77</v>
      </c>
      <c r="BP1481" s="2"/>
      <c r="BQ1481" s="2" t="s">
        <v>117</v>
      </c>
      <c r="BR1481" s="2" t="s">
        <v>83</v>
      </c>
      <c r="BS1481" s="3">
        <v>42661</v>
      </c>
      <c r="BT1481" s="4">
        <v>0.34027777777777773</v>
      </c>
      <c r="BU1481" s="2" t="s">
        <v>1765</v>
      </c>
      <c r="BV1481" s="2" t="s">
        <v>85</v>
      </c>
      <c r="BW1481" s="2"/>
      <c r="BX1481" s="2"/>
      <c r="BY1481" s="2">
        <v>26044.74</v>
      </c>
      <c r="BZ1481" s="2"/>
      <c r="CA1481" s="2"/>
      <c r="CB1481" s="2"/>
      <c r="CC1481" s="2" t="s">
        <v>161</v>
      </c>
      <c r="CD1481" s="2">
        <v>7530</v>
      </c>
      <c r="CE1481" s="2" t="s">
        <v>86</v>
      </c>
      <c r="CF1481" s="5">
        <v>42662</v>
      </c>
      <c r="CG1481" s="2"/>
      <c r="CH1481" s="2"/>
      <c r="CI1481" s="2">
        <v>1</v>
      </c>
      <c r="CJ1481" s="2">
        <v>1</v>
      </c>
      <c r="CK1481" s="2">
        <v>21</v>
      </c>
      <c r="CL1481" s="2" t="s">
        <v>88</v>
      </c>
      <c r="CM1481" s="2"/>
    </row>
    <row r="1482" spans="1:91">
      <c r="A1482" s="2" t="s">
        <v>71</v>
      </c>
      <c r="B1482" s="2" t="s">
        <v>72</v>
      </c>
      <c r="C1482" s="2" t="s">
        <v>73</v>
      </c>
      <c r="D1482" s="2"/>
      <c r="E1482" s="2" t="str">
        <f>"FES1162507072"</f>
        <v>FES1162507072</v>
      </c>
      <c r="F1482" s="3">
        <v>42660</v>
      </c>
      <c r="G1482" s="2">
        <v>201704</v>
      </c>
      <c r="H1482" s="2" t="s">
        <v>74</v>
      </c>
      <c r="I1482" s="2" t="s">
        <v>75</v>
      </c>
      <c r="J1482" s="2" t="s">
        <v>76</v>
      </c>
      <c r="K1482" s="2" t="s">
        <v>77</v>
      </c>
      <c r="L1482" s="2" t="s">
        <v>160</v>
      </c>
      <c r="M1482" s="2" t="s">
        <v>161</v>
      </c>
      <c r="N1482" s="2" t="s">
        <v>1766</v>
      </c>
      <c r="O1482" s="2" t="s">
        <v>96</v>
      </c>
      <c r="P1482" s="2" t="str">
        <f>"2170530586                    "</f>
        <v xml:space="preserve">2170530586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8.2899999999999991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2.2000000000000002</v>
      </c>
      <c r="BJ1482" s="2">
        <v>4.9000000000000004</v>
      </c>
      <c r="BK1482" s="2">
        <v>5</v>
      </c>
      <c r="BL1482" s="2">
        <v>101.89</v>
      </c>
      <c r="BM1482" s="2">
        <v>14.26</v>
      </c>
      <c r="BN1482" s="2">
        <v>116.15</v>
      </c>
      <c r="BO1482" s="2">
        <v>116.15</v>
      </c>
      <c r="BP1482" s="2"/>
      <c r="BQ1482" s="2" t="s">
        <v>91</v>
      </c>
      <c r="BR1482" s="2" t="s">
        <v>83</v>
      </c>
      <c r="BS1482" s="3">
        <v>42661</v>
      </c>
      <c r="BT1482" s="4">
        <v>0.46249999999999997</v>
      </c>
      <c r="BU1482" s="2" t="s">
        <v>1767</v>
      </c>
      <c r="BV1482" s="2" t="s">
        <v>88</v>
      </c>
      <c r="BW1482" s="2" t="s">
        <v>277</v>
      </c>
      <c r="BX1482" s="2" t="s">
        <v>223</v>
      </c>
      <c r="BY1482" s="2">
        <v>24439.66</v>
      </c>
      <c r="BZ1482" s="2"/>
      <c r="CA1482" s="2" t="s">
        <v>229</v>
      </c>
      <c r="CB1482" s="2"/>
      <c r="CC1482" s="2" t="s">
        <v>161</v>
      </c>
      <c r="CD1482" s="2">
        <v>7460</v>
      </c>
      <c r="CE1482" s="2" t="s">
        <v>86</v>
      </c>
      <c r="CF1482" s="5">
        <v>42661</v>
      </c>
      <c r="CG1482" s="2"/>
      <c r="CH1482" s="2"/>
      <c r="CI1482" s="2">
        <v>1</v>
      </c>
      <c r="CJ1482" s="2">
        <v>1</v>
      </c>
      <c r="CK1482" s="2">
        <v>21</v>
      </c>
      <c r="CL1482" s="2" t="s">
        <v>88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"FES1162506926"</f>
        <v>FES1162506926</v>
      </c>
      <c r="F1483" s="3">
        <v>42660</v>
      </c>
      <c r="G1483" s="2">
        <v>201704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153</v>
      </c>
      <c r="M1483" s="2" t="s">
        <v>153</v>
      </c>
      <c r="N1483" s="2" t="s">
        <v>501</v>
      </c>
      <c r="O1483" s="2" t="s">
        <v>96</v>
      </c>
      <c r="P1483" s="2" t="str">
        <f>"2170530487                    "</f>
        <v xml:space="preserve">2170530487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3.32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1.4</v>
      </c>
      <c r="BJ1483" s="2">
        <v>0.2</v>
      </c>
      <c r="BK1483" s="2">
        <v>1.5</v>
      </c>
      <c r="BL1483" s="2">
        <v>40.76</v>
      </c>
      <c r="BM1483" s="2">
        <v>5.71</v>
      </c>
      <c r="BN1483" s="2">
        <v>46.47</v>
      </c>
      <c r="BO1483" s="2">
        <v>46.47</v>
      </c>
      <c r="BP1483" s="2"/>
      <c r="BQ1483" s="2" t="s">
        <v>82</v>
      </c>
      <c r="BR1483" s="2" t="s">
        <v>83</v>
      </c>
      <c r="BS1483" s="3">
        <v>42661</v>
      </c>
      <c r="BT1483" s="4">
        <v>0.52916666666666667</v>
      </c>
      <c r="BU1483" s="2" t="s">
        <v>1768</v>
      </c>
      <c r="BV1483" s="2" t="s">
        <v>85</v>
      </c>
      <c r="BW1483" s="2"/>
      <c r="BX1483" s="2"/>
      <c r="BY1483" s="2">
        <v>1200</v>
      </c>
      <c r="BZ1483" s="2"/>
      <c r="CA1483" s="2"/>
      <c r="CB1483" s="2"/>
      <c r="CC1483" s="2" t="s">
        <v>153</v>
      </c>
      <c r="CD1483" s="2">
        <v>7620</v>
      </c>
      <c r="CE1483" s="2" t="s">
        <v>108</v>
      </c>
      <c r="CF1483" s="5">
        <v>42662</v>
      </c>
      <c r="CG1483" s="2"/>
      <c r="CH1483" s="2"/>
      <c r="CI1483" s="2">
        <v>1</v>
      </c>
      <c r="CJ1483" s="2">
        <v>1</v>
      </c>
      <c r="CK1483" s="2">
        <v>21</v>
      </c>
      <c r="CL1483" s="2" t="s">
        <v>88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"FES1162506922"</f>
        <v>FES1162506922</v>
      </c>
      <c r="F1484" s="3">
        <v>42660</v>
      </c>
      <c r="G1484" s="2">
        <v>201704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160</v>
      </c>
      <c r="M1484" s="2" t="s">
        <v>161</v>
      </c>
      <c r="N1484" s="2" t="s">
        <v>628</v>
      </c>
      <c r="O1484" s="2" t="s">
        <v>96</v>
      </c>
      <c r="P1484" s="2" t="str">
        <f>"2170530470                    "</f>
        <v xml:space="preserve">2170530470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3.32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</v>
      </c>
      <c r="BJ1484" s="2">
        <v>0.2</v>
      </c>
      <c r="BK1484" s="2">
        <v>1</v>
      </c>
      <c r="BL1484" s="2">
        <v>40.76</v>
      </c>
      <c r="BM1484" s="2">
        <v>5.71</v>
      </c>
      <c r="BN1484" s="2">
        <v>46.47</v>
      </c>
      <c r="BO1484" s="2">
        <v>46.47</v>
      </c>
      <c r="BP1484" s="2"/>
      <c r="BQ1484" s="2" t="s">
        <v>91</v>
      </c>
      <c r="BR1484" s="2" t="s">
        <v>83</v>
      </c>
      <c r="BS1484" s="3">
        <v>42661</v>
      </c>
      <c r="BT1484" s="4">
        <v>0.41666666666666669</v>
      </c>
      <c r="BU1484" s="2" t="s">
        <v>629</v>
      </c>
      <c r="BV1484" s="2" t="s">
        <v>85</v>
      </c>
      <c r="BW1484" s="2"/>
      <c r="BX1484" s="2"/>
      <c r="BY1484" s="2">
        <v>1200</v>
      </c>
      <c r="BZ1484" s="2"/>
      <c r="CA1484" s="2"/>
      <c r="CB1484" s="2"/>
      <c r="CC1484" s="2" t="s">
        <v>161</v>
      </c>
      <c r="CD1484" s="2">
        <v>7441</v>
      </c>
      <c r="CE1484" s="2" t="s">
        <v>108</v>
      </c>
      <c r="CF1484" s="5">
        <v>42662</v>
      </c>
      <c r="CG1484" s="2"/>
      <c r="CH1484" s="2"/>
      <c r="CI1484" s="2">
        <v>1</v>
      </c>
      <c r="CJ1484" s="2">
        <v>1</v>
      </c>
      <c r="CK1484" s="2">
        <v>21</v>
      </c>
      <c r="CL1484" s="2" t="s">
        <v>88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"FES1162507037"</f>
        <v>FES1162507037</v>
      </c>
      <c r="F1485" s="3">
        <v>42660</v>
      </c>
      <c r="G1485" s="2">
        <v>201704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160</v>
      </c>
      <c r="M1485" s="2" t="s">
        <v>161</v>
      </c>
      <c r="N1485" s="2" t="s">
        <v>980</v>
      </c>
      <c r="O1485" s="2" t="s">
        <v>96</v>
      </c>
      <c r="P1485" s="2" t="str">
        <f>"2170530543                    "</f>
        <v xml:space="preserve">2170530543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3.32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1</v>
      </c>
      <c r="BJ1485" s="2">
        <v>0.2</v>
      </c>
      <c r="BK1485" s="2">
        <v>1</v>
      </c>
      <c r="BL1485" s="2">
        <v>40.76</v>
      </c>
      <c r="BM1485" s="2">
        <v>5.71</v>
      </c>
      <c r="BN1485" s="2">
        <v>46.47</v>
      </c>
      <c r="BO1485" s="2">
        <v>46.47</v>
      </c>
      <c r="BP1485" s="2"/>
      <c r="BQ1485" s="2" t="s">
        <v>117</v>
      </c>
      <c r="BR1485" s="2" t="s">
        <v>83</v>
      </c>
      <c r="BS1485" s="3">
        <v>42661</v>
      </c>
      <c r="BT1485" s="4">
        <v>0.34027777777777773</v>
      </c>
      <c r="BU1485" s="2" t="s">
        <v>1765</v>
      </c>
      <c r="BV1485" s="2" t="s">
        <v>85</v>
      </c>
      <c r="BW1485" s="2"/>
      <c r="BX1485" s="2"/>
      <c r="BY1485" s="2">
        <v>1200</v>
      </c>
      <c r="BZ1485" s="2"/>
      <c r="CA1485" s="2"/>
      <c r="CB1485" s="2"/>
      <c r="CC1485" s="2" t="s">
        <v>161</v>
      </c>
      <c r="CD1485" s="2">
        <v>7530</v>
      </c>
      <c r="CE1485" s="2" t="s">
        <v>108</v>
      </c>
      <c r="CF1485" s="5">
        <v>42662</v>
      </c>
      <c r="CG1485" s="2"/>
      <c r="CH1485" s="2"/>
      <c r="CI1485" s="2">
        <v>1</v>
      </c>
      <c r="CJ1485" s="2">
        <v>1</v>
      </c>
      <c r="CK1485" s="2">
        <v>21</v>
      </c>
      <c r="CL1485" s="2" t="s">
        <v>88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"FES1162506919"</f>
        <v>FES1162506919</v>
      </c>
      <c r="F1486" s="3">
        <v>42660</v>
      </c>
      <c r="G1486" s="2">
        <v>201704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160</v>
      </c>
      <c r="M1486" s="2" t="s">
        <v>161</v>
      </c>
      <c r="N1486" s="2" t="s">
        <v>409</v>
      </c>
      <c r="O1486" s="2" t="s">
        <v>96</v>
      </c>
      <c r="P1486" s="2" t="str">
        <f>"2170530446                    "</f>
        <v xml:space="preserve">2170530446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3.32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1.8</v>
      </c>
      <c r="BJ1486" s="2">
        <v>1.1000000000000001</v>
      </c>
      <c r="BK1486" s="2">
        <v>2</v>
      </c>
      <c r="BL1486" s="2">
        <v>40.76</v>
      </c>
      <c r="BM1486" s="2">
        <v>5.71</v>
      </c>
      <c r="BN1486" s="2">
        <v>46.47</v>
      </c>
      <c r="BO1486" s="2">
        <v>46.47</v>
      </c>
      <c r="BP1486" s="2"/>
      <c r="BQ1486" s="2" t="s">
        <v>410</v>
      </c>
      <c r="BR1486" s="2" t="s">
        <v>83</v>
      </c>
      <c r="BS1486" s="3">
        <v>42661</v>
      </c>
      <c r="BT1486" s="4">
        <v>0.38194444444444442</v>
      </c>
      <c r="BU1486" s="2" t="s">
        <v>410</v>
      </c>
      <c r="BV1486" s="2" t="s">
        <v>85</v>
      </c>
      <c r="BW1486" s="2"/>
      <c r="BX1486" s="2"/>
      <c r="BY1486" s="2">
        <v>5263</v>
      </c>
      <c r="BZ1486" s="2"/>
      <c r="CA1486" s="2"/>
      <c r="CB1486" s="2"/>
      <c r="CC1486" s="2" t="s">
        <v>161</v>
      </c>
      <c r="CD1486" s="2">
        <v>7975</v>
      </c>
      <c r="CE1486" s="2" t="s">
        <v>86</v>
      </c>
      <c r="CF1486" s="5">
        <v>42662</v>
      </c>
      <c r="CG1486" s="2"/>
      <c r="CH1486" s="2"/>
      <c r="CI1486" s="2">
        <v>1</v>
      </c>
      <c r="CJ1486" s="2">
        <v>1</v>
      </c>
      <c r="CK1486" s="2">
        <v>21</v>
      </c>
      <c r="CL1486" s="2" t="s">
        <v>88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"FES1162507266"</f>
        <v>FES1162507266</v>
      </c>
      <c r="F1487" s="3">
        <v>42660</v>
      </c>
      <c r="G1487" s="2">
        <v>201704</v>
      </c>
      <c r="H1487" s="2" t="s">
        <v>74</v>
      </c>
      <c r="I1487" s="2" t="s">
        <v>75</v>
      </c>
      <c r="J1487" s="2" t="s">
        <v>76</v>
      </c>
      <c r="K1487" s="2" t="s">
        <v>77</v>
      </c>
      <c r="L1487" s="2" t="s">
        <v>160</v>
      </c>
      <c r="M1487" s="2" t="s">
        <v>161</v>
      </c>
      <c r="N1487" s="2" t="s">
        <v>176</v>
      </c>
      <c r="O1487" s="2" t="s">
        <v>96</v>
      </c>
      <c r="P1487" s="2" t="str">
        <f>"2170530788                    "</f>
        <v xml:space="preserve">2170530788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3.32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1</v>
      </c>
      <c r="BJ1487" s="2">
        <v>0.2</v>
      </c>
      <c r="BK1487" s="2">
        <v>1</v>
      </c>
      <c r="BL1487" s="2">
        <v>40.76</v>
      </c>
      <c r="BM1487" s="2">
        <v>5.71</v>
      </c>
      <c r="BN1487" s="2">
        <v>46.47</v>
      </c>
      <c r="BO1487" s="2">
        <v>46.47</v>
      </c>
      <c r="BP1487" s="2"/>
      <c r="BQ1487" s="2" t="s">
        <v>258</v>
      </c>
      <c r="BR1487" s="2" t="s">
        <v>83</v>
      </c>
      <c r="BS1487" s="3">
        <v>42661</v>
      </c>
      <c r="BT1487" s="4">
        <v>0.41666666666666669</v>
      </c>
      <c r="BU1487" s="2" t="s">
        <v>1735</v>
      </c>
      <c r="BV1487" s="2" t="s">
        <v>85</v>
      </c>
      <c r="BW1487" s="2"/>
      <c r="BX1487" s="2"/>
      <c r="BY1487" s="2">
        <v>1200</v>
      </c>
      <c r="BZ1487" s="2"/>
      <c r="CA1487" s="2"/>
      <c r="CB1487" s="2"/>
      <c r="CC1487" s="2" t="s">
        <v>161</v>
      </c>
      <c r="CD1487" s="2">
        <v>7405</v>
      </c>
      <c r="CE1487" s="2" t="s">
        <v>108</v>
      </c>
      <c r="CF1487" s="5">
        <v>42662</v>
      </c>
      <c r="CG1487" s="2"/>
      <c r="CH1487" s="2"/>
      <c r="CI1487" s="2">
        <v>1</v>
      </c>
      <c r="CJ1487" s="2">
        <v>1</v>
      </c>
      <c r="CK1487" s="2">
        <v>21</v>
      </c>
      <c r="CL1487" s="2" t="s">
        <v>88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"FES1162507140"</f>
        <v>FES1162507140</v>
      </c>
      <c r="F1488" s="3">
        <v>42660</v>
      </c>
      <c r="G1488" s="2">
        <v>201704</v>
      </c>
      <c r="H1488" s="2" t="s">
        <v>74</v>
      </c>
      <c r="I1488" s="2" t="s">
        <v>75</v>
      </c>
      <c r="J1488" s="2" t="s">
        <v>76</v>
      </c>
      <c r="K1488" s="2" t="s">
        <v>77</v>
      </c>
      <c r="L1488" s="2" t="s">
        <v>160</v>
      </c>
      <c r="M1488" s="2" t="s">
        <v>161</v>
      </c>
      <c r="N1488" s="2" t="s">
        <v>622</v>
      </c>
      <c r="O1488" s="2" t="s">
        <v>96</v>
      </c>
      <c r="P1488" s="2" t="str">
        <f>"2170527212                    "</f>
        <v xml:space="preserve">2170527212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4.9800000000000004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1</v>
      </c>
      <c r="BI1488" s="2">
        <v>0.5</v>
      </c>
      <c r="BJ1488" s="2">
        <v>2.9</v>
      </c>
      <c r="BK1488" s="2">
        <v>3</v>
      </c>
      <c r="BL1488" s="2">
        <v>61.14</v>
      </c>
      <c r="BM1488" s="2">
        <v>8.56</v>
      </c>
      <c r="BN1488" s="2">
        <v>69.7</v>
      </c>
      <c r="BO1488" s="2">
        <v>69.7</v>
      </c>
      <c r="BP1488" s="2"/>
      <c r="BQ1488" s="2" t="s">
        <v>623</v>
      </c>
      <c r="BR1488" s="2" t="s">
        <v>83</v>
      </c>
      <c r="BS1488" s="3">
        <v>42661</v>
      </c>
      <c r="BT1488" s="4">
        <v>0.43055555555555558</v>
      </c>
      <c r="BU1488" s="2" t="s">
        <v>1769</v>
      </c>
      <c r="BV1488" s="2" t="s">
        <v>85</v>
      </c>
      <c r="BW1488" s="2"/>
      <c r="BX1488" s="2"/>
      <c r="BY1488" s="2">
        <v>14563.69</v>
      </c>
      <c r="BZ1488" s="2"/>
      <c r="CA1488" s="2" t="s">
        <v>1193</v>
      </c>
      <c r="CB1488" s="2"/>
      <c r="CC1488" s="2" t="s">
        <v>161</v>
      </c>
      <c r="CD1488" s="2">
        <v>7490</v>
      </c>
      <c r="CE1488" s="2" t="s">
        <v>108</v>
      </c>
      <c r="CF1488" s="5">
        <v>42661</v>
      </c>
      <c r="CG1488" s="2"/>
      <c r="CH1488" s="2"/>
      <c r="CI1488" s="2">
        <v>1</v>
      </c>
      <c r="CJ1488" s="2">
        <v>1</v>
      </c>
      <c r="CK1488" s="2">
        <v>21</v>
      </c>
      <c r="CL1488" s="2" t="s">
        <v>88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"FES1162507219"</f>
        <v>FES1162507219</v>
      </c>
      <c r="F1489" s="3">
        <v>42660</v>
      </c>
      <c r="G1489" s="2">
        <v>201704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153</v>
      </c>
      <c r="M1489" s="2" t="s">
        <v>153</v>
      </c>
      <c r="N1489" s="2" t="s">
        <v>154</v>
      </c>
      <c r="O1489" s="2" t="s">
        <v>96</v>
      </c>
      <c r="P1489" s="2" t="str">
        <f>"2170530375                    "</f>
        <v xml:space="preserve">2170530375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3.32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1</v>
      </c>
      <c r="BJ1489" s="2">
        <v>0.2</v>
      </c>
      <c r="BK1489" s="2">
        <v>1</v>
      </c>
      <c r="BL1489" s="2">
        <v>40.76</v>
      </c>
      <c r="BM1489" s="2">
        <v>5.71</v>
      </c>
      <c r="BN1489" s="2">
        <v>46.47</v>
      </c>
      <c r="BO1489" s="2">
        <v>46.47</v>
      </c>
      <c r="BP1489" s="2"/>
      <c r="BQ1489" s="2" t="s">
        <v>117</v>
      </c>
      <c r="BR1489" s="2" t="s">
        <v>83</v>
      </c>
      <c r="BS1489" s="3">
        <v>42661</v>
      </c>
      <c r="BT1489" s="4">
        <v>0.5229166666666667</v>
      </c>
      <c r="BU1489" s="2" t="s">
        <v>636</v>
      </c>
      <c r="BV1489" s="2" t="s">
        <v>85</v>
      </c>
      <c r="BW1489" s="2"/>
      <c r="BX1489" s="2"/>
      <c r="BY1489" s="2">
        <v>1200</v>
      </c>
      <c r="BZ1489" s="2"/>
      <c r="CA1489" s="2"/>
      <c r="CB1489" s="2"/>
      <c r="CC1489" s="2" t="s">
        <v>153</v>
      </c>
      <c r="CD1489" s="2">
        <v>7646</v>
      </c>
      <c r="CE1489" s="2" t="s">
        <v>108</v>
      </c>
      <c r="CF1489" s="5">
        <v>42662</v>
      </c>
      <c r="CG1489" s="2"/>
      <c r="CH1489" s="2"/>
      <c r="CI1489" s="2">
        <v>1</v>
      </c>
      <c r="CJ1489" s="2">
        <v>1</v>
      </c>
      <c r="CK1489" s="2">
        <v>21</v>
      </c>
      <c r="CL1489" s="2" t="s">
        <v>88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"FES1162507115"</f>
        <v>FES1162507115</v>
      </c>
      <c r="F1490" s="3">
        <v>42660</v>
      </c>
      <c r="G1490" s="2">
        <v>201704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160</v>
      </c>
      <c r="M1490" s="2" t="s">
        <v>161</v>
      </c>
      <c r="N1490" s="2" t="s">
        <v>176</v>
      </c>
      <c r="O1490" s="2" t="s">
        <v>96</v>
      </c>
      <c r="P1490" s="2" t="str">
        <f>"2170530636                    "</f>
        <v xml:space="preserve">2170530636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3.32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0.8</v>
      </c>
      <c r="BJ1490" s="2">
        <v>1.3</v>
      </c>
      <c r="BK1490" s="2">
        <v>1.5</v>
      </c>
      <c r="BL1490" s="2">
        <v>40.76</v>
      </c>
      <c r="BM1490" s="2">
        <v>5.71</v>
      </c>
      <c r="BN1490" s="2">
        <v>46.47</v>
      </c>
      <c r="BO1490" s="2">
        <v>46.47</v>
      </c>
      <c r="BP1490" s="2"/>
      <c r="BQ1490" s="2" t="s">
        <v>258</v>
      </c>
      <c r="BR1490" s="2" t="s">
        <v>83</v>
      </c>
      <c r="BS1490" s="3">
        <v>42661</v>
      </c>
      <c r="BT1490" s="4">
        <v>0.41666666666666669</v>
      </c>
      <c r="BU1490" s="2" t="s">
        <v>1735</v>
      </c>
      <c r="BV1490" s="2" t="s">
        <v>85</v>
      </c>
      <c r="BW1490" s="2"/>
      <c r="BX1490" s="2"/>
      <c r="BY1490" s="2">
        <v>6618.06</v>
      </c>
      <c r="BZ1490" s="2"/>
      <c r="CA1490" s="2"/>
      <c r="CB1490" s="2"/>
      <c r="CC1490" s="2" t="s">
        <v>161</v>
      </c>
      <c r="CD1490" s="2">
        <v>7405</v>
      </c>
      <c r="CE1490" s="2" t="s">
        <v>108</v>
      </c>
      <c r="CF1490" s="5">
        <v>42662</v>
      </c>
      <c r="CG1490" s="2"/>
      <c r="CH1490" s="2"/>
      <c r="CI1490" s="2">
        <v>1</v>
      </c>
      <c r="CJ1490" s="2">
        <v>1</v>
      </c>
      <c r="CK1490" s="2">
        <v>21</v>
      </c>
      <c r="CL1490" s="2" t="s">
        <v>88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"FES1162507107"</f>
        <v>FES1162507107</v>
      </c>
      <c r="F1491" s="3">
        <v>42660</v>
      </c>
      <c r="G1491" s="2">
        <v>201704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153</v>
      </c>
      <c r="M1491" s="2" t="s">
        <v>153</v>
      </c>
      <c r="N1491" s="2" t="s">
        <v>501</v>
      </c>
      <c r="O1491" s="2" t="s">
        <v>96</v>
      </c>
      <c r="P1491" s="2" t="str">
        <f>"2170530632                    "</f>
        <v xml:space="preserve">2170530632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3.32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1</v>
      </c>
      <c r="BJ1491" s="2">
        <v>0.2</v>
      </c>
      <c r="BK1491" s="2">
        <v>1</v>
      </c>
      <c r="BL1491" s="2">
        <v>40.76</v>
      </c>
      <c r="BM1491" s="2">
        <v>5.71</v>
      </c>
      <c r="BN1491" s="2">
        <v>46.47</v>
      </c>
      <c r="BO1491" s="2">
        <v>46.47</v>
      </c>
      <c r="BP1491" s="2"/>
      <c r="BQ1491" s="2" t="s">
        <v>82</v>
      </c>
      <c r="BR1491" s="2" t="s">
        <v>83</v>
      </c>
      <c r="BS1491" s="3">
        <v>42661</v>
      </c>
      <c r="BT1491" s="4">
        <v>0.52777777777777779</v>
      </c>
      <c r="BU1491" s="2" t="s">
        <v>1770</v>
      </c>
      <c r="BV1491" s="2" t="s">
        <v>85</v>
      </c>
      <c r="BW1491" s="2"/>
      <c r="BX1491" s="2"/>
      <c r="BY1491" s="2">
        <v>1200</v>
      </c>
      <c r="BZ1491" s="2"/>
      <c r="CA1491" s="2"/>
      <c r="CB1491" s="2"/>
      <c r="CC1491" s="2" t="s">
        <v>153</v>
      </c>
      <c r="CD1491" s="2">
        <v>7620</v>
      </c>
      <c r="CE1491" s="2" t="s">
        <v>108</v>
      </c>
      <c r="CF1491" s="5">
        <v>42662</v>
      </c>
      <c r="CG1491" s="2"/>
      <c r="CH1491" s="2"/>
      <c r="CI1491" s="2">
        <v>1</v>
      </c>
      <c r="CJ1491" s="2">
        <v>1</v>
      </c>
      <c r="CK1491" s="2">
        <v>21</v>
      </c>
      <c r="CL1491" s="2" t="s">
        <v>88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"FES1162507234"</f>
        <v>FES1162507234</v>
      </c>
      <c r="F1492" s="3">
        <v>42660</v>
      </c>
      <c r="G1492" s="2">
        <v>201704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160</v>
      </c>
      <c r="M1492" s="2" t="s">
        <v>161</v>
      </c>
      <c r="N1492" s="2" t="s">
        <v>179</v>
      </c>
      <c r="O1492" s="2" t="s">
        <v>96</v>
      </c>
      <c r="P1492" s="2" t="str">
        <f>"2170530746                    "</f>
        <v xml:space="preserve">2170530746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3.32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1</v>
      </c>
      <c r="BI1492" s="2">
        <v>1</v>
      </c>
      <c r="BJ1492" s="2">
        <v>0.2</v>
      </c>
      <c r="BK1492" s="2">
        <v>1</v>
      </c>
      <c r="BL1492" s="2">
        <v>40.76</v>
      </c>
      <c r="BM1492" s="2">
        <v>5.71</v>
      </c>
      <c r="BN1492" s="2">
        <v>46.47</v>
      </c>
      <c r="BO1492" s="2">
        <v>46.47</v>
      </c>
      <c r="BP1492" s="2"/>
      <c r="BQ1492" s="2" t="s">
        <v>180</v>
      </c>
      <c r="BR1492" s="2" t="s">
        <v>83</v>
      </c>
      <c r="BS1492" s="3">
        <v>42661</v>
      </c>
      <c r="BT1492" s="4">
        <v>0.41666666666666669</v>
      </c>
      <c r="BU1492" s="2" t="s">
        <v>1711</v>
      </c>
      <c r="BV1492" s="2" t="s">
        <v>85</v>
      </c>
      <c r="BW1492" s="2"/>
      <c r="BX1492" s="2"/>
      <c r="BY1492" s="2">
        <v>1200</v>
      </c>
      <c r="BZ1492" s="2"/>
      <c r="CA1492" s="2"/>
      <c r="CB1492" s="2"/>
      <c r="CC1492" s="2" t="s">
        <v>161</v>
      </c>
      <c r="CD1492" s="2">
        <v>7405</v>
      </c>
      <c r="CE1492" s="2" t="s">
        <v>108</v>
      </c>
      <c r="CF1492" s="5">
        <v>42662</v>
      </c>
      <c r="CG1492" s="2"/>
      <c r="CH1492" s="2"/>
      <c r="CI1492" s="2">
        <v>1</v>
      </c>
      <c r="CJ1492" s="2">
        <v>1</v>
      </c>
      <c r="CK1492" s="2">
        <v>21</v>
      </c>
      <c r="CL1492" s="2" t="s">
        <v>88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"FES1162507160"</f>
        <v>FES1162507160</v>
      </c>
      <c r="F1493" s="3">
        <v>42660</v>
      </c>
      <c r="G1493" s="2">
        <v>201704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160</v>
      </c>
      <c r="M1493" s="2" t="s">
        <v>161</v>
      </c>
      <c r="N1493" s="2" t="s">
        <v>184</v>
      </c>
      <c r="O1493" s="2" t="s">
        <v>96</v>
      </c>
      <c r="P1493" s="2" t="str">
        <f>"2170530497                    "</f>
        <v xml:space="preserve">2170530497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3.32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1</v>
      </c>
      <c r="BJ1493" s="2">
        <v>0.2</v>
      </c>
      <c r="BK1493" s="2">
        <v>1</v>
      </c>
      <c r="BL1493" s="2">
        <v>40.76</v>
      </c>
      <c r="BM1493" s="2">
        <v>5.71</v>
      </c>
      <c r="BN1493" s="2">
        <v>46.47</v>
      </c>
      <c r="BO1493" s="2">
        <v>46.47</v>
      </c>
      <c r="BP1493" s="2"/>
      <c r="BQ1493" s="2" t="s">
        <v>117</v>
      </c>
      <c r="BR1493" s="2" t="s">
        <v>83</v>
      </c>
      <c r="BS1493" s="3">
        <v>42661</v>
      </c>
      <c r="BT1493" s="4">
        <v>0.41666666666666669</v>
      </c>
      <c r="BU1493" s="2" t="s">
        <v>185</v>
      </c>
      <c r="BV1493" s="2" t="s">
        <v>85</v>
      </c>
      <c r="BW1493" s="2"/>
      <c r="BX1493" s="2"/>
      <c r="BY1493" s="2">
        <v>1200</v>
      </c>
      <c r="BZ1493" s="2"/>
      <c r="CA1493" s="2"/>
      <c r="CB1493" s="2"/>
      <c r="CC1493" s="2" t="s">
        <v>161</v>
      </c>
      <c r="CD1493" s="2">
        <v>7441</v>
      </c>
      <c r="CE1493" s="2" t="s">
        <v>108</v>
      </c>
      <c r="CF1493" s="5">
        <v>42662</v>
      </c>
      <c r="CG1493" s="2"/>
      <c r="CH1493" s="2"/>
      <c r="CI1493" s="2">
        <v>1</v>
      </c>
      <c r="CJ1493" s="2">
        <v>1</v>
      </c>
      <c r="CK1493" s="2">
        <v>21</v>
      </c>
      <c r="CL1493" s="2" t="s">
        <v>88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"FES1162507139"</f>
        <v>FES1162507139</v>
      </c>
      <c r="F1494" s="3">
        <v>42660</v>
      </c>
      <c r="G1494" s="2">
        <v>201704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160</v>
      </c>
      <c r="M1494" s="2" t="s">
        <v>161</v>
      </c>
      <c r="N1494" s="2" t="s">
        <v>622</v>
      </c>
      <c r="O1494" s="2" t="s">
        <v>96</v>
      </c>
      <c r="P1494" s="2" t="str">
        <f>"2170527054                    "</f>
        <v xml:space="preserve">2170527054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3.32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1</v>
      </c>
      <c r="BJ1494" s="2">
        <v>0.2</v>
      </c>
      <c r="BK1494" s="2">
        <v>1</v>
      </c>
      <c r="BL1494" s="2">
        <v>40.76</v>
      </c>
      <c r="BM1494" s="2">
        <v>5.71</v>
      </c>
      <c r="BN1494" s="2">
        <v>46.47</v>
      </c>
      <c r="BO1494" s="2">
        <v>46.47</v>
      </c>
      <c r="BP1494" s="2"/>
      <c r="BQ1494" s="2" t="s">
        <v>623</v>
      </c>
      <c r="BR1494" s="2" t="s">
        <v>83</v>
      </c>
      <c r="BS1494" s="3">
        <v>42661</v>
      </c>
      <c r="BT1494" s="4">
        <v>0.43055555555555558</v>
      </c>
      <c r="BU1494" s="2" t="s">
        <v>1769</v>
      </c>
      <c r="BV1494" s="2" t="s">
        <v>85</v>
      </c>
      <c r="BW1494" s="2"/>
      <c r="BX1494" s="2"/>
      <c r="BY1494" s="2">
        <v>1200</v>
      </c>
      <c r="BZ1494" s="2"/>
      <c r="CA1494" s="2" t="s">
        <v>1193</v>
      </c>
      <c r="CB1494" s="2"/>
      <c r="CC1494" s="2" t="s">
        <v>161</v>
      </c>
      <c r="CD1494" s="2">
        <v>7490</v>
      </c>
      <c r="CE1494" s="2" t="s">
        <v>108</v>
      </c>
      <c r="CF1494" s="5">
        <v>42661</v>
      </c>
      <c r="CG1494" s="2"/>
      <c r="CH1494" s="2"/>
      <c r="CI1494" s="2">
        <v>1</v>
      </c>
      <c r="CJ1494" s="2">
        <v>1</v>
      </c>
      <c r="CK1494" s="2">
        <v>21</v>
      </c>
      <c r="CL1494" s="2" t="s">
        <v>88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"FES1162507254"</f>
        <v>FES1162507254</v>
      </c>
      <c r="F1495" s="3">
        <v>42660</v>
      </c>
      <c r="G1495" s="2">
        <v>201704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160</v>
      </c>
      <c r="M1495" s="2" t="s">
        <v>161</v>
      </c>
      <c r="N1495" s="2" t="s">
        <v>184</v>
      </c>
      <c r="O1495" s="2" t="s">
        <v>96</v>
      </c>
      <c r="P1495" s="2" t="str">
        <f>"2170530781                    "</f>
        <v xml:space="preserve">2170530781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3.32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1</v>
      </c>
      <c r="BJ1495" s="2">
        <v>0.2</v>
      </c>
      <c r="BK1495" s="2">
        <v>1</v>
      </c>
      <c r="BL1495" s="2">
        <v>40.76</v>
      </c>
      <c r="BM1495" s="2">
        <v>5.71</v>
      </c>
      <c r="BN1495" s="2">
        <v>46.47</v>
      </c>
      <c r="BO1495" s="2">
        <v>46.47</v>
      </c>
      <c r="BP1495" s="2"/>
      <c r="BQ1495" s="2" t="s">
        <v>117</v>
      </c>
      <c r="BR1495" s="2" t="s">
        <v>83</v>
      </c>
      <c r="BS1495" s="3">
        <v>42661</v>
      </c>
      <c r="BT1495" s="4">
        <v>0.41666666666666669</v>
      </c>
      <c r="BU1495" s="2" t="s">
        <v>185</v>
      </c>
      <c r="BV1495" s="2" t="s">
        <v>85</v>
      </c>
      <c r="BW1495" s="2"/>
      <c r="BX1495" s="2"/>
      <c r="BY1495" s="2">
        <v>1200</v>
      </c>
      <c r="BZ1495" s="2"/>
      <c r="CA1495" s="2"/>
      <c r="CB1495" s="2"/>
      <c r="CC1495" s="2" t="s">
        <v>161</v>
      </c>
      <c r="CD1495" s="2">
        <v>7441</v>
      </c>
      <c r="CE1495" s="2" t="s">
        <v>108</v>
      </c>
      <c r="CF1495" s="5">
        <v>42662</v>
      </c>
      <c r="CG1495" s="2"/>
      <c r="CH1495" s="2"/>
      <c r="CI1495" s="2">
        <v>1</v>
      </c>
      <c r="CJ1495" s="2">
        <v>1</v>
      </c>
      <c r="CK1495" s="2">
        <v>21</v>
      </c>
      <c r="CL1495" s="2" t="s">
        <v>88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"FES1162507117"</f>
        <v>FES1162507117</v>
      </c>
      <c r="F1496" s="3">
        <v>42660</v>
      </c>
      <c r="G1496" s="2">
        <v>201704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682</v>
      </c>
      <c r="M1496" s="2" t="s">
        <v>682</v>
      </c>
      <c r="N1496" s="2" t="s">
        <v>683</v>
      </c>
      <c r="O1496" s="2" t="s">
        <v>96</v>
      </c>
      <c r="P1496" s="2" t="str">
        <f>"2170530640                    "</f>
        <v xml:space="preserve">2170530640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3.32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1</v>
      </c>
      <c r="BJ1496" s="2">
        <v>0.2</v>
      </c>
      <c r="BK1496" s="2">
        <v>1</v>
      </c>
      <c r="BL1496" s="2">
        <v>40.76</v>
      </c>
      <c r="BM1496" s="2">
        <v>5.71</v>
      </c>
      <c r="BN1496" s="2">
        <v>46.47</v>
      </c>
      <c r="BO1496" s="2">
        <v>46.47</v>
      </c>
      <c r="BP1496" s="2"/>
      <c r="BQ1496" s="2" t="s">
        <v>117</v>
      </c>
      <c r="BR1496" s="2" t="s">
        <v>83</v>
      </c>
      <c r="BS1496" s="3">
        <v>42662</v>
      </c>
      <c r="BT1496" s="4">
        <v>0</v>
      </c>
      <c r="BU1496" s="2" t="s">
        <v>1771</v>
      </c>
      <c r="BV1496" s="2" t="s">
        <v>85</v>
      </c>
      <c r="BW1496" s="2"/>
      <c r="BX1496" s="2"/>
      <c r="BY1496" s="2">
        <v>1200</v>
      </c>
      <c r="BZ1496" s="2"/>
      <c r="CA1496" s="2"/>
      <c r="CB1496" s="2"/>
      <c r="CC1496" s="2" t="s">
        <v>682</v>
      </c>
      <c r="CD1496" s="2">
        <v>6835</v>
      </c>
      <c r="CE1496" s="2" t="s">
        <v>108</v>
      </c>
      <c r="CF1496" s="5">
        <v>42667</v>
      </c>
      <c r="CG1496" s="2"/>
      <c r="CH1496" s="2"/>
      <c r="CI1496" s="2">
        <v>3</v>
      </c>
      <c r="CJ1496" s="2">
        <v>2</v>
      </c>
      <c r="CK1496" s="2">
        <v>21</v>
      </c>
      <c r="CL1496" s="2" t="s">
        <v>88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"FES1162507218"</f>
        <v>FES1162507218</v>
      </c>
      <c r="F1497" s="3">
        <v>42660</v>
      </c>
      <c r="G1497" s="2">
        <v>201704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160</v>
      </c>
      <c r="M1497" s="2" t="s">
        <v>161</v>
      </c>
      <c r="N1497" s="2" t="s">
        <v>1018</v>
      </c>
      <c r="O1497" s="2" t="s">
        <v>96</v>
      </c>
      <c r="P1497" s="2" t="str">
        <f>"2170529258                    "</f>
        <v xml:space="preserve">2170529258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4.9800000000000004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0.7</v>
      </c>
      <c r="BJ1497" s="2">
        <v>3</v>
      </c>
      <c r="BK1497" s="2">
        <v>3</v>
      </c>
      <c r="BL1497" s="2">
        <v>61.14</v>
      </c>
      <c r="BM1497" s="2">
        <v>8.56</v>
      </c>
      <c r="BN1497" s="2">
        <v>69.7</v>
      </c>
      <c r="BO1497" s="2">
        <v>69.7</v>
      </c>
      <c r="BP1497" s="2"/>
      <c r="BQ1497" s="2" t="s">
        <v>1093</v>
      </c>
      <c r="BR1497" s="2" t="s">
        <v>83</v>
      </c>
      <c r="BS1497" s="3">
        <v>42661</v>
      </c>
      <c r="BT1497" s="4">
        <v>0.41666666666666669</v>
      </c>
      <c r="BU1497" s="2" t="s">
        <v>1772</v>
      </c>
      <c r="BV1497" s="2" t="s">
        <v>85</v>
      </c>
      <c r="BW1497" s="2"/>
      <c r="BX1497" s="2"/>
      <c r="BY1497" s="2">
        <v>15136.58</v>
      </c>
      <c r="BZ1497" s="2"/>
      <c r="CA1497" s="2"/>
      <c r="CB1497" s="2"/>
      <c r="CC1497" s="2" t="s">
        <v>161</v>
      </c>
      <c r="CD1497" s="2">
        <v>7800</v>
      </c>
      <c r="CE1497" s="2" t="s">
        <v>108</v>
      </c>
      <c r="CF1497" s="5">
        <v>42662</v>
      </c>
      <c r="CG1497" s="2"/>
      <c r="CH1497" s="2"/>
      <c r="CI1497" s="2">
        <v>1</v>
      </c>
      <c r="CJ1497" s="2">
        <v>1</v>
      </c>
      <c r="CK1497" s="2">
        <v>21</v>
      </c>
      <c r="CL1497" s="2" t="s">
        <v>88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"FES1162507002"</f>
        <v>FES1162507002</v>
      </c>
      <c r="F1498" s="3">
        <v>42660</v>
      </c>
      <c r="G1498" s="2">
        <v>201704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160</v>
      </c>
      <c r="M1498" s="2" t="s">
        <v>161</v>
      </c>
      <c r="N1498" s="2" t="s">
        <v>1766</v>
      </c>
      <c r="O1498" s="2" t="s">
        <v>96</v>
      </c>
      <c r="P1498" s="2" t="str">
        <f>"2170530514                    "</f>
        <v xml:space="preserve">2170530514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3.32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1</v>
      </c>
      <c r="BJ1498" s="2">
        <v>0.2</v>
      </c>
      <c r="BK1498" s="2">
        <v>1</v>
      </c>
      <c r="BL1498" s="2">
        <v>40.76</v>
      </c>
      <c r="BM1498" s="2">
        <v>5.71</v>
      </c>
      <c r="BN1498" s="2">
        <v>46.47</v>
      </c>
      <c r="BO1498" s="2">
        <v>46.47</v>
      </c>
      <c r="BP1498" s="2"/>
      <c r="BQ1498" s="2" t="s">
        <v>91</v>
      </c>
      <c r="BR1498" s="2" t="s">
        <v>83</v>
      </c>
      <c r="BS1498" s="3">
        <v>42661</v>
      </c>
      <c r="BT1498" s="4">
        <v>0.46249999999999997</v>
      </c>
      <c r="BU1498" s="2" t="s">
        <v>1773</v>
      </c>
      <c r="BV1498" s="2" t="s">
        <v>88</v>
      </c>
      <c r="BW1498" s="2" t="s">
        <v>277</v>
      </c>
      <c r="BX1498" s="2" t="s">
        <v>223</v>
      </c>
      <c r="BY1498" s="2">
        <v>1200</v>
      </c>
      <c r="BZ1498" s="2"/>
      <c r="CA1498" s="2" t="s">
        <v>229</v>
      </c>
      <c r="CB1498" s="2"/>
      <c r="CC1498" s="2" t="s">
        <v>161</v>
      </c>
      <c r="CD1498" s="2">
        <v>7460</v>
      </c>
      <c r="CE1498" s="2" t="s">
        <v>108</v>
      </c>
      <c r="CF1498" s="5">
        <v>42661</v>
      </c>
      <c r="CG1498" s="2"/>
      <c r="CH1498" s="2"/>
      <c r="CI1498" s="2">
        <v>1</v>
      </c>
      <c r="CJ1498" s="2">
        <v>1</v>
      </c>
      <c r="CK1498" s="2">
        <v>21</v>
      </c>
      <c r="CL1498" s="2" t="s">
        <v>88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"FES1162507480"</f>
        <v>FES1162507480</v>
      </c>
      <c r="F1499" s="3">
        <v>42661</v>
      </c>
      <c r="G1499" s="2">
        <v>201704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207</v>
      </c>
      <c r="M1499" s="2" t="s">
        <v>208</v>
      </c>
      <c r="N1499" s="2" t="s">
        <v>1774</v>
      </c>
      <c r="O1499" s="2" t="s">
        <v>96</v>
      </c>
      <c r="P1499" s="2" t="str">
        <f>"2170507480                    "</f>
        <v xml:space="preserve">2170507480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3.32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0.5</v>
      </c>
      <c r="BJ1499" s="2">
        <v>0.2</v>
      </c>
      <c r="BK1499" s="2">
        <v>0.5</v>
      </c>
      <c r="BL1499" s="2">
        <v>40.76</v>
      </c>
      <c r="BM1499" s="2">
        <v>5.71</v>
      </c>
      <c r="BN1499" s="2">
        <v>46.47</v>
      </c>
      <c r="BO1499" s="2">
        <v>46.47</v>
      </c>
      <c r="BP1499" s="2"/>
      <c r="BQ1499" s="2" t="s">
        <v>168</v>
      </c>
      <c r="BR1499" s="2" t="s">
        <v>83</v>
      </c>
      <c r="BS1499" s="3">
        <v>42662</v>
      </c>
      <c r="BT1499" s="4">
        <v>0.4375</v>
      </c>
      <c r="BU1499" s="2" t="s">
        <v>1775</v>
      </c>
      <c r="BV1499" s="2" t="s">
        <v>85</v>
      </c>
      <c r="BW1499" s="2"/>
      <c r="BX1499" s="2"/>
      <c r="BY1499" s="2">
        <v>1200</v>
      </c>
      <c r="BZ1499" s="2"/>
      <c r="CA1499" s="2"/>
      <c r="CB1499" s="2"/>
      <c r="CC1499" s="2" t="s">
        <v>208</v>
      </c>
      <c r="CD1499" s="2">
        <v>4113</v>
      </c>
      <c r="CE1499" s="2" t="s">
        <v>108</v>
      </c>
      <c r="CF1499" s="5">
        <v>42663</v>
      </c>
      <c r="CG1499" s="2"/>
      <c r="CH1499" s="2"/>
      <c r="CI1499" s="2">
        <v>1</v>
      </c>
      <c r="CJ1499" s="2">
        <v>1</v>
      </c>
      <c r="CK1499" s="2">
        <v>21</v>
      </c>
      <c r="CL1499" s="2" t="s">
        <v>88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"FES1162507357"</f>
        <v>FES1162507357</v>
      </c>
      <c r="F1500" s="3">
        <v>42661</v>
      </c>
      <c r="G1500" s="2">
        <v>201704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269</v>
      </c>
      <c r="M1500" s="2" t="s">
        <v>270</v>
      </c>
      <c r="N1500" s="2" t="s">
        <v>299</v>
      </c>
      <c r="O1500" s="2" t="s">
        <v>96</v>
      </c>
      <c r="P1500" s="2" t="str">
        <f>"2170529488                    "</f>
        <v xml:space="preserve">2170529488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3.32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0.5</v>
      </c>
      <c r="BJ1500" s="2">
        <v>0.2</v>
      </c>
      <c r="BK1500" s="2">
        <v>0.5</v>
      </c>
      <c r="BL1500" s="2">
        <v>40.76</v>
      </c>
      <c r="BM1500" s="2">
        <v>5.71</v>
      </c>
      <c r="BN1500" s="2">
        <v>46.47</v>
      </c>
      <c r="BO1500" s="2">
        <v>46.47</v>
      </c>
      <c r="BP1500" s="2"/>
      <c r="BQ1500" s="2" t="s">
        <v>300</v>
      </c>
      <c r="BR1500" s="2" t="s">
        <v>83</v>
      </c>
      <c r="BS1500" s="3">
        <v>42662</v>
      </c>
      <c r="BT1500" s="4">
        <v>0.35416666666666669</v>
      </c>
      <c r="BU1500" s="2" t="s">
        <v>301</v>
      </c>
      <c r="BV1500" s="2" t="s">
        <v>85</v>
      </c>
      <c r="BW1500" s="2"/>
      <c r="BX1500" s="2"/>
      <c r="BY1500" s="2">
        <v>1200</v>
      </c>
      <c r="BZ1500" s="2"/>
      <c r="CA1500" s="2"/>
      <c r="CB1500" s="2"/>
      <c r="CC1500" s="2" t="s">
        <v>270</v>
      </c>
      <c r="CD1500" s="2">
        <v>3610</v>
      </c>
      <c r="CE1500" s="2" t="s">
        <v>108</v>
      </c>
      <c r="CF1500" s="5">
        <v>42663</v>
      </c>
      <c r="CG1500" s="2"/>
      <c r="CH1500" s="2"/>
      <c r="CI1500" s="2">
        <v>1</v>
      </c>
      <c r="CJ1500" s="2">
        <v>1</v>
      </c>
      <c r="CK1500" s="2">
        <v>21</v>
      </c>
      <c r="CL1500" s="2" t="s">
        <v>88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"FES1162507437"</f>
        <v>FES1162507437</v>
      </c>
      <c r="F1501" s="3">
        <v>42661</v>
      </c>
      <c r="G1501" s="2">
        <v>201704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286</v>
      </c>
      <c r="M1501" s="2" t="s">
        <v>287</v>
      </c>
      <c r="N1501" s="2" t="s">
        <v>1776</v>
      </c>
      <c r="O1501" s="2" t="s">
        <v>96</v>
      </c>
      <c r="P1501" s="2" t="str">
        <f>"2170528056                    "</f>
        <v xml:space="preserve">2170528056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4.1500000000000004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1.5</v>
      </c>
      <c r="BJ1501" s="2">
        <v>2.1</v>
      </c>
      <c r="BK1501" s="2">
        <v>2.5</v>
      </c>
      <c r="BL1501" s="2">
        <v>50.95</v>
      </c>
      <c r="BM1501" s="2">
        <v>7.13</v>
      </c>
      <c r="BN1501" s="2">
        <v>58.08</v>
      </c>
      <c r="BO1501" s="2">
        <v>58.08</v>
      </c>
      <c r="BP1501" s="2"/>
      <c r="BQ1501" s="2" t="s">
        <v>91</v>
      </c>
      <c r="BR1501" s="2" t="s">
        <v>83</v>
      </c>
      <c r="BS1501" s="3">
        <v>42663</v>
      </c>
      <c r="BT1501" s="4">
        <v>0.41666666666666669</v>
      </c>
      <c r="BU1501" s="2" t="s">
        <v>1191</v>
      </c>
      <c r="BV1501" s="2" t="s">
        <v>88</v>
      </c>
      <c r="BW1501" s="2"/>
      <c r="BX1501" s="2"/>
      <c r="BY1501" s="2">
        <v>10547.64</v>
      </c>
      <c r="BZ1501" s="2"/>
      <c r="CA1501" s="2" t="s">
        <v>129</v>
      </c>
      <c r="CB1501" s="2"/>
      <c r="CC1501" s="2" t="s">
        <v>287</v>
      </c>
      <c r="CD1501" s="2">
        <v>1947</v>
      </c>
      <c r="CE1501" s="2" t="s">
        <v>108</v>
      </c>
      <c r="CF1501" s="5">
        <v>42667</v>
      </c>
      <c r="CG1501" s="2"/>
      <c r="CH1501" s="2"/>
      <c r="CI1501" s="2">
        <v>1</v>
      </c>
      <c r="CJ1501" s="2">
        <v>2</v>
      </c>
      <c r="CK1501" s="2">
        <v>21</v>
      </c>
      <c r="CL1501" s="2" t="s">
        <v>88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"FES1162507144"</f>
        <v>FES1162507144</v>
      </c>
      <c r="F1502" s="3">
        <v>42660</v>
      </c>
      <c r="G1502" s="2">
        <v>201704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98</v>
      </c>
      <c r="M1502" s="2" t="s">
        <v>99</v>
      </c>
      <c r="N1502" s="2" t="s">
        <v>133</v>
      </c>
      <c r="O1502" s="2" t="s">
        <v>96</v>
      </c>
      <c r="P1502" s="2" t="str">
        <f>"2170529695                    "</f>
        <v xml:space="preserve">2170529695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3.32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</v>
      </c>
      <c r="BJ1502" s="2">
        <v>0.2</v>
      </c>
      <c r="BK1502" s="2">
        <v>1</v>
      </c>
      <c r="BL1502" s="2">
        <v>40.76</v>
      </c>
      <c r="BM1502" s="2">
        <v>5.71</v>
      </c>
      <c r="BN1502" s="2">
        <v>46.47</v>
      </c>
      <c r="BO1502" s="2">
        <v>46.47</v>
      </c>
      <c r="BP1502" s="2"/>
      <c r="BQ1502" s="2" t="s">
        <v>134</v>
      </c>
      <c r="BR1502" s="2" t="s">
        <v>83</v>
      </c>
      <c r="BS1502" s="3">
        <v>42661</v>
      </c>
      <c r="BT1502" s="4">
        <v>0.54166666666666663</v>
      </c>
      <c r="BU1502" s="2" t="s">
        <v>1264</v>
      </c>
      <c r="BV1502" s="2" t="s">
        <v>88</v>
      </c>
      <c r="BW1502" s="2" t="s">
        <v>222</v>
      </c>
      <c r="BX1502" s="2" t="s">
        <v>250</v>
      </c>
      <c r="BY1502" s="2">
        <v>1200</v>
      </c>
      <c r="BZ1502" s="2"/>
      <c r="CA1502" s="2"/>
      <c r="CB1502" s="2"/>
      <c r="CC1502" s="2" t="s">
        <v>99</v>
      </c>
      <c r="CD1502" s="2">
        <v>6001</v>
      </c>
      <c r="CE1502" s="2" t="s">
        <v>108</v>
      </c>
      <c r="CF1502" s="5">
        <v>42662</v>
      </c>
      <c r="CG1502" s="2"/>
      <c r="CH1502" s="2"/>
      <c r="CI1502" s="2">
        <v>1</v>
      </c>
      <c r="CJ1502" s="2">
        <v>1</v>
      </c>
      <c r="CK1502" s="2">
        <v>21</v>
      </c>
      <c r="CL1502" s="2" t="s">
        <v>88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"FES1162507153"</f>
        <v>FES1162507153</v>
      </c>
      <c r="F1503" s="3">
        <v>42660</v>
      </c>
      <c r="G1503" s="2">
        <v>201704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119</v>
      </c>
      <c r="M1503" s="2" t="s">
        <v>120</v>
      </c>
      <c r="N1503" s="2" t="s">
        <v>1517</v>
      </c>
      <c r="O1503" s="2" t="s">
        <v>96</v>
      </c>
      <c r="P1503" s="2" t="str">
        <f>"2170530161                    "</f>
        <v xml:space="preserve">2170530161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3.32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1</v>
      </c>
      <c r="BJ1503" s="2">
        <v>0.2</v>
      </c>
      <c r="BK1503" s="2">
        <v>1</v>
      </c>
      <c r="BL1503" s="2">
        <v>40.76</v>
      </c>
      <c r="BM1503" s="2">
        <v>5.71</v>
      </c>
      <c r="BN1503" s="2">
        <v>46.47</v>
      </c>
      <c r="BO1503" s="2">
        <v>46.47</v>
      </c>
      <c r="BP1503" s="2"/>
      <c r="BQ1503" s="2" t="s">
        <v>1518</v>
      </c>
      <c r="BR1503" s="2" t="s">
        <v>83</v>
      </c>
      <c r="BS1503" s="3">
        <v>42661</v>
      </c>
      <c r="BT1503" s="4">
        <v>0.61527777777777781</v>
      </c>
      <c r="BU1503" s="2" t="s">
        <v>1519</v>
      </c>
      <c r="BV1503" s="2" t="s">
        <v>88</v>
      </c>
      <c r="BW1503" s="2" t="s">
        <v>277</v>
      </c>
      <c r="BX1503" s="2" t="s">
        <v>1683</v>
      </c>
      <c r="BY1503" s="2">
        <v>1200</v>
      </c>
      <c r="BZ1503" s="2"/>
      <c r="CA1503" s="2"/>
      <c r="CB1503" s="2"/>
      <c r="CC1503" s="2" t="s">
        <v>120</v>
      </c>
      <c r="CD1503" s="2">
        <v>6229</v>
      </c>
      <c r="CE1503" s="2" t="s">
        <v>108</v>
      </c>
      <c r="CF1503" s="5">
        <v>42662</v>
      </c>
      <c r="CG1503" s="2"/>
      <c r="CH1503" s="2"/>
      <c r="CI1503" s="2">
        <v>1</v>
      </c>
      <c r="CJ1503" s="2">
        <v>1</v>
      </c>
      <c r="CK1503" s="2">
        <v>21</v>
      </c>
      <c r="CL1503" s="2" t="s">
        <v>88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"FES1162507185"</f>
        <v>FES1162507185</v>
      </c>
      <c r="F1504" s="3">
        <v>42660</v>
      </c>
      <c r="G1504" s="2">
        <v>201704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98</v>
      </c>
      <c r="M1504" s="2" t="s">
        <v>99</v>
      </c>
      <c r="N1504" s="2" t="s">
        <v>1043</v>
      </c>
      <c r="O1504" s="2" t="s">
        <v>96</v>
      </c>
      <c r="P1504" s="2" t="str">
        <f>"2170530690                    "</f>
        <v xml:space="preserve">2170530690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3.32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1</v>
      </c>
      <c r="BJ1504" s="2">
        <v>0.2</v>
      </c>
      <c r="BK1504" s="2">
        <v>1</v>
      </c>
      <c r="BL1504" s="2">
        <v>40.76</v>
      </c>
      <c r="BM1504" s="2">
        <v>5.71</v>
      </c>
      <c r="BN1504" s="2">
        <v>46.47</v>
      </c>
      <c r="BO1504" s="2">
        <v>46.47</v>
      </c>
      <c r="BP1504" s="2"/>
      <c r="BQ1504" s="2" t="s">
        <v>1777</v>
      </c>
      <c r="BR1504" s="2" t="s">
        <v>83</v>
      </c>
      <c r="BS1504" s="3">
        <v>42661</v>
      </c>
      <c r="BT1504" s="4">
        <v>0.53125</v>
      </c>
      <c r="BU1504" s="2" t="s">
        <v>1778</v>
      </c>
      <c r="BV1504" s="2" t="s">
        <v>88</v>
      </c>
      <c r="BW1504" s="2" t="s">
        <v>222</v>
      </c>
      <c r="BX1504" s="2" t="s">
        <v>250</v>
      </c>
      <c r="BY1504" s="2">
        <v>1200</v>
      </c>
      <c r="BZ1504" s="2"/>
      <c r="CA1504" s="2"/>
      <c r="CB1504" s="2"/>
      <c r="CC1504" s="2" t="s">
        <v>99</v>
      </c>
      <c r="CD1504" s="2">
        <v>6001</v>
      </c>
      <c r="CE1504" s="2" t="s">
        <v>108</v>
      </c>
      <c r="CF1504" s="5">
        <v>42662</v>
      </c>
      <c r="CG1504" s="2"/>
      <c r="CH1504" s="2"/>
      <c r="CI1504" s="2">
        <v>1</v>
      </c>
      <c r="CJ1504" s="2">
        <v>1</v>
      </c>
      <c r="CK1504" s="2">
        <v>21</v>
      </c>
      <c r="CL1504" s="2" t="s">
        <v>88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"FES1162507145"</f>
        <v>FES1162507145</v>
      </c>
      <c r="F1505" s="3">
        <v>42660</v>
      </c>
      <c r="G1505" s="2">
        <v>201704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98</v>
      </c>
      <c r="M1505" s="2" t="s">
        <v>99</v>
      </c>
      <c r="N1505" s="2" t="s">
        <v>832</v>
      </c>
      <c r="O1505" s="2" t="s">
        <v>96</v>
      </c>
      <c r="P1505" s="2" t="str">
        <f>"2170529705                    "</f>
        <v xml:space="preserve">2170529705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3.32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1</v>
      </c>
      <c r="BJ1505" s="2">
        <v>0.2</v>
      </c>
      <c r="BK1505" s="2">
        <v>1</v>
      </c>
      <c r="BL1505" s="2">
        <v>40.76</v>
      </c>
      <c r="BM1505" s="2">
        <v>5.71</v>
      </c>
      <c r="BN1505" s="2">
        <v>46.47</v>
      </c>
      <c r="BO1505" s="2">
        <v>46.47</v>
      </c>
      <c r="BP1505" s="2"/>
      <c r="BQ1505" s="2" t="s">
        <v>833</v>
      </c>
      <c r="BR1505" s="2" t="s">
        <v>83</v>
      </c>
      <c r="BS1505" s="3">
        <v>42661</v>
      </c>
      <c r="BT1505" s="4">
        <v>0.53472222222222221</v>
      </c>
      <c r="BU1505" s="2" t="s">
        <v>228</v>
      </c>
      <c r="BV1505" s="2" t="s">
        <v>88</v>
      </c>
      <c r="BW1505" s="2" t="s">
        <v>222</v>
      </c>
      <c r="BX1505" s="2" t="s">
        <v>250</v>
      </c>
      <c r="BY1505" s="2">
        <v>1200</v>
      </c>
      <c r="BZ1505" s="2"/>
      <c r="CA1505" s="2"/>
      <c r="CB1505" s="2"/>
      <c r="CC1505" s="2" t="s">
        <v>99</v>
      </c>
      <c r="CD1505" s="2">
        <v>6001</v>
      </c>
      <c r="CE1505" s="2" t="s">
        <v>108</v>
      </c>
      <c r="CF1505" s="5">
        <v>42662</v>
      </c>
      <c r="CG1505" s="2"/>
      <c r="CH1505" s="2"/>
      <c r="CI1505" s="2">
        <v>1</v>
      </c>
      <c r="CJ1505" s="2">
        <v>1</v>
      </c>
      <c r="CK1505" s="2">
        <v>21</v>
      </c>
      <c r="CL1505" s="2" t="s">
        <v>88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"FES1162507159"</f>
        <v>FES1162507159</v>
      </c>
      <c r="F1506" s="3">
        <v>42660</v>
      </c>
      <c r="G1506" s="2">
        <v>201704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98</v>
      </c>
      <c r="M1506" s="2" t="s">
        <v>99</v>
      </c>
      <c r="N1506" s="2" t="s">
        <v>1687</v>
      </c>
      <c r="O1506" s="2" t="s">
        <v>96</v>
      </c>
      <c r="P1506" s="2" t="str">
        <f>"2170530489                    "</f>
        <v xml:space="preserve">2170530489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3.32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1</v>
      </c>
      <c r="BJ1506" s="2">
        <v>0.2</v>
      </c>
      <c r="BK1506" s="2">
        <v>1</v>
      </c>
      <c r="BL1506" s="2">
        <v>40.76</v>
      </c>
      <c r="BM1506" s="2">
        <v>5.71</v>
      </c>
      <c r="BN1506" s="2">
        <v>46.47</v>
      </c>
      <c r="BO1506" s="2">
        <v>46.47</v>
      </c>
      <c r="BP1506" s="2"/>
      <c r="BQ1506" s="2" t="s">
        <v>1688</v>
      </c>
      <c r="BR1506" s="2" t="s">
        <v>83</v>
      </c>
      <c r="BS1506" s="3">
        <v>42661</v>
      </c>
      <c r="BT1506" s="4">
        <v>0.52083333333333337</v>
      </c>
      <c r="BU1506" s="2" t="s">
        <v>1689</v>
      </c>
      <c r="BV1506" s="2" t="s">
        <v>88</v>
      </c>
      <c r="BW1506" s="2" t="s">
        <v>222</v>
      </c>
      <c r="BX1506" s="2" t="s">
        <v>250</v>
      </c>
      <c r="BY1506" s="2">
        <v>1200</v>
      </c>
      <c r="BZ1506" s="2"/>
      <c r="CA1506" s="2"/>
      <c r="CB1506" s="2"/>
      <c r="CC1506" s="2" t="s">
        <v>99</v>
      </c>
      <c r="CD1506" s="2">
        <v>6001</v>
      </c>
      <c r="CE1506" s="2" t="s">
        <v>108</v>
      </c>
      <c r="CF1506" s="5">
        <v>42662</v>
      </c>
      <c r="CG1506" s="2"/>
      <c r="CH1506" s="2"/>
      <c r="CI1506" s="2">
        <v>1</v>
      </c>
      <c r="CJ1506" s="2">
        <v>1</v>
      </c>
      <c r="CK1506" s="2">
        <v>21</v>
      </c>
      <c r="CL1506" s="2" t="s">
        <v>88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"FES1162506992"</f>
        <v>FES1162506992</v>
      </c>
      <c r="F1507" s="3">
        <v>42660</v>
      </c>
      <c r="G1507" s="2">
        <v>201704</v>
      </c>
      <c r="H1507" s="2" t="s">
        <v>74</v>
      </c>
      <c r="I1507" s="2" t="s">
        <v>75</v>
      </c>
      <c r="J1507" s="2" t="s">
        <v>76</v>
      </c>
      <c r="K1507" s="2" t="s">
        <v>77</v>
      </c>
      <c r="L1507" s="2" t="s">
        <v>160</v>
      </c>
      <c r="M1507" s="2" t="s">
        <v>161</v>
      </c>
      <c r="N1507" s="2" t="s">
        <v>411</v>
      </c>
      <c r="O1507" s="2" t="s">
        <v>96</v>
      </c>
      <c r="P1507" s="2" t="str">
        <f>"2170527191                    "</f>
        <v xml:space="preserve">2170527191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3.32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</v>
      </c>
      <c r="BJ1507" s="2">
        <v>0.2</v>
      </c>
      <c r="BK1507" s="2">
        <v>1</v>
      </c>
      <c r="BL1507" s="2">
        <v>40.76</v>
      </c>
      <c r="BM1507" s="2">
        <v>5.71</v>
      </c>
      <c r="BN1507" s="2">
        <v>46.47</v>
      </c>
      <c r="BO1507" s="2">
        <v>46.47</v>
      </c>
      <c r="BP1507" s="2"/>
      <c r="BQ1507" s="2" t="s">
        <v>412</v>
      </c>
      <c r="BR1507" s="2" t="s">
        <v>83</v>
      </c>
      <c r="BS1507" s="3">
        <v>42662</v>
      </c>
      <c r="BT1507" s="4">
        <v>0.45833333333333331</v>
      </c>
      <c r="BU1507" s="2" t="s">
        <v>1779</v>
      </c>
      <c r="BV1507" s="2" t="s">
        <v>88</v>
      </c>
      <c r="BW1507" s="2" t="s">
        <v>222</v>
      </c>
      <c r="BX1507" s="2" t="s">
        <v>356</v>
      </c>
      <c r="BY1507" s="2">
        <v>1200</v>
      </c>
      <c r="BZ1507" s="2"/>
      <c r="CA1507" s="2"/>
      <c r="CB1507" s="2"/>
      <c r="CC1507" s="2" t="s">
        <v>161</v>
      </c>
      <c r="CD1507" s="2">
        <v>7945</v>
      </c>
      <c r="CE1507" s="2" t="s">
        <v>108</v>
      </c>
      <c r="CF1507" s="5">
        <v>42663</v>
      </c>
      <c r="CG1507" s="2"/>
      <c r="CH1507" s="2"/>
      <c r="CI1507" s="2">
        <v>1</v>
      </c>
      <c r="CJ1507" s="2">
        <v>2</v>
      </c>
      <c r="CK1507" s="2">
        <v>21</v>
      </c>
      <c r="CL1507" s="2" t="s">
        <v>88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"FES1162507065"</f>
        <v>FES1162507065</v>
      </c>
      <c r="F1508" s="3">
        <v>42660</v>
      </c>
      <c r="G1508" s="2">
        <v>201704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160</v>
      </c>
      <c r="M1508" s="2" t="s">
        <v>161</v>
      </c>
      <c r="N1508" s="2" t="s">
        <v>179</v>
      </c>
      <c r="O1508" s="2" t="s">
        <v>96</v>
      </c>
      <c r="P1508" s="2" t="str">
        <f>"2170530567                    "</f>
        <v xml:space="preserve">2170530567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3.32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</v>
      </c>
      <c r="BJ1508" s="2">
        <v>0.2</v>
      </c>
      <c r="BK1508" s="2">
        <v>1</v>
      </c>
      <c r="BL1508" s="2">
        <v>40.76</v>
      </c>
      <c r="BM1508" s="2">
        <v>5.71</v>
      </c>
      <c r="BN1508" s="2">
        <v>46.47</v>
      </c>
      <c r="BO1508" s="2">
        <v>46.47</v>
      </c>
      <c r="BP1508" s="2"/>
      <c r="BQ1508" s="2" t="s">
        <v>180</v>
      </c>
      <c r="BR1508" s="2" t="s">
        <v>83</v>
      </c>
      <c r="BS1508" s="3">
        <v>42662</v>
      </c>
      <c r="BT1508" s="4">
        <v>0.41666666666666669</v>
      </c>
      <c r="BU1508" s="2" t="s">
        <v>1780</v>
      </c>
      <c r="BV1508" s="2" t="s">
        <v>88</v>
      </c>
      <c r="BW1508" s="2" t="s">
        <v>222</v>
      </c>
      <c r="BX1508" s="2" t="s">
        <v>356</v>
      </c>
      <c r="BY1508" s="2">
        <v>1200</v>
      </c>
      <c r="BZ1508" s="2"/>
      <c r="CA1508" s="2" t="s">
        <v>129</v>
      </c>
      <c r="CB1508" s="2"/>
      <c r="CC1508" s="2" t="s">
        <v>161</v>
      </c>
      <c r="CD1508" s="2">
        <v>7405</v>
      </c>
      <c r="CE1508" s="2" t="s">
        <v>108</v>
      </c>
      <c r="CF1508" s="5">
        <v>42663</v>
      </c>
      <c r="CG1508" s="2"/>
      <c r="CH1508" s="2"/>
      <c r="CI1508" s="2">
        <v>1</v>
      </c>
      <c r="CJ1508" s="2">
        <v>2</v>
      </c>
      <c r="CK1508" s="2">
        <v>21</v>
      </c>
      <c r="CL1508" s="2" t="s">
        <v>88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"FES1162506945"</f>
        <v>FES1162506945</v>
      </c>
      <c r="F1509" s="3">
        <v>42660</v>
      </c>
      <c r="G1509" s="2">
        <v>201704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171</v>
      </c>
      <c r="M1509" s="2" t="s">
        <v>172</v>
      </c>
      <c r="N1509" s="2" t="s">
        <v>429</v>
      </c>
      <c r="O1509" s="2" t="s">
        <v>96</v>
      </c>
      <c r="P1509" s="2" t="str">
        <f>"2170527709                    "</f>
        <v xml:space="preserve">2170527709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3.32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</v>
      </c>
      <c r="BJ1509" s="2">
        <v>0.2</v>
      </c>
      <c r="BK1509" s="2">
        <v>1</v>
      </c>
      <c r="BL1509" s="2">
        <v>40.76</v>
      </c>
      <c r="BM1509" s="2">
        <v>5.71</v>
      </c>
      <c r="BN1509" s="2">
        <v>46.47</v>
      </c>
      <c r="BO1509" s="2">
        <v>46.47</v>
      </c>
      <c r="BP1509" s="2"/>
      <c r="BQ1509" s="2" t="s">
        <v>430</v>
      </c>
      <c r="BR1509" s="2" t="s">
        <v>83</v>
      </c>
      <c r="BS1509" s="3">
        <v>42661</v>
      </c>
      <c r="BT1509" s="4">
        <v>0.66736111111111107</v>
      </c>
      <c r="BU1509" s="2" t="s">
        <v>431</v>
      </c>
      <c r="BV1509" s="2" t="s">
        <v>88</v>
      </c>
      <c r="BW1509" s="2" t="s">
        <v>222</v>
      </c>
      <c r="BX1509" s="2" t="s">
        <v>250</v>
      </c>
      <c r="BY1509" s="2">
        <v>1200</v>
      </c>
      <c r="BZ1509" s="2"/>
      <c r="CA1509" s="2"/>
      <c r="CB1509" s="2"/>
      <c r="CC1509" s="2" t="s">
        <v>172</v>
      </c>
      <c r="CD1509" s="2">
        <v>6220</v>
      </c>
      <c r="CE1509" s="2" t="s">
        <v>108</v>
      </c>
      <c r="CF1509" s="5">
        <v>42662</v>
      </c>
      <c r="CG1509" s="2"/>
      <c r="CH1509" s="2"/>
      <c r="CI1509" s="2">
        <v>1</v>
      </c>
      <c r="CJ1509" s="2">
        <v>1</v>
      </c>
      <c r="CK1509" s="2">
        <v>21</v>
      </c>
      <c r="CL1509" s="2" t="s">
        <v>88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"FES1162506976"</f>
        <v>FES1162506976</v>
      </c>
      <c r="F1510" s="3">
        <v>42660</v>
      </c>
      <c r="G1510" s="2">
        <v>201704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98</v>
      </c>
      <c r="M1510" s="2" t="s">
        <v>99</v>
      </c>
      <c r="N1510" s="2" t="s">
        <v>1687</v>
      </c>
      <c r="O1510" s="2" t="s">
        <v>96</v>
      </c>
      <c r="P1510" s="2" t="str">
        <f>"2170529492                    "</f>
        <v xml:space="preserve">2170529492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3.32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</v>
      </c>
      <c r="BJ1510" s="2">
        <v>0.2</v>
      </c>
      <c r="BK1510" s="2">
        <v>1</v>
      </c>
      <c r="BL1510" s="2">
        <v>40.76</v>
      </c>
      <c r="BM1510" s="2">
        <v>5.71</v>
      </c>
      <c r="BN1510" s="2">
        <v>46.47</v>
      </c>
      <c r="BO1510" s="2">
        <v>46.47</v>
      </c>
      <c r="BP1510" s="2"/>
      <c r="BQ1510" s="2" t="s">
        <v>1688</v>
      </c>
      <c r="BR1510" s="2" t="s">
        <v>83</v>
      </c>
      <c r="BS1510" s="3">
        <v>42661</v>
      </c>
      <c r="BT1510" s="4">
        <v>0.52083333333333337</v>
      </c>
      <c r="BU1510" s="2" t="s">
        <v>1689</v>
      </c>
      <c r="BV1510" s="2" t="s">
        <v>88</v>
      </c>
      <c r="BW1510" s="2" t="s">
        <v>222</v>
      </c>
      <c r="BX1510" s="2" t="s">
        <v>250</v>
      </c>
      <c r="BY1510" s="2">
        <v>1200</v>
      </c>
      <c r="BZ1510" s="2"/>
      <c r="CA1510" s="2"/>
      <c r="CB1510" s="2"/>
      <c r="CC1510" s="2" t="s">
        <v>99</v>
      </c>
      <c r="CD1510" s="2">
        <v>6001</v>
      </c>
      <c r="CE1510" s="2" t="s">
        <v>108</v>
      </c>
      <c r="CF1510" s="5">
        <v>42662</v>
      </c>
      <c r="CG1510" s="2"/>
      <c r="CH1510" s="2"/>
      <c r="CI1510" s="2">
        <v>1</v>
      </c>
      <c r="CJ1510" s="2">
        <v>1</v>
      </c>
      <c r="CK1510" s="2">
        <v>21</v>
      </c>
      <c r="CL1510" s="2" t="s">
        <v>88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"FES1162506974"</f>
        <v>FES1162506974</v>
      </c>
      <c r="F1511" s="3">
        <v>42660</v>
      </c>
      <c r="G1511" s="2">
        <v>201704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98</v>
      </c>
      <c r="M1511" s="2" t="s">
        <v>99</v>
      </c>
      <c r="N1511" s="2" t="s">
        <v>1687</v>
      </c>
      <c r="O1511" s="2" t="s">
        <v>96</v>
      </c>
      <c r="P1511" s="2" t="str">
        <f>"2170529485                    "</f>
        <v xml:space="preserve">2170529485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3.32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</v>
      </c>
      <c r="BJ1511" s="2">
        <v>0.2</v>
      </c>
      <c r="BK1511" s="2">
        <v>1</v>
      </c>
      <c r="BL1511" s="2">
        <v>40.76</v>
      </c>
      <c r="BM1511" s="2">
        <v>5.71</v>
      </c>
      <c r="BN1511" s="2">
        <v>46.47</v>
      </c>
      <c r="BO1511" s="2">
        <v>46.47</v>
      </c>
      <c r="BP1511" s="2"/>
      <c r="BQ1511" s="2" t="s">
        <v>1688</v>
      </c>
      <c r="BR1511" s="2" t="s">
        <v>83</v>
      </c>
      <c r="BS1511" s="3">
        <v>42661</v>
      </c>
      <c r="BT1511" s="4">
        <v>0.52083333333333337</v>
      </c>
      <c r="BU1511" s="2" t="s">
        <v>1689</v>
      </c>
      <c r="BV1511" s="2" t="s">
        <v>88</v>
      </c>
      <c r="BW1511" s="2" t="s">
        <v>222</v>
      </c>
      <c r="BX1511" s="2" t="s">
        <v>250</v>
      </c>
      <c r="BY1511" s="2">
        <v>1200</v>
      </c>
      <c r="BZ1511" s="2"/>
      <c r="CA1511" s="2"/>
      <c r="CB1511" s="2"/>
      <c r="CC1511" s="2" t="s">
        <v>99</v>
      </c>
      <c r="CD1511" s="2">
        <v>6001</v>
      </c>
      <c r="CE1511" s="2" t="s">
        <v>108</v>
      </c>
      <c r="CF1511" s="5">
        <v>42662</v>
      </c>
      <c r="CG1511" s="2"/>
      <c r="CH1511" s="2"/>
      <c r="CI1511" s="2">
        <v>1</v>
      </c>
      <c r="CJ1511" s="2">
        <v>1</v>
      </c>
      <c r="CK1511" s="2">
        <v>21</v>
      </c>
      <c r="CL1511" s="2" t="s">
        <v>88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"FES1162506972"</f>
        <v>FES1162506972</v>
      </c>
      <c r="F1512" s="3">
        <v>42660</v>
      </c>
      <c r="G1512" s="2">
        <v>201704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98</v>
      </c>
      <c r="M1512" s="2" t="s">
        <v>99</v>
      </c>
      <c r="N1512" s="2" t="s">
        <v>1687</v>
      </c>
      <c r="O1512" s="2" t="s">
        <v>96</v>
      </c>
      <c r="P1512" s="2" t="str">
        <f>"2170529455                    "</f>
        <v xml:space="preserve">2170529455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3.32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1</v>
      </c>
      <c r="BJ1512" s="2">
        <v>0.2</v>
      </c>
      <c r="BK1512" s="2">
        <v>1</v>
      </c>
      <c r="BL1512" s="2">
        <v>40.76</v>
      </c>
      <c r="BM1512" s="2">
        <v>5.71</v>
      </c>
      <c r="BN1512" s="2">
        <v>46.47</v>
      </c>
      <c r="BO1512" s="2">
        <v>46.47</v>
      </c>
      <c r="BP1512" s="2"/>
      <c r="BQ1512" s="2" t="s">
        <v>1688</v>
      </c>
      <c r="BR1512" s="2" t="s">
        <v>83</v>
      </c>
      <c r="BS1512" s="3">
        <v>42661</v>
      </c>
      <c r="BT1512" s="4">
        <v>0.52083333333333337</v>
      </c>
      <c r="BU1512" s="2" t="s">
        <v>1689</v>
      </c>
      <c r="BV1512" s="2" t="s">
        <v>88</v>
      </c>
      <c r="BW1512" s="2" t="s">
        <v>222</v>
      </c>
      <c r="BX1512" s="2" t="s">
        <v>250</v>
      </c>
      <c r="BY1512" s="2">
        <v>1200</v>
      </c>
      <c r="BZ1512" s="2"/>
      <c r="CA1512" s="2"/>
      <c r="CB1512" s="2"/>
      <c r="CC1512" s="2" t="s">
        <v>99</v>
      </c>
      <c r="CD1512" s="2">
        <v>6001</v>
      </c>
      <c r="CE1512" s="2" t="s">
        <v>108</v>
      </c>
      <c r="CF1512" s="5">
        <v>42662</v>
      </c>
      <c r="CG1512" s="2"/>
      <c r="CH1512" s="2"/>
      <c r="CI1512" s="2">
        <v>1</v>
      </c>
      <c r="CJ1512" s="2">
        <v>1</v>
      </c>
      <c r="CK1512" s="2">
        <v>21</v>
      </c>
      <c r="CL1512" s="2" t="s">
        <v>88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"FES1162507198"</f>
        <v>FES1162507198</v>
      </c>
      <c r="F1513" s="3">
        <v>42660</v>
      </c>
      <c r="G1513" s="2">
        <v>201704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98</v>
      </c>
      <c r="M1513" s="2" t="s">
        <v>99</v>
      </c>
      <c r="N1513" s="2" t="s">
        <v>104</v>
      </c>
      <c r="O1513" s="2" t="s">
        <v>96</v>
      </c>
      <c r="P1513" s="2" t="str">
        <f>"2170530709                    "</f>
        <v xml:space="preserve">2170530709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3.32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</v>
      </c>
      <c r="BJ1513" s="2">
        <v>0.2</v>
      </c>
      <c r="BK1513" s="2">
        <v>1</v>
      </c>
      <c r="BL1513" s="2">
        <v>40.76</v>
      </c>
      <c r="BM1513" s="2">
        <v>5.71</v>
      </c>
      <c r="BN1513" s="2">
        <v>46.47</v>
      </c>
      <c r="BO1513" s="2">
        <v>46.47</v>
      </c>
      <c r="BP1513" s="2"/>
      <c r="BQ1513" s="2" t="s">
        <v>105</v>
      </c>
      <c r="BR1513" s="2" t="s">
        <v>83</v>
      </c>
      <c r="BS1513" s="3">
        <v>42661</v>
      </c>
      <c r="BT1513" s="4">
        <v>0.5</v>
      </c>
      <c r="BU1513" s="2" t="s">
        <v>105</v>
      </c>
      <c r="BV1513" s="2" t="s">
        <v>88</v>
      </c>
      <c r="BW1513" s="2" t="s">
        <v>277</v>
      </c>
      <c r="BX1513" s="2" t="s">
        <v>1683</v>
      </c>
      <c r="BY1513" s="2">
        <v>1200</v>
      </c>
      <c r="BZ1513" s="2"/>
      <c r="CA1513" s="2"/>
      <c r="CB1513" s="2"/>
      <c r="CC1513" s="2" t="s">
        <v>99</v>
      </c>
      <c r="CD1513" s="2">
        <v>6001</v>
      </c>
      <c r="CE1513" s="2" t="s">
        <v>108</v>
      </c>
      <c r="CF1513" s="5">
        <v>42662</v>
      </c>
      <c r="CG1513" s="2"/>
      <c r="CH1513" s="2"/>
      <c r="CI1513" s="2">
        <v>1</v>
      </c>
      <c r="CJ1513" s="2">
        <v>1</v>
      </c>
      <c r="CK1513" s="2">
        <v>21</v>
      </c>
      <c r="CL1513" s="2" t="s">
        <v>88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"FES1162507285"</f>
        <v>FES1162507285</v>
      </c>
      <c r="F1514" s="3">
        <v>42661</v>
      </c>
      <c r="G1514" s="2">
        <v>201704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137</v>
      </c>
      <c r="M1514" s="2" t="s">
        <v>138</v>
      </c>
      <c r="N1514" s="2" t="s">
        <v>420</v>
      </c>
      <c r="O1514" s="2" t="s">
        <v>96</v>
      </c>
      <c r="P1514" s="2" t="str">
        <f>"2170525134                    "</f>
        <v xml:space="preserve">2170525134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9.1199999999999992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3</v>
      </c>
      <c r="BJ1514" s="2">
        <v>5.0999999999999996</v>
      </c>
      <c r="BK1514" s="2">
        <v>5.5</v>
      </c>
      <c r="BL1514" s="2">
        <v>112.08</v>
      </c>
      <c r="BM1514" s="2">
        <v>15.69</v>
      </c>
      <c r="BN1514" s="2">
        <v>127.77</v>
      </c>
      <c r="BO1514" s="2">
        <v>127.77</v>
      </c>
      <c r="BP1514" s="2"/>
      <c r="BQ1514" s="2" t="s">
        <v>117</v>
      </c>
      <c r="BR1514" s="2" t="s">
        <v>83</v>
      </c>
      <c r="BS1514" s="3">
        <v>42662</v>
      </c>
      <c r="BT1514" s="4">
        <v>0.37222222222222223</v>
      </c>
      <c r="BU1514" s="2" t="s">
        <v>1221</v>
      </c>
      <c r="BV1514" s="2" t="s">
        <v>85</v>
      </c>
      <c r="BW1514" s="2"/>
      <c r="BX1514" s="2"/>
      <c r="BY1514" s="2">
        <v>25600</v>
      </c>
      <c r="BZ1514" s="2"/>
      <c r="CA1514" s="2"/>
      <c r="CB1514" s="2"/>
      <c r="CC1514" s="2" t="s">
        <v>138</v>
      </c>
      <c r="CD1514" s="2">
        <v>3201</v>
      </c>
      <c r="CE1514" s="2" t="s">
        <v>86</v>
      </c>
      <c r="CF1514" s="5">
        <v>42663</v>
      </c>
      <c r="CG1514" s="2"/>
      <c r="CH1514" s="2"/>
      <c r="CI1514" s="2">
        <v>1</v>
      </c>
      <c r="CJ1514" s="2">
        <v>1</v>
      </c>
      <c r="CK1514" s="2">
        <v>21</v>
      </c>
      <c r="CL1514" s="2" t="s">
        <v>88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"FES1162507296"</f>
        <v>FES1162507296</v>
      </c>
      <c r="F1515" s="3">
        <v>42661</v>
      </c>
      <c r="G1515" s="2">
        <v>201704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98</v>
      </c>
      <c r="M1515" s="2" t="s">
        <v>99</v>
      </c>
      <c r="N1515" s="2" t="s">
        <v>109</v>
      </c>
      <c r="O1515" s="2" t="s">
        <v>96</v>
      </c>
      <c r="P1515" s="2" t="str">
        <f>"2170527675                    "</f>
        <v xml:space="preserve">2170527675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3.32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1</v>
      </c>
      <c r="BJ1515" s="2">
        <v>0.2</v>
      </c>
      <c r="BK1515" s="2">
        <v>1</v>
      </c>
      <c r="BL1515" s="2">
        <v>40.76</v>
      </c>
      <c r="BM1515" s="2">
        <v>5.71</v>
      </c>
      <c r="BN1515" s="2">
        <v>46.47</v>
      </c>
      <c r="BO1515" s="2">
        <v>46.47</v>
      </c>
      <c r="BP1515" s="2"/>
      <c r="BQ1515" s="2" t="s">
        <v>110</v>
      </c>
      <c r="BR1515" s="2" t="s">
        <v>83</v>
      </c>
      <c r="BS1515" s="3">
        <v>42662</v>
      </c>
      <c r="BT1515" s="4">
        <v>0.41666666666666669</v>
      </c>
      <c r="BU1515" s="2" t="s">
        <v>629</v>
      </c>
      <c r="BV1515" s="2" t="s">
        <v>85</v>
      </c>
      <c r="BW1515" s="2"/>
      <c r="BX1515" s="2"/>
      <c r="BY1515" s="2">
        <v>1200</v>
      </c>
      <c r="BZ1515" s="2"/>
      <c r="CA1515" s="2"/>
      <c r="CB1515" s="2"/>
      <c r="CC1515" s="2" t="s">
        <v>99</v>
      </c>
      <c r="CD1515" s="2">
        <v>6001</v>
      </c>
      <c r="CE1515" s="2" t="s">
        <v>108</v>
      </c>
      <c r="CF1515" s="5">
        <v>42662</v>
      </c>
      <c r="CG1515" s="2"/>
      <c r="CH1515" s="2"/>
      <c r="CI1515" s="2">
        <v>1</v>
      </c>
      <c r="CJ1515" s="2">
        <v>1</v>
      </c>
      <c r="CK1515" s="2">
        <v>21</v>
      </c>
      <c r="CL1515" s="2" t="s">
        <v>88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"FES1162507333"</f>
        <v>FES1162507333</v>
      </c>
      <c r="F1516" s="3">
        <v>42661</v>
      </c>
      <c r="G1516" s="2">
        <v>201704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171</v>
      </c>
      <c r="M1516" s="2" t="s">
        <v>172</v>
      </c>
      <c r="N1516" s="2" t="s">
        <v>429</v>
      </c>
      <c r="O1516" s="2" t="s">
        <v>96</v>
      </c>
      <c r="P1516" s="2" t="str">
        <f>"2170528641                    "</f>
        <v xml:space="preserve">2170528641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3.32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1</v>
      </c>
      <c r="BJ1516" s="2">
        <v>0.2</v>
      </c>
      <c r="BK1516" s="2">
        <v>1</v>
      </c>
      <c r="BL1516" s="2">
        <v>40.76</v>
      </c>
      <c r="BM1516" s="2">
        <v>5.71</v>
      </c>
      <c r="BN1516" s="2">
        <v>46.47</v>
      </c>
      <c r="BO1516" s="2">
        <v>46.47</v>
      </c>
      <c r="BP1516" s="2"/>
      <c r="BQ1516" s="2" t="s">
        <v>430</v>
      </c>
      <c r="BR1516" s="2" t="s">
        <v>83</v>
      </c>
      <c r="BS1516" s="3">
        <v>42662</v>
      </c>
      <c r="BT1516" s="4">
        <v>0.3833333333333333</v>
      </c>
      <c r="BU1516" s="2" t="s">
        <v>1266</v>
      </c>
      <c r="BV1516" s="2" t="s">
        <v>85</v>
      </c>
      <c r="BW1516" s="2"/>
      <c r="BX1516" s="2"/>
      <c r="BY1516" s="2">
        <v>1200</v>
      </c>
      <c r="BZ1516" s="2"/>
      <c r="CA1516" s="2"/>
      <c r="CB1516" s="2"/>
      <c r="CC1516" s="2" t="s">
        <v>172</v>
      </c>
      <c r="CD1516" s="2">
        <v>6220</v>
      </c>
      <c r="CE1516" s="2" t="s">
        <v>108</v>
      </c>
      <c r="CF1516" s="5">
        <v>42663</v>
      </c>
      <c r="CG1516" s="2"/>
      <c r="CH1516" s="2"/>
      <c r="CI1516" s="2">
        <v>1</v>
      </c>
      <c r="CJ1516" s="2">
        <v>1</v>
      </c>
      <c r="CK1516" s="2">
        <v>21</v>
      </c>
      <c r="CL1516" s="2" t="s">
        <v>88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"FES1162507326"</f>
        <v>FES1162507326</v>
      </c>
      <c r="F1517" s="3">
        <v>42661</v>
      </c>
      <c r="G1517" s="2">
        <v>201704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98</v>
      </c>
      <c r="M1517" s="2" t="s">
        <v>99</v>
      </c>
      <c r="N1517" s="2" t="s">
        <v>1553</v>
      </c>
      <c r="O1517" s="2" t="s">
        <v>96</v>
      </c>
      <c r="P1517" s="2" t="str">
        <f>"2170528486                    "</f>
        <v xml:space="preserve">2170528486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3.32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1</v>
      </c>
      <c r="BJ1517" s="2">
        <v>0.2</v>
      </c>
      <c r="BK1517" s="2">
        <v>1</v>
      </c>
      <c r="BL1517" s="2">
        <v>40.76</v>
      </c>
      <c r="BM1517" s="2">
        <v>5.71</v>
      </c>
      <c r="BN1517" s="2">
        <v>46.47</v>
      </c>
      <c r="BO1517" s="2">
        <v>46.47</v>
      </c>
      <c r="BP1517" s="2"/>
      <c r="BQ1517" s="2" t="s">
        <v>1554</v>
      </c>
      <c r="BR1517" s="2" t="s">
        <v>83</v>
      </c>
      <c r="BS1517" s="3">
        <v>42662</v>
      </c>
      <c r="BT1517" s="4">
        <v>0.38194444444444442</v>
      </c>
      <c r="BU1517" s="2" t="s">
        <v>1781</v>
      </c>
      <c r="BV1517" s="2" t="s">
        <v>85</v>
      </c>
      <c r="BW1517" s="2"/>
      <c r="BX1517" s="2"/>
      <c r="BY1517" s="2">
        <v>1200</v>
      </c>
      <c r="BZ1517" s="2"/>
      <c r="CA1517" s="2"/>
      <c r="CB1517" s="2"/>
      <c r="CC1517" s="2" t="s">
        <v>99</v>
      </c>
      <c r="CD1517" s="2">
        <v>6001</v>
      </c>
      <c r="CE1517" s="2" t="s">
        <v>108</v>
      </c>
      <c r="CF1517" s="5">
        <v>42663</v>
      </c>
      <c r="CG1517" s="2"/>
      <c r="CH1517" s="2"/>
      <c r="CI1517" s="2">
        <v>1</v>
      </c>
      <c r="CJ1517" s="2">
        <v>1</v>
      </c>
      <c r="CK1517" s="2">
        <v>21</v>
      </c>
      <c r="CL1517" s="2" t="s">
        <v>88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"FES1162507289"</f>
        <v>FES1162507289</v>
      </c>
      <c r="F1518" s="3">
        <v>42661</v>
      </c>
      <c r="G1518" s="2">
        <v>201704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98</v>
      </c>
      <c r="M1518" s="2" t="s">
        <v>99</v>
      </c>
      <c r="N1518" s="2" t="s">
        <v>109</v>
      </c>
      <c r="O1518" s="2" t="s">
        <v>96</v>
      </c>
      <c r="P1518" s="2" t="str">
        <f>"2170526242                    "</f>
        <v xml:space="preserve">2170526242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3.32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1</v>
      </c>
      <c r="BJ1518" s="2">
        <v>0.2</v>
      </c>
      <c r="BK1518" s="2">
        <v>1</v>
      </c>
      <c r="BL1518" s="2">
        <v>40.76</v>
      </c>
      <c r="BM1518" s="2">
        <v>5.71</v>
      </c>
      <c r="BN1518" s="2">
        <v>46.47</v>
      </c>
      <c r="BO1518" s="2">
        <v>46.47</v>
      </c>
      <c r="BP1518" s="2"/>
      <c r="BQ1518" s="2" t="s">
        <v>110</v>
      </c>
      <c r="BR1518" s="2" t="s">
        <v>83</v>
      </c>
      <c r="BS1518" s="3">
        <v>42662</v>
      </c>
      <c r="BT1518" s="4">
        <v>0.41666666666666669</v>
      </c>
      <c r="BU1518" s="2" t="s">
        <v>629</v>
      </c>
      <c r="BV1518" s="2" t="s">
        <v>85</v>
      </c>
      <c r="BW1518" s="2"/>
      <c r="BX1518" s="2"/>
      <c r="BY1518" s="2">
        <v>1200</v>
      </c>
      <c r="BZ1518" s="2"/>
      <c r="CA1518" s="2"/>
      <c r="CB1518" s="2"/>
      <c r="CC1518" s="2" t="s">
        <v>99</v>
      </c>
      <c r="CD1518" s="2">
        <v>6001</v>
      </c>
      <c r="CE1518" s="2" t="s">
        <v>108</v>
      </c>
      <c r="CF1518" s="5">
        <v>42662</v>
      </c>
      <c r="CG1518" s="2"/>
      <c r="CH1518" s="2"/>
      <c r="CI1518" s="2">
        <v>1</v>
      </c>
      <c r="CJ1518" s="2">
        <v>1</v>
      </c>
      <c r="CK1518" s="2">
        <v>21</v>
      </c>
      <c r="CL1518" s="2" t="s">
        <v>88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"FES1162507401"</f>
        <v>FES1162507401</v>
      </c>
      <c r="F1519" s="3">
        <v>42661</v>
      </c>
      <c r="G1519" s="2">
        <v>201704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269</v>
      </c>
      <c r="M1519" s="2" t="s">
        <v>270</v>
      </c>
      <c r="N1519" s="2" t="s">
        <v>804</v>
      </c>
      <c r="O1519" s="2" t="s">
        <v>96</v>
      </c>
      <c r="P1519" s="2" t="str">
        <f>"2170528254                    "</f>
        <v xml:space="preserve">2170528254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3.32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1</v>
      </c>
      <c r="BJ1519" s="2">
        <v>0.2</v>
      </c>
      <c r="BK1519" s="2">
        <v>1</v>
      </c>
      <c r="BL1519" s="2">
        <v>40.76</v>
      </c>
      <c r="BM1519" s="2">
        <v>5.71</v>
      </c>
      <c r="BN1519" s="2">
        <v>46.47</v>
      </c>
      <c r="BO1519" s="2">
        <v>46.47</v>
      </c>
      <c r="BP1519" s="2"/>
      <c r="BQ1519" s="2" t="s">
        <v>805</v>
      </c>
      <c r="BR1519" s="2" t="s">
        <v>83</v>
      </c>
      <c r="BS1519" s="3">
        <v>42662</v>
      </c>
      <c r="BT1519" s="4">
        <v>0.31875000000000003</v>
      </c>
      <c r="BU1519" s="2" t="s">
        <v>806</v>
      </c>
      <c r="BV1519" s="2" t="s">
        <v>85</v>
      </c>
      <c r="BW1519" s="2"/>
      <c r="BX1519" s="2"/>
      <c r="BY1519" s="2">
        <v>1200</v>
      </c>
      <c r="BZ1519" s="2"/>
      <c r="CA1519" s="2"/>
      <c r="CB1519" s="2"/>
      <c r="CC1519" s="2" t="s">
        <v>270</v>
      </c>
      <c r="CD1519" s="2">
        <v>3610</v>
      </c>
      <c r="CE1519" s="2" t="s">
        <v>108</v>
      </c>
      <c r="CF1519" s="5">
        <v>42662</v>
      </c>
      <c r="CG1519" s="2"/>
      <c r="CH1519" s="2"/>
      <c r="CI1519" s="2">
        <v>1</v>
      </c>
      <c r="CJ1519" s="2">
        <v>1</v>
      </c>
      <c r="CK1519" s="2">
        <v>21</v>
      </c>
      <c r="CL1519" s="2" t="s">
        <v>88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"FES1162507295"</f>
        <v>FES1162507295</v>
      </c>
      <c r="F1520" s="3">
        <v>42661</v>
      </c>
      <c r="G1520" s="2">
        <v>201704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98</v>
      </c>
      <c r="M1520" s="2" t="s">
        <v>99</v>
      </c>
      <c r="N1520" s="2" t="s">
        <v>350</v>
      </c>
      <c r="O1520" s="2" t="s">
        <v>96</v>
      </c>
      <c r="P1520" s="2" t="str">
        <f>"2170527550                    "</f>
        <v xml:space="preserve">2170527550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3.32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1</v>
      </c>
      <c r="BJ1520" s="2">
        <v>0.2</v>
      </c>
      <c r="BK1520" s="2">
        <v>1</v>
      </c>
      <c r="BL1520" s="2">
        <v>40.76</v>
      </c>
      <c r="BM1520" s="2">
        <v>5.71</v>
      </c>
      <c r="BN1520" s="2">
        <v>46.47</v>
      </c>
      <c r="BO1520" s="2">
        <v>46.47</v>
      </c>
      <c r="BP1520" s="2"/>
      <c r="BQ1520" s="2" t="s">
        <v>351</v>
      </c>
      <c r="BR1520" s="2" t="s">
        <v>83</v>
      </c>
      <c r="BS1520" s="3">
        <v>42662</v>
      </c>
      <c r="BT1520" s="4">
        <v>0.40138888888888885</v>
      </c>
      <c r="BU1520" s="2" t="s">
        <v>600</v>
      </c>
      <c r="BV1520" s="2" t="s">
        <v>85</v>
      </c>
      <c r="BW1520" s="2"/>
      <c r="BX1520" s="2"/>
      <c r="BY1520" s="2">
        <v>1200</v>
      </c>
      <c r="BZ1520" s="2"/>
      <c r="CA1520" s="2"/>
      <c r="CB1520" s="2"/>
      <c r="CC1520" s="2" t="s">
        <v>99</v>
      </c>
      <c r="CD1520" s="2">
        <v>6001</v>
      </c>
      <c r="CE1520" s="2" t="s">
        <v>108</v>
      </c>
      <c r="CF1520" s="5">
        <v>42662</v>
      </c>
      <c r="CG1520" s="2"/>
      <c r="CH1520" s="2"/>
      <c r="CI1520" s="2">
        <v>1</v>
      </c>
      <c r="CJ1520" s="2">
        <v>1</v>
      </c>
      <c r="CK1520" s="2">
        <v>21</v>
      </c>
      <c r="CL1520" s="2" t="s">
        <v>88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"FES1162507407"</f>
        <v>FES1162507407</v>
      </c>
      <c r="F1521" s="3">
        <v>42661</v>
      </c>
      <c r="G1521" s="2">
        <v>201704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269</v>
      </c>
      <c r="M1521" s="2" t="s">
        <v>270</v>
      </c>
      <c r="N1521" s="2" t="s">
        <v>565</v>
      </c>
      <c r="O1521" s="2" t="s">
        <v>96</v>
      </c>
      <c r="P1521" s="2" t="str">
        <f>"2170530787                    "</f>
        <v xml:space="preserve">2170530787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3.32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1</v>
      </c>
      <c r="BJ1521" s="2">
        <v>0.2</v>
      </c>
      <c r="BK1521" s="2">
        <v>1</v>
      </c>
      <c r="BL1521" s="2">
        <v>40.76</v>
      </c>
      <c r="BM1521" s="2">
        <v>5.71</v>
      </c>
      <c r="BN1521" s="2">
        <v>46.47</v>
      </c>
      <c r="BO1521" s="2">
        <v>46.47</v>
      </c>
      <c r="BP1521" s="2"/>
      <c r="BQ1521" s="2" t="s">
        <v>566</v>
      </c>
      <c r="BR1521" s="2" t="s">
        <v>83</v>
      </c>
      <c r="BS1521" s="3">
        <v>42662</v>
      </c>
      <c r="BT1521" s="4">
        <v>0.4201388888888889</v>
      </c>
      <c r="BU1521" s="2" t="s">
        <v>1029</v>
      </c>
      <c r="BV1521" s="2" t="s">
        <v>85</v>
      </c>
      <c r="BW1521" s="2"/>
      <c r="BX1521" s="2"/>
      <c r="BY1521" s="2">
        <v>1200</v>
      </c>
      <c r="BZ1521" s="2"/>
      <c r="CA1521" s="2"/>
      <c r="CB1521" s="2"/>
      <c r="CC1521" s="2" t="s">
        <v>270</v>
      </c>
      <c r="CD1521" s="2">
        <v>3620</v>
      </c>
      <c r="CE1521" s="2" t="s">
        <v>108</v>
      </c>
      <c r="CF1521" s="5">
        <v>42662</v>
      </c>
      <c r="CG1521" s="2"/>
      <c r="CH1521" s="2"/>
      <c r="CI1521" s="2">
        <v>1</v>
      </c>
      <c r="CJ1521" s="2">
        <v>1</v>
      </c>
      <c r="CK1521" s="2">
        <v>21</v>
      </c>
      <c r="CL1521" s="2" t="s">
        <v>88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"009932186816"</f>
        <v>009932186816</v>
      </c>
      <c r="F1522" s="3">
        <v>42661</v>
      </c>
      <c r="G1522" s="2">
        <v>201704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143</v>
      </c>
      <c r="M1522" s="2" t="s">
        <v>144</v>
      </c>
      <c r="N1522" s="2" t="s">
        <v>1419</v>
      </c>
      <c r="O1522" s="2" t="s">
        <v>96</v>
      </c>
      <c r="P1522" s="2" t="str">
        <f>"1162506236                    "</f>
        <v xml:space="preserve">1162506236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3.32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1</v>
      </c>
      <c r="BJ1522" s="2">
        <v>0.2</v>
      </c>
      <c r="BK1522" s="2">
        <v>1</v>
      </c>
      <c r="BL1522" s="2">
        <v>40.76</v>
      </c>
      <c r="BM1522" s="2">
        <v>5.71</v>
      </c>
      <c r="BN1522" s="2">
        <v>46.47</v>
      </c>
      <c r="BO1522" s="2">
        <v>46.47</v>
      </c>
      <c r="BP1522" s="2" t="s">
        <v>1782</v>
      </c>
      <c r="BQ1522" s="2" t="s">
        <v>91</v>
      </c>
      <c r="BR1522" s="2" t="s">
        <v>83</v>
      </c>
      <c r="BS1522" s="3">
        <v>42662</v>
      </c>
      <c r="BT1522" s="4">
        <v>0.4236111111111111</v>
      </c>
      <c r="BU1522" s="2" t="s">
        <v>1783</v>
      </c>
      <c r="BV1522" s="2" t="s">
        <v>85</v>
      </c>
      <c r="BW1522" s="2"/>
      <c r="BX1522" s="2"/>
      <c r="BY1522" s="2">
        <v>1200</v>
      </c>
      <c r="BZ1522" s="2"/>
      <c r="CA1522" s="2"/>
      <c r="CB1522" s="2"/>
      <c r="CC1522" s="2" t="s">
        <v>144</v>
      </c>
      <c r="CD1522" s="2">
        <v>5201</v>
      </c>
      <c r="CE1522" s="2" t="s">
        <v>108</v>
      </c>
      <c r="CF1522" s="5">
        <v>42664</v>
      </c>
      <c r="CG1522" s="2"/>
      <c r="CH1522" s="2"/>
      <c r="CI1522" s="2">
        <v>1</v>
      </c>
      <c r="CJ1522" s="2">
        <v>1</v>
      </c>
      <c r="CK1522" s="2">
        <v>21</v>
      </c>
      <c r="CL1522" s="2" t="s">
        <v>88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"FES1162507384"</f>
        <v>FES1162507384</v>
      </c>
      <c r="F1523" s="3">
        <v>42661</v>
      </c>
      <c r="G1523" s="2">
        <v>201704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98</v>
      </c>
      <c r="M1523" s="2" t="s">
        <v>99</v>
      </c>
      <c r="N1523" s="2" t="s">
        <v>190</v>
      </c>
      <c r="O1523" s="2" t="s">
        <v>96</v>
      </c>
      <c r="P1523" s="2" t="str">
        <f>"2170530455                    "</f>
        <v xml:space="preserve">2170530455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3.32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2</v>
      </c>
      <c r="BJ1523" s="2">
        <v>0.2</v>
      </c>
      <c r="BK1523" s="2">
        <v>2</v>
      </c>
      <c r="BL1523" s="2">
        <v>40.76</v>
      </c>
      <c r="BM1523" s="2">
        <v>5.71</v>
      </c>
      <c r="BN1523" s="2">
        <v>46.47</v>
      </c>
      <c r="BO1523" s="2">
        <v>46.47</v>
      </c>
      <c r="BP1523" s="2"/>
      <c r="BQ1523" s="2" t="s">
        <v>1034</v>
      </c>
      <c r="BR1523" s="2" t="s">
        <v>83</v>
      </c>
      <c r="BS1523" s="3">
        <v>42662</v>
      </c>
      <c r="BT1523" s="4">
        <v>0.41319444444444442</v>
      </c>
      <c r="BU1523" s="2" t="s">
        <v>238</v>
      </c>
      <c r="BV1523" s="2" t="s">
        <v>85</v>
      </c>
      <c r="BW1523" s="2"/>
      <c r="BX1523" s="2"/>
      <c r="BY1523" s="2">
        <v>1200</v>
      </c>
      <c r="BZ1523" s="2"/>
      <c r="CA1523" s="2"/>
      <c r="CB1523" s="2"/>
      <c r="CC1523" s="2" t="s">
        <v>99</v>
      </c>
      <c r="CD1523" s="2">
        <v>6001</v>
      </c>
      <c r="CE1523" s="2" t="s">
        <v>108</v>
      </c>
      <c r="CF1523" s="5">
        <v>42663</v>
      </c>
      <c r="CG1523" s="2"/>
      <c r="CH1523" s="2"/>
      <c r="CI1523" s="2">
        <v>1</v>
      </c>
      <c r="CJ1523" s="2">
        <v>1</v>
      </c>
      <c r="CK1523" s="2">
        <v>21</v>
      </c>
      <c r="CL1523" s="2" t="s">
        <v>88</v>
      </c>
      <c r="CM1523" s="2"/>
    </row>
    <row r="1524" spans="1:91">
      <c r="A1524" s="2" t="s">
        <v>71</v>
      </c>
      <c r="B1524" s="2" t="s">
        <v>72</v>
      </c>
      <c r="C1524" s="2" t="s">
        <v>73</v>
      </c>
      <c r="D1524" s="2"/>
      <c r="E1524" s="2" t="str">
        <f>"FES1162507553"</f>
        <v>FES1162507553</v>
      </c>
      <c r="F1524" s="3">
        <v>42661</v>
      </c>
      <c r="G1524" s="2">
        <v>201704</v>
      </c>
      <c r="H1524" s="2" t="s">
        <v>74</v>
      </c>
      <c r="I1524" s="2" t="s">
        <v>75</v>
      </c>
      <c r="J1524" s="2" t="s">
        <v>76</v>
      </c>
      <c r="K1524" s="2" t="s">
        <v>77</v>
      </c>
      <c r="L1524" s="2" t="s">
        <v>93</v>
      </c>
      <c r="M1524" s="2" t="s">
        <v>94</v>
      </c>
      <c r="N1524" s="2" t="s">
        <v>536</v>
      </c>
      <c r="O1524" s="2" t="s">
        <v>96</v>
      </c>
      <c r="P1524" s="2" t="str">
        <f>"2170530989                    "</f>
        <v xml:space="preserve">2170530989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3.32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1</v>
      </c>
      <c r="BJ1524" s="2">
        <v>0.2</v>
      </c>
      <c r="BK1524" s="2">
        <v>1</v>
      </c>
      <c r="BL1524" s="2">
        <v>40.76</v>
      </c>
      <c r="BM1524" s="2">
        <v>5.71</v>
      </c>
      <c r="BN1524" s="2">
        <v>46.47</v>
      </c>
      <c r="BO1524" s="2">
        <v>46.47</v>
      </c>
      <c r="BP1524" s="2"/>
      <c r="BQ1524" s="2" t="s">
        <v>537</v>
      </c>
      <c r="BR1524" s="2" t="s">
        <v>83</v>
      </c>
      <c r="BS1524" s="3">
        <v>42662</v>
      </c>
      <c r="BT1524" s="4">
        <v>0.4375</v>
      </c>
      <c r="BU1524" s="2" t="s">
        <v>852</v>
      </c>
      <c r="BV1524" s="2" t="s">
        <v>85</v>
      </c>
      <c r="BW1524" s="2"/>
      <c r="BX1524" s="2"/>
      <c r="BY1524" s="2">
        <v>1200</v>
      </c>
      <c r="BZ1524" s="2"/>
      <c r="CA1524" s="2"/>
      <c r="CB1524" s="2"/>
      <c r="CC1524" s="2" t="s">
        <v>94</v>
      </c>
      <c r="CD1524" s="2">
        <v>4300</v>
      </c>
      <c r="CE1524" s="2" t="s">
        <v>108</v>
      </c>
      <c r="CF1524" s="5">
        <v>42663</v>
      </c>
      <c r="CG1524" s="2"/>
      <c r="CH1524" s="2"/>
      <c r="CI1524" s="2">
        <v>1</v>
      </c>
      <c r="CJ1524" s="2">
        <v>1</v>
      </c>
      <c r="CK1524" s="2">
        <v>21</v>
      </c>
      <c r="CL1524" s="2" t="s">
        <v>88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"FES1162507512"</f>
        <v>FES1162507512</v>
      </c>
      <c r="F1525" s="3">
        <v>42661</v>
      </c>
      <c r="G1525" s="2">
        <v>201704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148</v>
      </c>
      <c r="M1525" s="2" t="s">
        <v>149</v>
      </c>
      <c r="N1525" s="2" t="s">
        <v>473</v>
      </c>
      <c r="O1525" s="2" t="s">
        <v>96</v>
      </c>
      <c r="P1525" s="2" t="str">
        <f>"2170530954                    "</f>
        <v xml:space="preserve">2170530954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3.32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1</v>
      </c>
      <c r="BJ1525" s="2">
        <v>0.2</v>
      </c>
      <c r="BK1525" s="2">
        <v>1</v>
      </c>
      <c r="BL1525" s="2">
        <v>40.76</v>
      </c>
      <c r="BM1525" s="2">
        <v>5.71</v>
      </c>
      <c r="BN1525" s="2">
        <v>46.47</v>
      </c>
      <c r="BO1525" s="2">
        <v>46.47</v>
      </c>
      <c r="BP1525" s="2"/>
      <c r="BQ1525" s="2" t="s">
        <v>117</v>
      </c>
      <c r="BR1525" s="2" t="s">
        <v>83</v>
      </c>
      <c r="BS1525" s="3">
        <v>42662</v>
      </c>
      <c r="BT1525" s="4">
        <v>0.30902777777777779</v>
      </c>
      <c r="BU1525" s="2" t="s">
        <v>1784</v>
      </c>
      <c r="BV1525" s="2" t="s">
        <v>85</v>
      </c>
      <c r="BW1525" s="2"/>
      <c r="BX1525" s="2"/>
      <c r="BY1525" s="2">
        <v>1200</v>
      </c>
      <c r="BZ1525" s="2"/>
      <c r="CA1525" s="2"/>
      <c r="CB1525" s="2"/>
      <c r="CC1525" s="2" t="s">
        <v>149</v>
      </c>
      <c r="CD1525" s="2">
        <v>4052</v>
      </c>
      <c r="CE1525" s="2" t="s">
        <v>108</v>
      </c>
      <c r="CF1525" s="5">
        <v>42663</v>
      </c>
      <c r="CG1525" s="2"/>
      <c r="CH1525" s="2"/>
      <c r="CI1525" s="2">
        <v>1</v>
      </c>
      <c r="CJ1525" s="2">
        <v>1</v>
      </c>
      <c r="CK1525" s="2">
        <v>21</v>
      </c>
      <c r="CL1525" s="2" t="s">
        <v>88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"FES1162507455"</f>
        <v>FES1162507455</v>
      </c>
      <c r="F1526" s="3">
        <v>42661</v>
      </c>
      <c r="G1526" s="2">
        <v>201704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98</v>
      </c>
      <c r="M1526" s="2" t="s">
        <v>99</v>
      </c>
      <c r="N1526" s="2" t="s">
        <v>606</v>
      </c>
      <c r="O1526" s="2" t="s">
        <v>96</v>
      </c>
      <c r="P1526" s="2" t="str">
        <f>"2170530895                    "</f>
        <v xml:space="preserve">2170530895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4.1500000000000004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2.2999999999999998</v>
      </c>
      <c r="BJ1526" s="2">
        <v>0.2</v>
      </c>
      <c r="BK1526" s="2">
        <v>2.5</v>
      </c>
      <c r="BL1526" s="2">
        <v>50.95</v>
      </c>
      <c r="BM1526" s="2">
        <v>7.13</v>
      </c>
      <c r="BN1526" s="2">
        <v>58.08</v>
      </c>
      <c r="BO1526" s="2">
        <v>58.08</v>
      </c>
      <c r="BP1526" s="2"/>
      <c r="BQ1526" s="2" t="s">
        <v>607</v>
      </c>
      <c r="BR1526" s="2" t="s">
        <v>83</v>
      </c>
      <c r="BS1526" s="3">
        <v>42662</v>
      </c>
      <c r="BT1526" s="4">
        <v>0.40972222222222227</v>
      </c>
      <c r="BU1526" s="2" t="s">
        <v>1785</v>
      </c>
      <c r="BV1526" s="2" t="s">
        <v>85</v>
      </c>
      <c r="BW1526" s="2"/>
      <c r="BX1526" s="2"/>
      <c r="BY1526" s="2">
        <v>1200</v>
      </c>
      <c r="BZ1526" s="2"/>
      <c r="CA1526" s="2"/>
      <c r="CB1526" s="2"/>
      <c r="CC1526" s="2" t="s">
        <v>99</v>
      </c>
      <c r="CD1526" s="2">
        <v>6001</v>
      </c>
      <c r="CE1526" s="2" t="s">
        <v>108</v>
      </c>
      <c r="CF1526" s="5">
        <v>42662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88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"FES1162507539"</f>
        <v>FES1162507539</v>
      </c>
      <c r="F1527" s="3">
        <v>42661</v>
      </c>
      <c r="G1527" s="2">
        <v>201704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269</v>
      </c>
      <c r="M1527" s="2" t="s">
        <v>270</v>
      </c>
      <c r="N1527" s="2" t="s">
        <v>299</v>
      </c>
      <c r="O1527" s="2" t="s">
        <v>96</v>
      </c>
      <c r="P1527" s="2" t="str">
        <f>"2170530780                    "</f>
        <v xml:space="preserve">2170530780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3.32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1</v>
      </c>
      <c r="BJ1527" s="2">
        <v>0.2</v>
      </c>
      <c r="BK1527" s="2">
        <v>1</v>
      </c>
      <c r="BL1527" s="2">
        <v>40.76</v>
      </c>
      <c r="BM1527" s="2">
        <v>5.71</v>
      </c>
      <c r="BN1527" s="2">
        <v>46.47</v>
      </c>
      <c r="BO1527" s="2">
        <v>46.47</v>
      </c>
      <c r="BP1527" s="2"/>
      <c r="BQ1527" s="2" t="s">
        <v>300</v>
      </c>
      <c r="BR1527" s="2" t="s">
        <v>83</v>
      </c>
      <c r="BS1527" s="3">
        <v>42662</v>
      </c>
      <c r="BT1527" s="4">
        <v>0.35416666666666669</v>
      </c>
      <c r="BU1527" s="2" t="s">
        <v>301</v>
      </c>
      <c r="BV1527" s="2" t="s">
        <v>85</v>
      </c>
      <c r="BW1527" s="2"/>
      <c r="BX1527" s="2"/>
      <c r="BY1527" s="2">
        <v>1200</v>
      </c>
      <c r="BZ1527" s="2"/>
      <c r="CA1527" s="2"/>
      <c r="CB1527" s="2"/>
      <c r="CC1527" s="2" t="s">
        <v>270</v>
      </c>
      <c r="CD1527" s="2">
        <v>3610</v>
      </c>
      <c r="CE1527" s="2" t="s">
        <v>108</v>
      </c>
      <c r="CF1527" s="5">
        <v>42663</v>
      </c>
      <c r="CG1527" s="2"/>
      <c r="CH1527" s="2"/>
      <c r="CI1527" s="2">
        <v>1</v>
      </c>
      <c r="CJ1527" s="2">
        <v>1</v>
      </c>
      <c r="CK1527" s="2">
        <v>21</v>
      </c>
      <c r="CL1527" s="2" t="s">
        <v>88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"FES1162507335"</f>
        <v>FES1162507335</v>
      </c>
      <c r="F1528" s="3">
        <v>42661</v>
      </c>
      <c r="G1528" s="2">
        <v>201704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143</v>
      </c>
      <c r="M1528" s="2" t="s">
        <v>144</v>
      </c>
      <c r="N1528" s="2" t="s">
        <v>216</v>
      </c>
      <c r="O1528" s="2" t="s">
        <v>96</v>
      </c>
      <c r="P1528" s="2" t="str">
        <f>"2170528685                    "</f>
        <v xml:space="preserve">2170528685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3.32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1</v>
      </c>
      <c r="BJ1528" s="2">
        <v>0.2</v>
      </c>
      <c r="BK1528" s="2">
        <v>1</v>
      </c>
      <c r="BL1528" s="2">
        <v>40.76</v>
      </c>
      <c r="BM1528" s="2">
        <v>5.71</v>
      </c>
      <c r="BN1528" s="2">
        <v>46.47</v>
      </c>
      <c r="BO1528" s="2">
        <v>46.47</v>
      </c>
      <c r="BP1528" s="2"/>
      <c r="BQ1528" s="2" t="s">
        <v>91</v>
      </c>
      <c r="BR1528" s="2" t="s">
        <v>83</v>
      </c>
      <c r="BS1528" s="3">
        <v>42662</v>
      </c>
      <c r="BT1528" s="4">
        <v>0.41666666666666669</v>
      </c>
      <c r="BU1528" s="2" t="s">
        <v>1336</v>
      </c>
      <c r="BV1528" s="2" t="s">
        <v>85</v>
      </c>
      <c r="BW1528" s="2"/>
      <c r="BX1528" s="2"/>
      <c r="BY1528" s="2">
        <v>1200</v>
      </c>
      <c r="BZ1528" s="2"/>
      <c r="CA1528" s="2" t="s">
        <v>129</v>
      </c>
      <c r="CB1528" s="2"/>
      <c r="CC1528" s="2" t="s">
        <v>144</v>
      </c>
      <c r="CD1528" s="2">
        <v>5201</v>
      </c>
      <c r="CE1528" s="2" t="s">
        <v>108</v>
      </c>
      <c r="CF1528" s="5">
        <v>42664</v>
      </c>
      <c r="CG1528" s="2"/>
      <c r="CH1528" s="2"/>
      <c r="CI1528" s="2">
        <v>1</v>
      </c>
      <c r="CJ1528" s="2">
        <v>1</v>
      </c>
      <c r="CK1528" s="2">
        <v>21</v>
      </c>
      <c r="CL1528" s="2" t="s">
        <v>88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"FES1162507375"</f>
        <v>FES1162507375</v>
      </c>
      <c r="F1529" s="3">
        <v>42661</v>
      </c>
      <c r="G1529" s="2">
        <v>201704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78</v>
      </c>
      <c r="M1529" s="2" t="s">
        <v>79</v>
      </c>
      <c r="N1529" s="2" t="s">
        <v>80</v>
      </c>
      <c r="O1529" s="2" t="s">
        <v>96</v>
      </c>
      <c r="P1529" s="2" t="str">
        <f>"2170530146                    "</f>
        <v xml:space="preserve">2170530146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3.32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1</v>
      </c>
      <c r="BJ1529" s="2">
        <v>0.2</v>
      </c>
      <c r="BK1529" s="2">
        <v>1</v>
      </c>
      <c r="BL1529" s="2">
        <v>40.76</v>
      </c>
      <c r="BM1529" s="2">
        <v>5.71</v>
      </c>
      <c r="BN1529" s="2">
        <v>46.47</v>
      </c>
      <c r="BO1529" s="2">
        <v>46.47</v>
      </c>
      <c r="BP1529" s="2"/>
      <c r="BQ1529" s="2" t="s">
        <v>82</v>
      </c>
      <c r="BR1529" s="2" t="s">
        <v>83</v>
      </c>
      <c r="BS1529" s="3">
        <v>42662</v>
      </c>
      <c r="BT1529" s="4">
        <v>0.41666666666666669</v>
      </c>
      <c r="BU1529" s="2" t="s">
        <v>84</v>
      </c>
      <c r="BV1529" s="2" t="s">
        <v>85</v>
      </c>
      <c r="BW1529" s="2"/>
      <c r="BX1529" s="2"/>
      <c r="BY1529" s="2">
        <v>1200</v>
      </c>
      <c r="BZ1529" s="2"/>
      <c r="CA1529" s="2"/>
      <c r="CB1529" s="2"/>
      <c r="CC1529" s="2" t="s">
        <v>79</v>
      </c>
      <c r="CD1529" s="2">
        <v>1930</v>
      </c>
      <c r="CE1529" s="2" t="s">
        <v>108</v>
      </c>
      <c r="CF1529" s="5">
        <v>42664</v>
      </c>
      <c r="CG1529" s="2"/>
      <c r="CH1529" s="2"/>
      <c r="CI1529" s="2">
        <v>1</v>
      </c>
      <c r="CJ1529" s="2">
        <v>1</v>
      </c>
      <c r="CK1529" s="2">
        <v>21</v>
      </c>
      <c r="CL1529" s="2" t="s">
        <v>88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"FES1162507425"</f>
        <v>FES1162507425</v>
      </c>
      <c r="F1530" s="3">
        <v>42661</v>
      </c>
      <c r="G1530" s="2">
        <v>201704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269</v>
      </c>
      <c r="M1530" s="2" t="s">
        <v>270</v>
      </c>
      <c r="N1530" s="2" t="s">
        <v>1720</v>
      </c>
      <c r="O1530" s="2" t="s">
        <v>96</v>
      </c>
      <c r="P1530" s="2" t="str">
        <f>"2170530856                    "</f>
        <v xml:space="preserve">2170530856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3.32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1</v>
      </c>
      <c r="BJ1530" s="2">
        <v>0.2</v>
      </c>
      <c r="BK1530" s="2">
        <v>1</v>
      </c>
      <c r="BL1530" s="2">
        <v>40.76</v>
      </c>
      <c r="BM1530" s="2">
        <v>5.71</v>
      </c>
      <c r="BN1530" s="2">
        <v>46.47</v>
      </c>
      <c r="BO1530" s="2">
        <v>46.47</v>
      </c>
      <c r="BP1530" s="2"/>
      <c r="BQ1530" s="2" t="s">
        <v>91</v>
      </c>
      <c r="BR1530" s="2" t="s">
        <v>83</v>
      </c>
      <c r="BS1530" s="3">
        <v>42662</v>
      </c>
      <c r="BT1530" s="4">
        <v>0.4375</v>
      </c>
      <c r="BU1530" s="2" t="s">
        <v>1786</v>
      </c>
      <c r="BV1530" s="2" t="s">
        <v>85</v>
      </c>
      <c r="BW1530" s="2"/>
      <c r="BX1530" s="2"/>
      <c r="BY1530" s="2">
        <v>1200</v>
      </c>
      <c r="BZ1530" s="2"/>
      <c r="CA1530" s="2"/>
      <c r="CB1530" s="2"/>
      <c r="CC1530" s="2" t="s">
        <v>270</v>
      </c>
      <c r="CD1530" s="2">
        <v>3610</v>
      </c>
      <c r="CE1530" s="2" t="s">
        <v>108</v>
      </c>
      <c r="CF1530" s="5">
        <v>42663</v>
      </c>
      <c r="CG1530" s="2"/>
      <c r="CH1530" s="2"/>
      <c r="CI1530" s="2">
        <v>1</v>
      </c>
      <c r="CJ1530" s="2">
        <v>1</v>
      </c>
      <c r="CK1530" s="2">
        <v>21</v>
      </c>
      <c r="CL1530" s="2" t="s">
        <v>88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"FES1162507552"</f>
        <v>FES1162507552</v>
      </c>
      <c r="F1531" s="3">
        <v>42661</v>
      </c>
      <c r="G1531" s="2">
        <v>201704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98</v>
      </c>
      <c r="M1531" s="2" t="s">
        <v>99</v>
      </c>
      <c r="N1531" s="2" t="s">
        <v>133</v>
      </c>
      <c r="O1531" s="2" t="s">
        <v>96</v>
      </c>
      <c r="P1531" s="2" t="str">
        <f>"2170530986                    "</f>
        <v xml:space="preserve">2170530986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3.32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1</v>
      </c>
      <c r="BJ1531" s="2">
        <v>0.2</v>
      </c>
      <c r="BK1531" s="2">
        <v>1</v>
      </c>
      <c r="BL1531" s="2">
        <v>40.76</v>
      </c>
      <c r="BM1531" s="2">
        <v>5.71</v>
      </c>
      <c r="BN1531" s="2">
        <v>46.47</v>
      </c>
      <c r="BO1531" s="2">
        <v>46.47</v>
      </c>
      <c r="BP1531" s="2"/>
      <c r="BQ1531" s="2" t="s">
        <v>134</v>
      </c>
      <c r="BR1531" s="2" t="s">
        <v>83</v>
      </c>
      <c r="BS1531" s="3">
        <v>42662</v>
      </c>
      <c r="BT1531" s="4">
        <v>0.41666666666666669</v>
      </c>
      <c r="BU1531" s="2" t="s">
        <v>1264</v>
      </c>
      <c r="BV1531" s="2" t="s">
        <v>85</v>
      </c>
      <c r="BW1531" s="2"/>
      <c r="BX1531" s="2"/>
      <c r="BY1531" s="2">
        <v>1200</v>
      </c>
      <c r="BZ1531" s="2"/>
      <c r="CA1531" s="2"/>
      <c r="CB1531" s="2"/>
      <c r="CC1531" s="2" t="s">
        <v>99</v>
      </c>
      <c r="CD1531" s="2">
        <v>6001</v>
      </c>
      <c r="CE1531" s="2" t="s">
        <v>108</v>
      </c>
      <c r="CF1531" s="5">
        <v>42663</v>
      </c>
      <c r="CG1531" s="2"/>
      <c r="CH1531" s="2"/>
      <c r="CI1531" s="2">
        <v>1</v>
      </c>
      <c r="CJ1531" s="2">
        <v>1</v>
      </c>
      <c r="CK1531" s="2">
        <v>21</v>
      </c>
      <c r="CL1531" s="2" t="s">
        <v>88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"FES1162507604"</f>
        <v>FES1162507604</v>
      </c>
      <c r="F1532" s="3">
        <v>42661</v>
      </c>
      <c r="G1532" s="2">
        <v>201704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78</v>
      </c>
      <c r="M1532" s="2" t="s">
        <v>79</v>
      </c>
      <c r="N1532" s="2" t="s">
        <v>1180</v>
      </c>
      <c r="O1532" s="2" t="s">
        <v>96</v>
      </c>
      <c r="P1532" s="2" t="str">
        <f>"2170531052                    "</f>
        <v xml:space="preserve">2170531052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3.32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0.5</v>
      </c>
      <c r="BJ1532" s="2">
        <v>0.2</v>
      </c>
      <c r="BK1532" s="2">
        <v>0.5</v>
      </c>
      <c r="BL1532" s="2">
        <v>40.76</v>
      </c>
      <c r="BM1532" s="2">
        <v>5.71</v>
      </c>
      <c r="BN1532" s="2">
        <v>46.47</v>
      </c>
      <c r="BO1532" s="2">
        <v>46.47</v>
      </c>
      <c r="BP1532" s="2"/>
      <c r="BQ1532" s="2" t="s">
        <v>1181</v>
      </c>
      <c r="BR1532" s="2" t="s">
        <v>83</v>
      </c>
      <c r="BS1532" s="3">
        <v>42662</v>
      </c>
      <c r="BT1532" s="4">
        <v>0.41666666666666669</v>
      </c>
      <c r="BU1532" s="2" t="s">
        <v>84</v>
      </c>
      <c r="BV1532" s="2" t="s">
        <v>85</v>
      </c>
      <c r="BW1532" s="2"/>
      <c r="BX1532" s="2"/>
      <c r="BY1532" s="2">
        <v>1200</v>
      </c>
      <c r="BZ1532" s="2"/>
      <c r="CA1532" s="2"/>
      <c r="CB1532" s="2"/>
      <c r="CC1532" s="2" t="s">
        <v>79</v>
      </c>
      <c r="CD1532" s="2">
        <v>1871</v>
      </c>
      <c r="CE1532" s="2" t="s">
        <v>108</v>
      </c>
      <c r="CF1532" s="5">
        <v>42664</v>
      </c>
      <c r="CG1532" s="2"/>
      <c r="CH1532" s="2"/>
      <c r="CI1532" s="2">
        <v>1</v>
      </c>
      <c r="CJ1532" s="2">
        <v>1</v>
      </c>
      <c r="CK1532" s="2">
        <v>21</v>
      </c>
      <c r="CL1532" s="2" t="s">
        <v>88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"FES1162507623"</f>
        <v>FES1162507623</v>
      </c>
      <c r="F1533" s="3">
        <v>42661</v>
      </c>
      <c r="G1533" s="2">
        <v>201704</v>
      </c>
      <c r="H1533" s="2" t="s">
        <v>74</v>
      </c>
      <c r="I1533" s="2" t="s">
        <v>75</v>
      </c>
      <c r="J1533" s="2" t="s">
        <v>76</v>
      </c>
      <c r="K1533" s="2" t="s">
        <v>77</v>
      </c>
      <c r="L1533" s="2" t="s">
        <v>160</v>
      </c>
      <c r="M1533" s="2" t="s">
        <v>161</v>
      </c>
      <c r="N1533" s="2" t="s">
        <v>1238</v>
      </c>
      <c r="O1533" s="2" t="s">
        <v>96</v>
      </c>
      <c r="P1533" s="2" t="str">
        <f>"2170531075                    "</f>
        <v xml:space="preserve">2170531075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3.32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0.5</v>
      </c>
      <c r="BJ1533" s="2">
        <v>0.2</v>
      </c>
      <c r="BK1533" s="2">
        <v>0.5</v>
      </c>
      <c r="BL1533" s="2">
        <v>40.76</v>
      </c>
      <c r="BM1533" s="2">
        <v>5.71</v>
      </c>
      <c r="BN1533" s="2">
        <v>46.47</v>
      </c>
      <c r="BO1533" s="2">
        <v>46.47</v>
      </c>
      <c r="BP1533" s="2"/>
      <c r="BQ1533" s="2" t="s">
        <v>91</v>
      </c>
      <c r="BR1533" s="2" t="s">
        <v>83</v>
      </c>
      <c r="BS1533" s="3">
        <v>42662</v>
      </c>
      <c r="BT1533" s="4">
        <v>0.41666666666666669</v>
      </c>
      <c r="BU1533" s="2" t="s">
        <v>1787</v>
      </c>
      <c r="BV1533" s="2" t="s">
        <v>85</v>
      </c>
      <c r="BW1533" s="2"/>
      <c r="BX1533" s="2"/>
      <c r="BY1533" s="2">
        <v>1200</v>
      </c>
      <c r="BZ1533" s="2"/>
      <c r="CA1533" s="2"/>
      <c r="CB1533" s="2"/>
      <c r="CC1533" s="2" t="s">
        <v>161</v>
      </c>
      <c r="CD1533" s="2">
        <v>7405</v>
      </c>
      <c r="CE1533" s="2" t="s">
        <v>108</v>
      </c>
      <c r="CF1533" s="5">
        <v>42663</v>
      </c>
      <c r="CG1533" s="2"/>
      <c r="CH1533" s="2"/>
      <c r="CI1533" s="2">
        <v>1</v>
      </c>
      <c r="CJ1533" s="2">
        <v>1</v>
      </c>
      <c r="CK1533" s="2">
        <v>21</v>
      </c>
      <c r="CL1533" s="2" t="s">
        <v>88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"FES1162507616"</f>
        <v>FES1162507616</v>
      </c>
      <c r="F1534" s="3">
        <v>42661</v>
      </c>
      <c r="G1534" s="2">
        <v>201704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160</v>
      </c>
      <c r="M1534" s="2" t="s">
        <v>161</v>
      </c>
      <c r="N1534" s="2" t="s">
        <v>622</v>
      </c>
      <c r="O1534" s="2" t="s">
        <v>96</v>
      </c>
      <c r="P1534" s="2" t="str">
        <f>"2170531063                    "</f>
        <v xml:space="preserve">2170531063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3.32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0.5</v>
      </c>
      <c r="BJ1534" s="2">
        <v>0.2</v>
      </c>
      <c r="BK1534" s="2">
        <v>0.5</v>
      </c>
      <c r="BL1534" s="2">
        <v>40.76</v>
      </c>
      <c r="BM1534" s="2">
        <v>5.71</v>
      </c>
      <c r="BN1534" s="2">
        <v>46.47</v>
      </c>
      <c r="BO1534" s="2">
        <v>46.47</v>
      </c>
      <c r="BP1534" s="2"/>
      <c r="BQ1534" s="2" t="s">
        <v>623</v>
      </c>
      <c r="BR1534" s="2" t="s">
        <v>83</v>
      </c>
      <c r="BS1534" s="3">
        <v>42662</v>
      </c>
      <c r="BT1534" s="4">
        <v>0.44305555555555554</v>
      </c>
      <c r="BU1534" s="2" t="s">
        <v>1788</v>
      </c>
      <c r="BV1534" s="2" t="s">
        <v>85</v>
      </c>
      <c r="BW1534" s="2"/>
      <c r="BX1534" s="2"/>
      <c r="BY1534" s="2">
        <v>1200</v>
      </c>
      <c r="BZ1534" s="2"/>
      <c r="CA1534" s="2"/>
      <c r="CB1534" s="2"/>
      <c r="CC1534" s="2" t="s">
        <v>161</v>
      </c>
      <c r="CD1534" s="2">
        <v>7490</v>
      </c>
      <c r="CE1534" s="2" t="s">
        <v>108</v>
      </c>
      <c r="CF1534" s="5">
        <v>42663</v>
      </c>
      <c r="CG1534" s="2"/>
      <c r="CH1534" s="2"/>
      <c r="CI1534" s="2">
        <v>1</v>
      </c>
      <c r="CJ1534" s="2">
        <v>1</v>
      </c>
      <c r="CK1534" s="2">
        <v>21</v>
      </c>
      <c r="CL1534" s="2" t="s">
        <v>88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"FES1162507611"</f>
        <v>FES1162507611</v>
      </c>
      <c r="F1535" s="3">
        <v>42661</v>
      </c>
      <c r="G1535" s="2">
        <v>201704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682</v>
      </c>
      <c r="M1535" s="2" t="s">
        <v>682</v>
      </c>
      <c r="N1535" s="2" t="s">
        <v>683</v>
      </c>
      <c r="O1535" s="2" t="s">
        <v>96</v>
      </c>
      <c r="P1535" s="2" t="str">
        <f>"2170531053                    "</f>
        <v xml:space="preserve">2170531053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3.32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1.9</v>
      </c>
      <c r="BJ1535" s="2">
        <v>1</v>
      </c>
      <c r="BK1535" s="2">
        <v>2</v>
      </c>
      <c r="BL1535" s="2">
        <v>40.76</v>
      </c>
      <c r="BM1535" s="2">
        <v>5.71</v>
      </c>
      <c r="BN1535" s="2">
        <v>46.47</v>
      </c>
      <c r="BO1535" s="2">
        <v>46.47</v>
      </c>
      <c r="BP1535" s="2"/>
      <c r="BQ1535" s="2" t="s">
        <v>117</v>
      </c>
      <c r="BR1535" s="2" t="s">
        <v>83</v>
      </c>
      <c r="BS1535" s="3">
        <v>42663</v>
      </c>
      <c r="BT1535" s="4">
        <v>0.47916666666666669</v>
      </c>
      <c r="BU1535" s="2" t="s">
        <v>1789</v>
      </c>
      <c r="BV1535" s="2" t="s">
        <v>85</v>
      </c>
      <c r="BW1535" s="2"/>
      <c r="BX1535" s="2"/>
      <c r="BY1535" s="2">
        <v>4929.93</v>
      </c>
      <c r="BZ1535" s="2"/>
      <c r="CA1535" s="2" t="s">
        <v>1148</v>
      </c>
      <c r="CB1535" s="2"/>
      <c r="CC1535" s="2" t="s">
        <v>682</v>
      </c>
      <c r="CD1535" s="2">
        <v>6835</v>
      </c>
      <c r="CE1535" s="2" t="s">
        <v>86</v>
      </c>
      <c r="CF1535" s="5">
        <v>42663</v>
      </c>
      <c r="CG1535" s="2"/>
      <c r="CH1535" s="2"/>
      <c r="CI1535" s="2">
        <v>3</v>
      </c>
      <c r="CJ1535" s="2">
        <v>2</v>
      </c>
      <c r="CK1535" s="2">
        <v>21</v>
      </c>
      <c r="CL1535" s="2" t="s">
        <v>88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"FES1162507598"</f>
        <v>FES1162507598</v>
      </c>
      <c r="F1536" s="3">
        <v>42661</v>
      </c>
      <c r="G1536" s="2">
        <v>201704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269</v>
      </c>
      <c r="M1536" s="2" t="s">
        <v>270</v>
      </c>
      <c r="N1536" s="2" t="s">
        <v>1543</v>
      </c>
      <c r="O1536" s="2" t="s">
        <v>96</v>
      </c>
      <c r="P1536" s="2" t="str">
        <f>"2170531042                    "</f>
        <v xml:space="preserve">2170531042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30.68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8.8000000000000007</v>
      </c>
      <c r="BJ1536" s="2">
        <v>18.3</v>
      </c>
      <c r="BK1536" s="2">
        <v>18.5</v>
      </c>
      <c r="BL1536" s="2">
        <v>377</v>
      </c>
      <c r="BM1536" s="2">
        <v>52.78</v>
      </c>
      <c r="BN1536" s="2">
        <v>429.78</v>
      </c>
      <c r="BO1536" s="2">
        <v>429.78</v>
      </c>
      <c r="BP1536" s="2"/>
      <c r="BQ1536" s="2" t="s">
        <v>117</v>
      </c>
      <c r="BR1536" s="2" t="s">
        <v>83</v>
      </c>
      <c r="BS1536" s="3">
        <v>42662</v>
      </c>
      <c r="BT1536" s="4">
        <v>0.41666666666666669</v>
      </c>
      <c r="BU1536" s="2" t="s">
        <v>1790</v>
      </c>
      <c r="BV1536" s="2" t="s">
        <v>85</v>
      </c>
      <c r="BW1536" s="2"/>
      <c r="BX1536" s="2"/>
      <c r="BY1536" s="2">
        <v>91479.28</v>
      </c>
      <c r="BZ1536" s="2"/>
      <c r="CA1536" s="2"/>
      <c r="CB1536" s="2"/>
      <c r="CC1536" s="2" t="s">
        <v>270</v>
      </c>
      <c r="CD1536" s="2">
        <v>3610</v>
      </c>
      <c r="CE1536" s="2" t="s">
        <v>86</v>
      </c>
      <c r="CF1536" s="5">
        <v>42663</v>
      </c>
      <c r="CG1536" s="2"/>
      <c r="CH1536" s="2"/>
      <c r="CI1536" s="2">
        <v>1</v>
      </c>
      <c r="CJ1536" s="2">
        <v>1</v>
      </c>
      <c r="CK1536" s="2">
        <v>21</v>
      </c>
      <c r="CL1536" s="2" t="s">
        <v>88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"FES1162507647"</f>
        <v>FES1162507647</v>
      </c>
      <c r="F1537" s="3">
        <v>42661</v>
      </c>
      <c r="G1537" s="2">
        <v>201704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207</v>
      </c>
      <c r="M1537" s="2" t="s">
        <v>208</v>
      </c>
      <c r="N1537" s="2" t="s">
        <v>1774</v>
      </c>
      <c r="O1537" s="2" t="s">
        <v>96</v>
      </c>
      <c r="P1537" s="2" t="str">
        <f>"2170531106                    "</f>
        <v xml:space="preserve">2170531106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3.32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0.5</v>
      </c>
      <c r="BJ1537" s="2">
        <v>0.2</v>
      </c>
      <c r="BK1537" s="2">
        <v>0.5</v>
      </c>
      <c r="BL1537" s="2">
        <v>40.76</v>
      </c>
      <c r="BM1537" s="2">
        <v>5.71</v>
      </c>
      <c r="BN1537" s="2">
        <v>46.47</v>
      </c>
      <c r="BO1537" s="2">
        <v>46.47</v>
      </c>
      <c r="BP1537" s="2"/>
      <c r="BQ1537" s="2" t="s">
        <v>168</v>
      </c>
      <c r="BR1537" s="2" t="s">
        <v>83</v>
      </c>
      <c r="BS1537" s="3">
        <v>42662</v>
      </c>
      <c r="BT1537" s="4">
        <v>0.4375</v>
      </c>
      <c r="BU1537" s="2" t="s">
        <v>1775</v>
      </c>
      <c r="BV1537" s="2" t="s">
        <v>85</v>
      </c>
      <c r="BW1537" s="2"/>
      <c r="BX1537" s="2"/>
      <c r="BY1537" s="2">
        <v>1200</v>
      </c>
      <c r="BZ1537" s="2"/>
      <c r="CA1537" s="2"/>
      <c r="CB1537" s="2"/>
      <c r="CC1537" s="2" t="s">
        <v>208</v>
      </c>
      <c r="CD1537" s="2">
        <v>4113</v>
      </c>
      <c r="CE1537" s="2" t="s">
        <v>108</v>
      </c>
      <c r="CF1537" s="5">
        <v>42663</v>
      </c>
      <c r="CG1537" s="2"/>
      <c r="CH1537" s="2"/>
      <c r="CI1537" s="2">
        <v>1</v>
      </c>
      <c r="CJ1537" s="2">
        <v>1</v>
      </c>
      <c r="CK1537" s="2">
        <v>21</v>
      </c>
      <c r="CL1537" s="2" t="s">
        <v>88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"FES1162507629"</f>
        <v>FES1162507629</v>
      </c>
      <c r="F1538" s="3">
        <v>42661</v>
      </c>
      <c r="G1538" s="2">
        <v>201704</v>
      </c>
      <c r="H1538" s="2" t="s">
        <v>74</v>
      </c>
      <c r="I1538" s="2" t="s">
        <v>75</v>
      </c>
      <c r="J1538" s="2" t="s">
        <v>76</v>
      </c>
      <c r="K1538" s="2" t="s">
        <v>77</v>
      </c>
      <c r="L1538" s="2" t="s">
        <v>137</v>
      </c>
      <c r="M1538" s="2" t="s">
        <v>138</v>
      </c>
      <c r="N1538" s="2" t="s">
        <v>1791</v>
      </c>
      <c r="O1538" s="2" t="s">
        <v>96</v>
      </c>
      <c r="P1538" s="2" t="str">
        <f>"2170531077                    "</f>
        <v xml:space="preserve">2170531077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3.32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1.8</v>
      </c>
      <c r="BJ1538" s="2">
        <v>1</v>
      </c>
      <c r="BK1538" s="2">
        <v>2</v>
      </c>
      <c r="BL1538" s="2">
        <v>40.76</v>
      </c>
      <c r="BM1538" s="2">
        <v>5.71</v>
      </c>
      <c r="BN1538" s="2">
        <v>46.47</v>
      </c>
      <c r="BO1538" s="2">
        <v>46.47</v>
      </c>
      <c r="BP1538" s="2"/>
      <c r="BQ1538" s="2" t="s">
        <v>117</v>
      </c>
      <c r="BR1538" s="2" t="s">
        <v>83</v>
      </c>
      <c r="BS1538" s="3">
        <v>42662</v>
      </c>
      <c r="BT1538" s="4">
        <v>0.58680555555555558</v>
      </c>
      <c r="BU1538" s="2" t="s">
        <v>1792</v>
      </c>
      <c r="BV1538" s="2"/>
      <c r="BW1538" s="2" t="s">
        <v>165</v>
      </c>
      <c r="BX1538" s="2" t="s">
        <v>1169</v>
      </c>
      <c r="BY1538" s="2">
        <v>4994.47</v>
      </c>
      <c r="BZ1538" s="2"/>
      <c r="CA1538" s="2" t="s">
        <v>129</v>
      </c>
      <c r="CB1538" s="2"/>
      <c r="CC1538" s="2" t="s">
        <v>138</v>
      </c>
      <c r="CD1538" s="2">
        <v>3201</v>
      </c>
      <c r="CE1538" s="2" t="s">
        <v>86</v>
      </c>
      <c r="CF1538" s="5">
        <v>42663</v>
      </c>
      <c r="CG1538" s="2"/>
      <c r="CH1538" s="2"/>
      <c r="CI1538" s="2">
        <v>0</v>
      </c>
      <c r="CJ1538" s="2">
        <v>0</v>
      </c>
      <c r="CK1538" s="2">
        <v>21</v>
      </c>
      <c r="CL1538" s="2" t="s">
        <v>88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"FES1162507630"</f>
        <v>FES1162507630</v>
      </c>
      <c r="F1539" s="3">
        <v>42661</v>
      </c>
      <c r="G1539" s="2">
        <v>201704</v>
      </c>
      <c r="H1539" s="2" t="s">
        <v>74</v>
      </c>
      <c r="I1539" s="2" t="s">
        <v>75</v>
      </c>
      <c r="J1539" s="2" t="s">
        <v>76</v>
      </c>
      <c r="K1539" s="2" t="s">
        <v>77</v>
      </c>
      <c r="L1539" s="2" t="s">
        <v>98</v>
      </c>
      <c r="M1539" s="2" t="s">
        <v>99</v>
      </c>
      <c r="N1539" s="2" t="s">
        <v>190</v>
      </c>
      <c r="O1539" s="2" t="s">
        <v>96</v>
      </c>
      <c r="P1539" s="2" t="str">
        <f>"2170531086                    "</f>
        <v xml:space="preserve">2170531086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7.46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4.3</v>
      </c>
      <c r="BJ1539" s="2">
        <v>0.2</v>
      </c>
      <c r="BK1539" s="2">
        <v>4.5</v>
      </c>
      <c r="BL1539" s="2">
        <v>91.7</v>
      </c>
      <c r="BM1539" s="2">
        <v>12.84</v>
      </c>
      <c r="BN1539" s="2">
        <v>104.54</v>
      </c>
      <c r="BO1539" s="2">
        <v>104.54</v>
      </c>
      <c r="BP1539" s="2"/>
      <c r="BQ1539" s="2" t="s">
        <v>1034</v>
      </c>
      <c r="BR1539" s="2" t="s">
        <v>83</v>
      </c>
      <c r="BS1539" s="3">
        <v>42662</v>
      </c>
      <c r="BT1539" s="4">
        <v>0.41041666666666665</v>
      </c>
      <c r="BU1539" s="2" t="s">
        <v>1266</v>
      </c>
      <c r="BV1539" s="2" t="s">
        <v>85</v>
      </c>
      <c r="BW1539" s="2"/>
      <c r="BX1539" s="2"/>
      <c r="BY1539" s="2">
        <v>1200</v>
      </c>
      <c r="BZ1539" s="2"/>
      <c r="CA1539" s="2"/>
      <c r="CB1539" s="2"/>
      <c r="CC1539" s="2" t="s">
        <v>99</v>
      </c>
      <c r="CD1539" s="2">
        <v>6001</v>
      </c>
      <c r="CE1539" s="2" t="s">
        <v>108</v>
      </c>
      <c r="CF1539" s="5">
        <v>42663</v>
      </c>
      <c r="CG1539" s="2"/>
      <c r="CH1539" s="2"/>
      <c r="CI1539" s="2">
        <v>1</v>
      </c>
      <c r="CJ1539" s="2">
        <v>1</v>
      </c>
      <c r="CK1539" s="2">
        <v>21</v>
      </c>
      <c r="CL1539" s="2" t="s">
        <v>88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"FES1162507627"</f>
        <v>FES1162507627</v>
      </c>
      <c r="F1540" s="3">
        <v>42661</v>
      </c>
      <c r="G1540" s="2">
        <v>201704</v>
      </c>
      <c r="H1540" s="2" t="s">
        <v>74</v>
      </c>
      <c r="I1540" s="2" t="s">
        <v>75</v>
      </c>
      <c r="J1540" s="2" t="s">
        <v>76</v>
      </c>
      <c r="K1540" s="2" t="s">
        <v>77</v>
      </c>
      <c r="L1540" s="2" t="s">
        <v>269</v>
      </c>
      <c r="M1540" s="2" t="s">
        <v>270</v>
      </c>
      <c r="N1540" s="2" t="s">
        <v>455</v>
      </c>
      <c r="O1540" s="2" t="s">
        <v>96</v>
      </c>
      <c r="P1540" s="2" t="str">
        <f>"2170531073                    "</f>
        <v xml:space="preserve">2170531073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3.32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0.5</v>
      </c>
      <c r="BJ1540" s="2">
        <v>0.2</v>
      </c>
      <c r="BK1540" s="2">
        <v>0.5</v>
      </c>
      <c r="BL1540" s="2">
        <v>40.76</v>
      </c>
      <c r="BM1540" s="2">
        <v>5.71</v>
      </c>
      <c r="BN1540" s="2">
        <v>46.47</v>
      </c>
      <c r="BO1540" s="2">
        <v>46.47</v>
      </c>
      <c r="BP1540" s="2"/>
      <c r="BQ1540" s="2" t="s">
        <v>1793</v>
      </c>
      <c r="BR1540" s="2" t="s">
        <v>83</v>
      </c>
      <c r="BS1540" s="3">
        <v>42662</v>
      </c>
      <c r="BT1540" s="4">
        <v>0.41666666666666669</v>
      </c>
      <c r="BU1540" s="2" t="s">
        <v>1794</v>
      </c>
      <c r="BV1540" s="2" t="s">
        <v>85</v>
      </c>
      <c r="BW1540" s="2"/>
      <c r="BX1540" s="2"/>
      <c r="BY1540" s="2">
        <v>1200</v>
      </c>
      <c r="BZ1540" s="2"/>
      <c r="CA1540" s="2"/>
      <c r="CB1540" s="2"/>
      <c r="CC1540" s="2" t="s">
        <v>270</v>
      </c>
      <c r="CD1540" s="2">
        <v>3610</v>
      </c>
      <c r="CE1540" s="2" t="s">
        <v>108</v>
      </c>
      <c r="CF1540" s="5">
        <v>42663</v>
      </c>
      <c r="CG1540" s="2"/>
      <c r="CH1540" s="2"/>
      <c r="CI1540" s="2">
        <v>1</v>
      </c>
      <c r="CJ1540" s="2">
        <v>1</v>
      </c>
      <c r="CK1540" s="2">
        <v>21</v>
      </c>
      <c r="CL1540" s="2" t="s">
        <v>88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"FES1162507628"</f>
        <v>FES1162507628</v>
      </c>
      <c r="F1541" s="3">
        <v>42661</v>
      </c>
      <c r="G1541" s="2">
        <v>201704</v>
      </c>
      <c r="H1541" s="2" t="s">
        <v>74</v>
      </c>
      <c r="I1541" s="2" t="s">
        <v>75</v>
      </c>
      <c r="J1541" s="2" t="s">
        <v>76</v>
      </c>
      <c r="K1541" s="2" t="s">
        <v>77</v>
      </c>
      <c r="L1541" s="2" t="s">
        <v>269</v>
      </c>
      <c r="M1541" s="2" t="s">
        <v>270</v>
      </c>
      <c r="N1541" s="2" t="s">
        <v>455</v>
      </c>
      <c r="O1541" s="2" t="s">
        <v>96</v>
      </c>
      <c r="P1541" s="2" t="str">
        <f>"2170531076                    "</f>
        <v xml:space="preserve">2170531076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3.32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0.5</v>
      </c>
      <c r="BJ1541" s="2">
        <v>0.2</v>
      </c>
      <c r="BK1541" s="2">
        <v>0.5</v>
      </c>
      <c r="BL1541" s="2">
        <v>40.76</v>
      </c>
      <c r="BM1541" s="2">
        <v>5.71</v>
      </c>
      <c r="BN1541" s="2">
        <v>46.47</v>
      </c>
      <c r="BO1541" s="2">
        <v>46.47</v>
      </c>
      <c r="BP1541" s="2"/>
      <c r="BQ1541" s="2" t="s">
        <v>1793</v>
      </c>
      <c r="BR1541" s="2" t="s">
        <v>83</v>
      </c>
      <c r="BS1541" s="3">
        <v>42662</v>
      </c>
      <c r="BT1541" s="4">
        <v>0.41666666666666669</v>
      </c>
      <c r="BU1541" s="2" t="s">
        <v>1794</v>
      </c>
      <c r="BV1541" s="2" t="s">
        <v>85</v>
      </c>
      <c r="BW1541" s="2"/>
      <c r="BX1541" s="2"/>
      <c r="BY1541" s="2">
        <v>1200</v>
      </c>
      <c r="BZ1541" s="2"/>
      <c r="CA1541" s="2"/>
      <c r="CB1541" s="2"/>
      <c r="CC1541" s="2" t="s">
        <v>270</v>
      </c>
      <c r="CD1541" s="2">
        <v>3610</v>
      </c>
      <c r="CE1541" s="2" t="s">
        <v>108</v>
      </c>
      <c r="CF1541" s="5">
        <v>42663</v>
      </c>
      <c r="CG1541" s="2"/>
      <c r="CH1541" s="2"/>
      <c r="CI1541" s="2">
        <v>1</v>
      </c>
      <c r="CJ1541" s="2">
        <v>1</v>
      </c>
      <c r="CK1541" s="2">
        <v>21</v>
      </c>
      <c r="CL1541" s="2" t="s">
        <v>88</v>
      </c>
      <c r="CM1541" s="2"/>
    </row>
    <row r="1542" spans="1:91">
      <c r="A1542" s="2" t="s">
        <v>71</v>
      </c>
      <c r="B1542" s="2" t="s">
        <v>72</v>
      </c>
      <c r="C1542" s="2" t="s">
        <v>73</v>
      </c>
      <c r="D1542" s="2"/>
      <c r="E1542" s="2" t="str">
        <f>"FES1162507624"</f>
        <v>FES1162507624</v>
      </c>
      <c r="F1542" s="3">
        <v>42661</v>
      </c>
      <c r="G1542" s="2">
        <v>201704</v>
      </c>
      <c r="H1542" s="2" t="s">
        <v>74</v>
      </c>
      <c r="I1542" s="2" t="s">
        <v>75</v>
      </c>
      <c r="J1542" s="2" t="s">
        <v>76</v>
      </c>
      <c r="K1542" s="2" t="s">
        <v>77</v>
      </c>
      <c r="L1542" s="2" t="s">
        <v>93</v>
      </c>
      <c r="M1542" s="2" t="s">
        <v>94</v>
      </c>
      <c r="N1542" s="2" t="s">
        <v>130</v>
      </c>
      <c r="O1542" s="2" t="s">
        <v>96</v>
      </c>
      <c r="P1542" s="2" t="str">
        <f>"2170531079                    "</f>
        <v xml:space="preserve">2170531079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3.32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0.4</v>
      </c>
      <c r="BJ1542" s="2">
        <v>1.7</v>
      </c>
      <c r="BK1542" s="2">
        <v>2</v>
      </c>
      <c r="BL1542" s="2">
        <v>40.76</v>
      </c>
      <c r="BM1542" s="2">
        <v>5.71</v>
      </c>
      <c r="BN1542" s="2">
        <v>46.47</v>
      </c>
      <c r="BO1542" s="2">
        <v>46.47</v>
      </c>
      <c r="BP1542" s="2"/>
      <c r="BQ1542" s="2" t="s">
        <v>131</v>
      </c>
      <c r="BR1542" s="2" t="s">
        <v>83</v>
      </c>
      <c r="BS1542" s="3">
        <v>42662</v>
      </c>
      <c r="BT1542" s="4">
        <v>0.375</v>
      </c>
      <c r="BU1542" s="2" t="s">
        <v>132</v>
      </c>
      <c r="BV1542" s="2" t="s">
        <v>85</v>
      </c>
      <c r="BW1542" s="2"/>
      <c r="BX1542" s="2"/>
      <c r="BY1542" s="2">
        <v>8477.9500000000007</v>
      </c>
      <c r="BZ1542" s="2"/>
      <c r="CA1542" s="2"/>
      <c r="CB1542" s="2"/>
      <c r="CC1542" s="2" t="s">
        <v>94</v>
      </c>
      <c r="CD1542" s="2">
        <v>4302</v>
      </c>
      <c r="CE1542" s="2" t="s">
        <v>108</v>
      </c>
      <c r="CF1542" s="5">
        <v>42663</v>
      </c>
      <c r="CG1542" s="2"/>
      <c r="CH1542" s="2"/>
      <c r="CI1542" s="2">
        <v>1</v>
      </c>
      <c r="CJ1542" s="2">
        <v>1</v>
      </c>
      <c r="CK1542" s="2">
        <v>21</v>
      </c>
      <c r="CL1542" s="2" t="s">
        <v>88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"FES1162507566"</f>
        <v>FES1162507566</v>
      </c>
      <c r="F1543" s="3">
        <v>42661</v>
      </c>
      <c r="G1543" s="2">
        <v>201704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153</v>
      </c>
      <c r="M1543" s="2" t="s">
        <v>153</v>
      </c>
      <c r="N1543" s="2" t="s">
        <v>200</v>
      </c>
      <c r="O1543" s="2" t="s">
        <v>96</v>
      </c>
      <c r="P1543" s="2" t="str">
        <f>"2170531008                    "</f>
        <v xml:space="preserve">2170531008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5.81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1.5</v>
      </c>
      <c r="BJ1543" s="2">
        <v>3.4</v>
      </c>
      <c r="BK1543" s="2">
        <v>3.5</v>
      </c>
      <c r="BL1543" s="2">
        <v>71.33</v>
      </c>
      <c r="BM1543" s="2">
        <v>9.99</v>
      </c>
      <c r="BN1543" s="2">
        <v>81.319999999999993</v>
      </c>
      <c r="BO1543" s="2">
        <v>81.319999999999993</v>
      </c>
      <c r="BP1543" s="2"/>
      <c r="BQ1543" s="2" t="s">
        <v>201</v>
      </c>
      <c r="BR1543" s="2" t="s">
        <v>83</v>
      </c>
      <c r="BS1543" s="3">
        <v>42662</v>
      </c>
      <c r="BT1543" s="4">
        <v>0.51944444444444449</v>
      </c>
      <c r="BU1543" s="2" t="s">
        <v>1795</v>
      </c>
      <c r="BV1543" s="2" t="s">
        <v>85</v>
      </c>
      <c r="BW1543" s="2"/>
      <c r="BX1543" s="2"/>
      <c r="BY1543" s="2">
        <v>17101.97</v>
      </c>
      <c r="BZ1543" s="2"/>
      <c r="CA1543" s="2" t="s">
        <v>129</v>
      </c>
      <c r="CB1543" s="2"/>
      <c r="CC1543" s="2" t="s">
        <v>153</v>
      </c>
      <c r="CD1543" s="2">
        <v>7646</v>
      </c>
      <c r="CE1543" s="2" t="s">
        <v>108</v>
      </c>
      <c r="CF1543" s="5">
        <v>42663</v>
      </c>
      <c r="CG1543" s="2"/>
      <c r="CH1543" s="2"/>
      <c r="CI1543" s="2">
        <v>1</v>
      </c>
      <c r="CJ1543" s="2">
        <v>1</v>
      </c>
      <c r="CK1543" s="2">
        <v>21</v>
      </c>
      <c r="CL1543" s="2" t="s">
        <v>88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"FES1162507648"</f>
        <v>FES1162507648</v>
      </c>
      <c r="F1544" s="3">
        <v>42661</v>
      </c>
      <c r="G1544" s="2">
        <v>201704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98</v>
      </c>
      <c r="M1544" s="2" t="s">
        <v>99</v>
      </c>
      <c r="N1544" s="2" t="s">
        <v>1250</v>
      </c>
      <c r="O1544" s="2" t="s">
        <v>96</v>
      </c>
      <c r="P1544" s="2" t="str">
        <f>"2170531107                    "</f>
        <v xml:space="preserve">2170531107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6.63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0.9</v>
      </c>
      <c r="BJ1544" s="2">
        <v>3.6</v>
      </c>
      <c r="BK1544" s="2">
        <v>4</v>
      </c>
      <c r="BL1544" s="2">
        <v>81.510000000000005</v>
      </c>
      <c r="BM1544" s="2">
        <v>11.41</v>
      </c>
      <c r="BN1544" s="2">
        <v>92.92</v>
      </c>
      <c r="BO1544" s="2">
        <v>92.92</v>
      </c>
      <c r="BP1544" s="2"/>
      <c r="BQ1544" s="2" t="s">
        <v>1251</v>
      </c>
      <c r="BR1544" s="2" t="s">
        <v>83</v>
      </c>
      <c r="BS1544" s="3">
        <v>42662</v>
      </c>
      <c r="BT1544" s="4">
        <v>0.3125</v>
      </c>
      <c r="BU1544" s="2" t="s">
        <v>1252</v>
      </c>
      <c r="BV1544" s="2" t="s">
        <v>85</v>
      </c>
      <c r="BW1544" s="2"/>
      <c r="BX1544" s="2"/>
      <c r="BY1544" s="2">
        <v>17927.900000000001</v>
      </c>
      <c r="BZ1544" s="2"/>
      <c r="CA1544" s="2" t="s">
        <v>107</v>
      </c>
      <c r="CB1544" s="2"/>
      <c r="CC1544" s="2" t="s">
        <v>99</v>
      </c>
      <c r="CD1544" s="2">
        <v>6012</v>
      </c>
      <c r="CE1544" s="2" t="s">
        <v>108</v>
      </c>
      <c r="CF1544" s="5">
        <v>42662</v>
      </c>
      <c r="CG1544" s="2"/>
      <c r="CH1544" s="2"/>
      <c r="CI1544" s="2">
        <v>1</v>
      </c>
      <c r="CJ1544" s="2">
        <v>1</v>
      </c>
      <c r="CK1544" s="2">
        <v>21</v>
      </c>
      <c r="CL1544" s="2" t="s">
        <v>88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"FES1162507634"</f>
        <v>FES1162507634</v>
      </c>
      <c r="F1545" s="3">
        <v>42661</v>
      </c>
      <c r="G1545" s="2">
        <v>201704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148</v>
      </c>
      <c r="M1545" s="2" t="s">
        <v>149</v>
      </c>
      <c r="N1545" s="2" t="s">
        <v>729</v>
      </c>
      <c r="O1545" s="2" t="s">
        <v>96</v>
      </c>
      <c r="P1545" s="2" t="str">
        <f>"2170531081                    "</f>
        <v xml:space="preserve">2170531081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3.32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0.5</v>
      </c>
      <c r="BJ1545" s="2">
        <v>0.2</v>
      </c>
      <c r="BK1545" s="2">
        <v>0.5</v>
      </c>
      <c r="BL1545" s="2">
        <v>40.76</v>
      </c>
      <c r="BM1545" s="2">
        <v>5.71</v>
      </c>
      <c r="BN1545" s="2">
        <v>46.47</v>
      </c>
      <c r="BO1545" s="2">
        <v>46.47</v>
      </c>
      <c r="BP1545" s="2"/>
      <c r="BQ1545" s="2" t="s">
        <v>117</v>
      </c>
      <c r="BR1545" s="2" t="s">
        <v>83</v>
      </c>
      <c r="BS1545" s="3">
        <v>42662</v>
      </c>
      <c r="BT1545" s="4">
        <v>0.38541666666666669</v>
      </c>
      <c r="BU1545" s="2" t="s">
        <v>1796</v>
      </c>
      <c r="BV1545" s="2"/>
      <c r="BW1545" s="2"/>
      <c r="BX1545" s="2"/>
      <c r="BY1545" s="2">
        <v>1200</v>
      </c>
      <c r="BZ1545" s="2"/>
      <c r="CA1545" s="2" t="s">
        <v>129</v>
      </c>
      <c r="CB1545" s="2"/>
      <c r="CC1545" s="2" t="s">
        <v>149</v>
      </c>
      <c r="CD1545" s="2">
        <v>4001</v>
      </c>
      <c r="CE1545" s="2" t="s">
        <v>108</v>
      </c>
      <c r="CF1545" s="5">
        <v>42662</v>
      </c>
      <c r="CG1545" s="2"/>
      <c r="CH1545" s="2"/>
      <c r="CI1545" s="2">
        <v>0</v>
      </c>
      <c r="CJ1545" s="2">
        <v>0</v>
      </c>
      <c r="CK1545" s="2">
        <v>21</v>
      </c>
      <c r="CL1545" s="2" t="s">
        <v>88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"FES1162507635"</f>
        <v>FES1162507635</v>
      </c>
      <c r="F1546" s="3">
        <v>42661</v>
      </c>
      <c r="G1546" s="2">
        <v>201704</v>
      </c>
      <c r="H1546" s="2" t="s">
        <v>74</v>
      </c>
      <c r="I1546" s="2" t="s">
        <v>75</v>
      </c>
      <c r="J1546" s="2" t="s">
        <v>76</v>
      </c>
      <c r="K1546" s="2" t="s">
        <v>77</v>
      </c>
      <c r="L1546" s="2" t="s">
        <v>269</v>
      </c>
      <c r="M1546" s="2" t="s">
        <v>270</v>
      </c>
      <c r="N1546" s="2" t="s">
        <v>299</v>
      </c>
      <c r="O1546" s="2" t="s">
        <v>96</v>
      </c>
      <c r="P1546" s="2" t="str">
        <f>"2170531082                    "</f>
        <v xml:space="preserve">2170531082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3.32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0.5</v>
      </c>
      <c r="BJ1546" s="2">
        <v>0.2</v>
      </c>
      <c r="BK1546" s="2">
        <v>0.5</v>
      </c>
      <c r="BL1546" s="2">
        <v>40.76</v>
      </c>
      <c r="BM1546" s="2">
        <v>5.71</v>
      </c>
      <c r="BN1546" s="2">
        <v>46.47</v>
      </c>
      <c r="BO1546" s="2">
        <v>46.47</v>
      </c>
      <c r="BP1546" s="2"/>
      <c r="BQ1546" s="2" t="s">
        <v>300</v>
      </c>
      <c r="BR1546" s="2" t="s">
        <v>83</v>
      </c>
      <c r="BS1546" s="3">
        <v>42662</v>
      </c>
      <c r="BT1546" s="4">
        <v>0.41666666666666669</v>
      </c>
      <c r="BU1546" s="2" t="s">
        <v>1797</v>
      </c>
      <c r="BV1546" s="2" t="s">
        <v>85</v>
      </c>
      <c r="BW1546" s="2"/>
      <c r="BX1546" s="2"/>
      <c r="BY1546" s="2">
        <v>1200</v>
      </c>
      <c r="BZ1546" s="2"/>
      <c r="CA1546" s="2"/>
      <c r="CB1546" s="2"/>
      <c r="CC1546" s="2" t="s">
        <v>270</v>
      </c>
      <c r="CD1546" s="2">
        <v>3610</v>
      </c>
      <c r="CE1546" s="2" t="s">
        <v>108</v>
      </c>
      <c r="CF1546" s="5">
        <v>42663</v>
      </c>
      <c r="CG1546" s="2"/>
      <c r="CH1546" s="2"/>
      <c r="CI1546" s="2">
        <v>1</v>
      </c>
      <c r="CJ1546" s="2">
        <v>1</v>
      </c>
      <c r="CK1546" s="2">
        <v>21</v>
      </c>
      <c r="CL1546" s="2" t="s">
        <v>88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"FES1162507637"</f>
        <v>FES1162507637</v>
      </c>
      <c r="F1547" s="3">
        <v>42661</v>
      </c>
      <c r="G1547" s="2">
        <v>201704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148</v>
      </c>
      <c r="M1547" s="2" t="s">
        <v>149</v>
      </c>
      <c r="N1547" s="2" t="s">
        <v>242</v>
      </c>
      <c r="O1547" s="2" t="s">
        <v>96</v>
      </c>
      <c r="P1547" s="2" t="str">
        <f>"2170531092                    "</f>
        <v xml:space="preserve">2170531092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3.32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0.5</v>
      </c>
      <c r="BJ1547" s="2">
        <v>0.2</v>
      </c>
      <c r="BK1547" s="2">
        <v>0.5</v>
      </c>
      <c r="BL1547" s="2">
        <v>40.76</v>
      </c>
      <c r="BM1547" s="2">
        <v>5.71</v>
      </c>
      <c r="BN1547" s="2">
        <v>46.47</v>
      </c>
      <c r="BO1547" s="2">
        <v>46.47</v>
      </c>
      <c r="BP1547" s="2"/>
      <c r="BQ1547" s="2" t="s">
        <v>91</v>
      </c>
      <c r="BR1547" s="2" t="s">
        <v>83</v>
      </c>
      <c r="BS1547" s="3">
        <v>42662</v>
      </c>
      <c r="BT1547" s="4">
        <v>0.39583333333333331</v>
      </c>
      <c r="BU1547" s="2" t="s">
        <v>1798</v>
      </c>
      <c r="BV1547" s="2"/>
      <c r="BW1547" s="2"/>
      <c r="BX1547" s="2"/>
      <c r="BY1547" s="2">
        <v>1200</v>
      </c>
      <c r="BZ1547" s="2"/>
      <c r="CA1547" s="2"/>
      <c r="CB1547" s="2"/>
      <c r="CC1547" s="2" t="s">
        <v>149</v>
      </c>
      <c r="CD1547" s="2">
        <v>4001</v>
      </c>
      <c r="CE1547" s="2" t="s">
        <v>108</v>
      </c>
      <c r="CF1547" s="5">
        <v>42663</v>
      </c>
      <c r="CG1547" s="2"/>
      <c r="CH1547" s="2"/>
      <c r="CI1547" s="2">
        <v>0</v>
      </c>
      <c r="CJ1547" s="2">
        <v>0</v>
      </c>
      <c r="CK1547" s="2">
        <v>21</v>
      </c>
      <c r="CL1547" s="2" t="s">
        <v>88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"FES1162507636"</f>
        <v>FES1162507636</v>
      </c>
      <c r="F1548" s="3">
        <v>42661</v>
      </c>
      <c r="G1548" s="2">
        <v>201704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160</v>
      </c>
      <c r="M1548" s="2" t="s">
        <v>161</v>
      </c>
      <c r="N1548" s="2" t="s">
        <v>1799</v>
      </c>
      <c r="O1548" s="2" t="s">
        <v>96</v>
      </c>
      <c r="P1548" s="2" t="str">
        <f>"2170531088                    "</f>
        <v xml:space="preserve">2170531088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3.32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0.5</v>
      </c>
      <c r="BJ1548" s="2">
        <v>0.2</v>
      </c>
      <c r="BK1548" s="2">
        <v>0.5</v>
      </c>
      <c r="BL1548" s="2">
        <v>40.76</v>
      </c>
      <c r="BM1548" s="2">
        <v>5.71</v>
      </c>
      <c r="BN1548" s="2">
        <v>46.47</v>
      </c>
      <c r="BO1548" s="2">
        <v>46.47</v>
      </c>
      <c r="BP1548" s="2"/>
      <c r="BQ1548" s="2" t="s">
        <v>168</v>
      </c>
      <c r="BR1548" s="2" t="s">
        <v>83</v>
      </c>
      <c r="BS1548" s="3">
        <v>42662</v>
      </c>
      <c r="BT1548" s="4">
        <v>0.41666666666666669</v>
      </c>
      <c r="BU1548" s="2" t="s">
        <v>1800</v>
      </c>
      <c r="BV1548" s="2" t="s">
        <v>85</v>
      </c>
      <c r="BW1548" s="2"/>
      <c r="BX1548" s="2"/>
      <c r="BY1548" s="2">
        <v>1200</v>
      </c>
      <c r="BZ1548" s="2"/>
      <c r="CA1548" s="2" t="s">
        <v>129</v>
      </c>
      <c r="CB1548" s="2"/>
      <c r="CC1548" s="2" t="s">
        <v>161</v>
      </c>
      <c r="CD1548" s="2">
        <v>7404</v>
      </c>
      <c r="CE1548" s="2" t="s">
        <v>108</v>
      </c>
      <c r="CF1548" s="5">
        <v>42663</v>
      </c>
      <c r="CG1548" s="2"/>
      <c r="CH1548" s="2"/>
      <c r="CI1548" s="2">
        <v>1</v>
      </c>
      <c r="CJ1548" s="2">
        <v>1</v>
      </c>
      <c r="CK1548" s="2">
        <v>21</v>
      </c>
      <c r="CL1548" s="2" t="s">
        <v>88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"FES1162507649"</f>
        <v>FES1162507649</v>
      </c>
      <c r="F1549" s="3">
        <v>42661</v>
      </c>
      <c r="G1549" s="2">
        <v>201704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269</v>
      </c>
      <c r="M1549" s="2" t="s">
        <v>270</v>
      </c>
      <c r="N1549" s="2" t="s">
        <v>299</v>
      </c>
      <c r="O1549" s="2" t="s">
        <v>96</v>
      </c>
      <c r="P1549" s="2" t="str">
        <f>"2170531111                    "</f>
        <v xml:space="preserve">2170531111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3.32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1</v>
      </c>
      <c r="BI1549" s="2">
        <v>0.5</v>
      </c>
      <c r="BJ1549" s="2">
        <v>0.2</v>
      </c>
      <c r="BK1549" s="2">
        <v>0.5</v>
      </c>
      <c r="BL1549" s="2">
        <v>40.76</v>
      </c>
      <c r="BM1549" s="2">
        <v>5.71</v>
      </c>
      <c r="BN1549" s="2">
        <v>46.47</v>
      </c>
      <c r="BO1549" s="2">
        <v>46.47</v>
      </c>
      <c r="BP1549" s="2"/>
      <c r="BQ1549" s="2" t="s">
        <v>300</v>
      </c>
      <c r="BR1549" s="2" t="s">
        <v>83</v>
      </c>
      <c r="BS1549" s="3">
        <v>42662</v>
      </c>
      <c r="BT1549" s="4">
        <v>0.41666666666666669</v>
      </c>
      <c r="BU1549" s="2" t="s">
        <v>431</v>
      </c>
      <c r="BV1549" s="2" t="s">
        <v>85</v>
      </c>
      <c r="BW1549" s="2"/>
      <c r="BX1549" s="2"/>
      <c r="BY1549" s="2">
        <v>1200</v>
      </c>
      <c r="BZ1549" s="2"/>
      <c r="CA1549" s="2"/>
      <c r="CB1549" s="2"/>
      <c r="CC1549" s="2" t="s">
        <v>270</v>
      </c>
      <c r="CD1549" s="2">
        <v>3610</v>
      </c>
      <c r="CE1549" s="2" t="s">
        <v>108</v>
      </c>
      <c r="CF1549" s="5">
        <v>42663</v>
      </c>
      <c r="CG1549" s="2"/>
      <c r="CH1549" s="2"/>
      <c r="CI1549" s="2">
        <v>1</v>
      </c>
      <c r="CJ1549" s="2">
        <v>1</v>
      </c>
      <c r="CK1549" s="2">
        <v>21</v>
      </c>
      <c r="CL1549" s="2" t="s">
        <v>88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"FES1162507556"</f>
        <v>FES1162507556</v>
      </c>
      <c r="F1550" s="3">
        <v>42661</v>
      </c>
      <c r="G1550" s="2">
        <v>201704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160</v>
      </c>
      <c r="M1550" s="2" t="s">
        <v>161</v>
      </c>
      <c r="N1550" s="2" t="s">
        <v>994</v>
      </c>
      <c r="O1550" s="2" t="s">
        <v>96</v>
      </c>
      <c r="P1550" s="2" t="str">
        <f>"2170530992                    "</f>
        <v xml:space="preserve">2170530992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3.32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0.5</v>
      </c>
      <c r="BJ1550" s="2">
        <v>0.2</v>
      </c>
      <c r="BK1550" s="2">
        <v>0.5</v>
      </c>
      <c r="BL1550" s="2">
        <v>40.76</v>
      </c>
      <c r="BM1550" s="2">
        <v>5.71</v>
      </c>
      <c r="BN1550" s="2">
        <v>46.47</v>
      </c>
      <c r="BO1550" s="2">
        <v>46.47</v>
      </c>
      <c r="BP1550" s="2"/>
      <c r="BQ1550" s="2" t="s">
        <v>1627</v>
      </c>
      <c r="BR1550" s="2" t="s">
        <v>83</v>
      </c>
      <c r="BS1550" s="3">
        <v>42662</v>
      </c>
      <c r="BT1550" s="4">
        <v>0.43541666666666662</v>
      </c>
      <c r="BU1550" s="2" t="s">
        <v>1801</v>
      </c>
      <c r="BV1550" s="2" t="s">
        <v>85</v>
      </c>
      <c r="BW1550" s="2"/>
      <c r="BX1550" s="2"/>
      <c r="BY1550" s="2">
        <v>1200</v>
      </c>
      <c r="BZ1550" s="2"/>
      <c r="CA1550" s="2"/>
      <c r="CB1550" s="2"/>
      <c r="CC1550" s="2" t="s">
        <v>161</v>
      </c>
      <c r="CD1550" s="2">
        <v>7580</v>
      </c>
      <c r="CE1550" s="2" t="s">
        <v>108</v>
      </c>
      <c r="CF1550" s="5">
        <v>42663</v>
      </c>
      <c r="CG1550" s="2"/>
      <c r="CH1550" s="2"/>
      <c r="CI1550" s="2">
        <v>1</v>
      </c>
      <c r="CJ1550" s="2">
        <v>1</v>
      </c>
      <c r="CK1550" s="2">
        <v>21</v>
      </c>
      <c r="CL1550" s="2" t="s">
        <v>88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"FES1162507641"</f>
        <v>FES1162507641</v>
      </c>
      <c r="F1551" s="3">
        <v>42661</v>
      </c>
      <c r="G1551" s="2">
        <v>201704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119</v>
      </c>
      <c r="M1551" s="2" t="s">
        <v>120</v>
      </c>
      <c r="N1551" s="2" t="s">
        <v>337</v>
      </c>
      <c r="O1551" s="2" t="s">
        <v>96</v>
      </c>
      <c r="P1551" s="2" t="str">
        <f>"2170531095                    "</f>
        <v xml:space="preserve">2170531095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3.32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0.5</v>
      </c>
      <c r="BJ1551" s="2">
        <v>0.2</v>
      </c>
      <c r="BK1551" s="2">
        <v>0.5</v>
      </c>
      <c r="BL1551" s="2">
        <v>40.76</v>
      </c>
      <c r="BM1551" s="2">
        <v>5.71</v>
      </c>
      <c r="BN1551" s="2">
        <v>46.47</v>
      </c>
      <c r="BO1551" s="2">
        <v>46.47</v>
      </c>
      <c r="BP1551" s="2"/>
      <c r="BQ1551" s="2" t="s">
        <v>338</v>
      </c>
      <c r="BR1551" s="2" t="s">
        <v>83</v>
      </c>
      <c r="BS1551" s="3">
        <v>42662</v>
      </c>
      <c r="BT1551" s="4">
        <v>0.41805555555555557</v>
      </c>
      <c r="BU1551" s="2" t="s">
        <v>247</v>
      </c>
      <c r="BV1551" s="2" t="s">
        <v>85</v>
      </c>
      <c r="BW1551" s="2"/>
      <c r="BX1551" s="2"/>
      <c r="BY1551" s="2">
        <v>1200</v>
      </c>
      <c r="BZ1551" s="2"/>
      <c r="CA1551" s="2"/>
      <c r="CB1551" s="2"/>
      <c r="CC1551" s="2" t="s">
        <v>120</v>
      </c>
      <c r="CD1551" s="2">
        <v>6230</v>
      </c>
      <c r="CE1551" s="2" t="s">
        <v>108</v>
      </c>
      <c r="CF1551" s="5">
        <v>42663</v>
      </c>
      <c r="CG1551" s="2"/>
      <c r="CH1551" s="2"/>
      <c r="CI1551" s="2">
        <v>1</v>
      </c>
      <c r="CJ1551" s="2">
        <v>1</v>
      </c>
      <c r="CK1551" s="2">
        <v>21</v>
      </c>
      <c r="CL1551" s="2" t="s">
        <v>88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"009932186817"</f>
        <v>009932186817</v>
      </c>
      <c r="F1552" s="3">
        <v>42661</v>
      </c>
      <c r="G1552" s="2">
        <v>201704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148</v>
      </c>
      <c r="M1552" s="2" t="s">
        <v>149</v>
      </c>
      <c r="N1552" s="2" t="s">
        <v>293</v>
      </c>
      <c r="O1552" s="2" t="s">
        <v>96</v>
      </c>
      <c r="P1552" s="2" t="str">
        <f>"1162451410                    "</f>
        <v xml:space="preserve">1162451410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3.32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1.3</v>
      </c>
      <c r="BJ1552" s="2">
        <v>1.7</v>
      </c>
      <c r="BK1552" s="2">
        <v>2</v>
      </c>
      <c r="BL1552" s="2">
        <v>40.76</v>
      </c>
      <c r="BM1552" s="2">
        <v>5.71</v>
      </c>
      <c r="BN1552" s="2">
        <v>46.47</v>
      </c>
      <c r="BO1552" s="2">
        <v>46.47</v>
      </c>
      <c r="BP1552" s="2" t="s">
        <v>1802</v>
      </c>
      <c r="BQ1552" s="2" t="s">
        <v>1803</v>
      </c>
      <c r="BR1552" s="2" t="s">
        <v>83</v>
      </c>
      <c r="BS1552" s="3">
        <v>42662</v>
      </c>
      <c r="BT1552" s="4">
        <v>0.4375</v>
      </c>
      <c r="BU1552" s="2" t="s">
        <v>1804</v>
      </c>
      <c r="BV1552" s="2" t="s">
        <v>85</v>
      </c>
      <c r="BW1552" s="2"/>
      <c r="BX1552" s="2"/>
      <c r="BY1552" s="2">
        <v>8531.7099999999991</v>
      </c>
      <c r="BZ1552" s="2"/>
      <c r="CA1552" s="2"/>
      <c r="CB1552" s="2"/>
      <c r="CC1552" s="2" t="s">
        <v>149</v>
      </c>
      <c r="CD1552" s="2">
        <v>4051</v>
      </c>
      <c r="CE1552" s="2" t="s">
        <v>86</v>
      </c>
      <c r="CF1552" s="5">
        <v>42663</v>
      </c>
      <c r="CG1552" s="2"/>
      <c r="CH1552" s="2"/>
      <c r="CI1552" s="2">
        <v>1</v>
      </c>
      <c r="CJ1552" s="2">
        <v>1</v>
      </c>
      <c r="CK1552" s="2">
        <v>21</v>
      </c>
      <c r="CL1552" s="2" t="s">
        <v>88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"FES1162507619"</f>
        <v>FES1162507619</v>
      </c>
      <c r="F1553" s="3">
        <v>42661</v>
      </c>
      <c r="G1553" s="2">
        <v>201704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93</v>
      </c>
      <c r="M1553" s="2" t="s">
        <v>94</v>
      </c>
      <c r="N1553" s="2" t="s">
        <v>536</v>
      </c>
      <c r="O1553" s="2" t="s">
        <v>96</v>
      </c>
      <c r="P1553" s="2" t="str">
        <f>"2170531068                    "</f>
        <v xml:space="preserve">2170531068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6.63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2.4</v>
      </c>
      <c r="BJ1553" s="2">
        <v>3.8</v>
      </c>
      <c r="BK1553" s="2">
        <v>4</v>
      </c>
      <c r="BL1553" s="2">
        <v>81.510000000000005</v>
      </c>
      <c r="BM1553" s="2">
        <v>11.41</v>
      </c>
      <c r="BN1553" s="2">
        <v>92.92</v>
      </c>
      <c r="BO1553" s="2">
        <v>92.92</v>
      </c>
      <c r="BP1553" s="2"/>
      <c r="BQ1553" s="2" t="s">
        <v>537</v>
      </c>
      <c r="BR1553" s="2" t="s">
        <v>83</v>
      </c>
      <c r="BS1553" s="3">
        <v>42662</v>
      </c>
      <c r="BT1553" s="4">
        <v>0.4375</v>
      </c>
      <c r="BU1553" s="2" t="s">
        <v>852</v>
      </c>
      <c r="BV1553" s="2" t="s">
        <v>85</v>
      </c>
      <c r="BW1553" s="2"/>
      <c r="BX1553" s="2"/>
      <c r="BY1553" s="2">
        <v>18853.89</v>
      </c>
      <c r="BZ1553" s="2"/>
      <c r="CA1553" s="2"/>
      <c r="CB1553" s="2"/>
      <c r="CC1553" s="2" t="s">
        <v>94</v>
      </c>
      <c r="CD1553" s="2">
        <v>4300</v>
      </c>
      <c r="CE1553" s="2" t="s">
        <v>86</v>
      </c>
      <c r="CF1553" s="5">
        <v>42663</v>
      </c>
      <c r="CG1553" s="2"/>
      <c r="CH1553" s="2"/>
      <c r="CI1553" s="2">
        <v>1</v>
      </c>
      <c r="CJ1553" s="2">
        <v>1</v>
      </c>
      <c r="CK1553" s="2">
        <v>21</v>
      </c>
      <c r="CL1553" s="2" t="s">
        <v>88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"FES1162507513"</f>
        <v>FES1162507513</v>
      </c>
      <c r="F1554" s="3">
        <v>42661</v>
      </c>
      <c r="G1554" s="2">
        <v>201704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148</v>
      </c>
      <c r="M1554" s="2" t="s">
        <v>149</v>
      </c>
      <c r="N1554" s="2" t="s">
        <v>293</v>
      </c>
      <c r="O1554" s="2" t="s">
        <v>96</v>
      </c>
      <c r="P1554" s="2" t="str">
        <f>"2170530955                    "</f>
        <v xml:space="preserve">2170530955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28.2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16.7</v>
      </c>
      <c r="BJ1554" s="2">
        <v>4.8</v>
      </c>
      <c r="BK1554" s="2">
        <v>17</v>
      </c>
      <c r="BL1554" s="2">
        <v>346.44</v>
      </c>
      <c r="BM1554" s="2">
        <v>48.5</v>
      </c>
      <c r="BN1554" s="2">
        <v>394.94</v>
      </c>
      <c r="BO1554" s="2">
        <v>394.94</v>
      </c>
      <c r="BP1554" s="2"/>
      <c r="BQ1554" s="2" t="s">
        <v>1352</v>
      </c>
      <c r="BR1554" s="2" t="s">
        <v>83</v>
      </c>
      <c r="BS1554" s="3">
        <v>42662</v>
      </c>
      <c r="BT1554" s="4">
        <v>0.4375</v>
      </c>
      <c r="BU1554" s="2" t="s">
        <v>852</v>
      </c>
      <c r="BV1554" s="2" t="s">
        <v>85</v>
      </c>
      <c r="BW1554" s="2"/>
      <c r="BX1554" s="2"/>
      <c r="BY1554" s="2">
        <v>23957.33</v>
      </c>
      <c r="BZ1554" s="2"/>
      <c r="CA1554" s="2"/>
      <c r="CB1554" s="2"/>
      <c r="CC1554" s="2" t="s">
        <v>149</v>
      </c>
      <c r="CD1554" s="2">
        <v>4051</v>
      </c>
      <c r="CE1554" s="2" t="s">
        <v>86</v>
      </c>
      <c r="CF1554" s="5">
        <v>42663</v>
      </c>
      <c r="CG1554" s="2"/>
      <c r="CH1554" s="2"/>
      <c r="CI1554" s="2">
        <v>1</v>
      </c>
      <c r="CJ1554" s="2">
        <v>1</v>
      </c>
      <c r="CK1554" s="2">
        <v>21</v>
      </c>
      <c r="CL1554" s="2" t="s">
        <v>88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"FES1162507601"</f>
        <v>FES1162507601</v>
      </c>
      <c r="F1555" s="3">
        <v>42661</v>
      </c>
      <c r="G1555" s="2">
        <v>201704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93</v>
      </c>
      <c r="M1555" s="2" t="s">
        <v>94</v>
      </c>
      <c r="N1555" s="2" t="s">
        <v>130</v>
      </c>
      <c r="O1555" s="2" t="s">
        <v>96</v>
      </c>
      <c r="P1555" s="2" t="str">
        <f>"2170531047                    "</f>
        <v xml:space="preserve">2170531047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4.1500000000000004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0.3</v>
      </c>
      <c r="BJ1555" s="2">
        <v>2.4</v>
      </c>
      <c r="BK1555" s="2">
        <v>2.5</v>
      </c>
      <c r="BL1555" s="2">
        <v>50.95</v>
      </c>
      <c r="BM1555" s="2">
        <v>7.13</v>
      </c>
      <c r="BN1555" s="2">
        <v>58.08</v>
      </c>
      <c r="BO1555" s="2">
        <v>58.08</v>
      </c>
      <c r="BP1555" s="2"/>
      <c r="BQ1555" s="2" t="s">
        <v>131</v>
      </c>
      <c r="BR1555" s="2" t="s">
        <v>83</v>
      </c>
      <c r="BS1555" s="3">
        <v>42662</v>
      </c>
      <c r="BT1555" s="4">
        <v>0.375</v>
      </c>
      <c r="BU1555" s="2" t="s">
        <v>132</v>
      </c>
      <c r="BV1555" s="2" t="s">
        <v>85</v>
      </c>
      <c r="BW1555" s="2"/>
      <c r="BX1555" s="2"/>
      <c r="BY1555" s="2">
        <v>11761.2</v>
      </c>
      <c r="BZ1555" s="2"/>
      <c r="CA1555" s="2"/>
      <c r="CB1555" s="2"/>
      <c r="CC1555" s="2" t="s">
        <v>94</v>
      </c>
      <c r="CD1555" s="2">
        <v>4302</v>
      </c>
      <c r="CE1555" s="2" t="s">
        <v>108</v>
      </c>
      <c r="CF1555" s="5">
        <v>42663</v>
      </c>
      <c r="CG1555" s="2"/>
      <c r="CH1555" s="2"/>
      <c r="CI1555" s="2">
        <v>1</v>
      </c>
      <c r="CJ1555" s="2">
        <v>1</v>
      </c>
      <c r="CK1555" s="2">
        <v>21</v>
      </c>
      <c r="CL1555" s="2" t="s">
        <v>88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"FES1162507607"</f>
        <v>FES1162507607</v>
      </c>
      <c r="F1556" s="3">
        <v>42661</v>
      </c>
      <c r="G1556" s="2">
        <v>201704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143</v>
      </c>
      <c r="M1556" s="2" t="s">
        <v>144</v>
      </c>
      <c r="N1556" s="2" t="s">
        <v>273</v>
      </c>
      <c r="O1556" s="2" t="s">
        <v>96</v>
      </c>
      <c r="P1556" s="2" t="str">
        <f>"2170529545                    "</f>
        <v xml:space="preserve">2170529545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3.32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1.9</v>
      </c>
      <c r="BJ1556" s="2">
        <v>2</v>
      </c>
      <c r="BK1556" s="2">
        <v>2</v>
      </c>
      <c r="BL1556" s="2">
        <v>40.76</v>
      </c>
      <c r="BM1556" s="2">
        <v>5.71</v>
      </c>
      <c r="BN1556" s="2">
        <v>46.47</v>
      </c>
      <c r="BO1556" s="2">
        <v>46.47</v>
      </c>
      <c r="BP1556" s="2"/>
      <c r="BQ1556" s="2" t="s">
        <v>274</v>
      </c>
      <c r="BR1556" s="2" t="s">
        <v>83</v>
      </c>
      <c r="BS1556" s="3">
        <v>42662</v>
      </c>
      <c r="BT1556" s="4">
        <v>0.4368055555555555</v>
      </c>
      <c r="BU1556" s="2" t="s">
        <v>1805</v>
      </c>
      <c r="BV1556" s="2" t="s">
        <v>85</v>
      </c>
      <c r="BW1556" s="2"/>
      <c r="BX1556" s="2"/>
      <c r="BY1556" s="2">
        <v>10230.299999999999</v>
      </c>
      <c r="BZ1556" s="2"/>
      <c r="CA1556" s="2" t="s">
        <v>129</v>
      </c>
      <c r="CB1556" s="2"/>
      <c r="CC1556" s="2" t="s">
        <v>144</v>
      </c>
      <c r="CD1556" s="2">
        <v>5201</v>
      </c>
      <c r="CE1556" s="2" t="s">
        <v>108</v>
      </c>
      <c r="CF1556" s="5">
        <v>42664</v>
      </c>
      <c r="CG1556" s="2"/>
      <c r="CH1556" s="2"/>
      <c r="CI1556" s="2">
        <v>1</v>
      </c>
      <c r="CJ1556" s="2">
        <v>1</v>
      </c>
      <c r="CK1556" s="2">
        <v>21</v>
      </c>
      <c r="CL1556" s="2" t="s">
        <v>88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"FES1162507612"</f>
        <v>FES1162507612</v>
      </c>
      <c r="F1557" s="3">
        <v>42661</v>
      </c>
      <c r="G1557" s="2">
        <v>201704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148</v>
      </c>
      <c r="M1557" s="2" t="s">
        <v>149</v>
      </c>
      <c r="N1557" s="2" t="s">
        <v>1057</v>
      </c>
      <c r="O1557" s="2" t="s">
        <v>96</v>
      </c>
      <c r="P1557" s="2" t="str">
        <f>"2170531054                    "</f>
        <v xml:space="preserve">2170531054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3.32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0.5</v>
      </c>
      <c r="BJ1557" s="2">
        <v>0.2</v>
      </c>
      <c r="BK1557" s="2">
        <v>0.5</v>
      </c>
      <c r="BL1557" s="2">
        <v>40.76</v>
      </c>
      <c r="BM1557" s="2">
        <v>5.71</v>
      </c>
      <c r="BN1557" s="2">
        <v>46.47</v>
      </c>
      <c r="BO1557" s="2">
        <v>46.47</v>
      </c>
      <c r="BP1557" s="2"/>
      <c r="BQ1557" s="2" t="s">
        <v>168</v>
      </c>
      <c r="BR1557" s="2" t="s">
        <v>83</v>
      </c>
      <c r="BS1557" s="3">
        <v>42662</v>
      </c>
      <c r="BT1557" s="4">
        <v>0.4375</v>
      </c>
      <c r="BU1557" s="2" t="s">
        <v>433</v>
      </c>
      <c r="BV1557" s="2" t="s">
        <v>85</v>
      </c>
      <c r="BW1557" s="2"/>
      <c r="BX1557" s="2"/>
      <c r="BY1557" s="2">
        <v>1200</v>
      </c>
      <c r="BZ1557" s="2"/>
      <c r="CA1557" s="2"/>
      <c r="CB1557" s="2"/>
      <c r="CC1557" s="2" t="s">
        <v>149</v>
      </c>
      <c r="CD1557" s="2">
        <v>4067</v>
      </c>
      <c r="CE1557" s="2" t="s">
        <v>108</v>
      </c>
      <c r="CF1557" s="5">
        <v>42663</v>
      </c>
      <c r="CG1557" s="2"/>
      <c r="CH1557" s="2"/>
      <c r="CI1557" s="2">
        <v>1</v>
      </c>
      <c r="CJ1557" s="2">
        <v>1</v>
      </c>
      <c r="CK1557" s="2">
        <v>21</v>
      </c>
      <c r="CL1557" s="2" t="s">
        <v>88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"FES1162507577"</f>
        <v>FES1162507577</v>
      </c>
      <c r="F1558" s="3">
        <v>42661</v>
      </c>
      <c r="G1558" s="2">
        <v>201704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98</v>
      </c>
      <c r="M1558" s="2" t="s">
        <v>99</v>
      </c>
      <c r="N1558" s="2" t="s">
        <v>1098</v>
      </c>
      <c r="O1558" s="2" t="s">
        <v>96</v>
      </c>
      <c r="P1558" s="2" t="str">
        <f>"2170531013                    "</f>
        <v xml:space="preserve">2170531013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12.44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7.5</v>
      </c>
      <c r="BJ1558" s="2">
        <v>7.1</v>
      </c>
      <c r="BK1558" s="2">
        <v>7.5</v>
      </c>
      <c r="BL1558" s="2">
        <v>152.84</v>
      </c>
      <c r="BM1558" s="2">
        <v>21.4</v>
      </c>
      <c r="BN1558" s="2">
        <v>174.24</v>
      </c>
      <c r="BO1558" s="2">
        <v>174.24</v>
      </c>
      <c r="BP1558" s="2"/>
      <c r="BQ1558" s="2" t="s">
        <v>1099</v>
      </c>
      <c r="BR1558" s="2" t="s">
        <v>83</v>
      </c>
      <c r="BS1558" s="3">
        <v>42662</v>
      </c>
      <c r="BT1558" s="4">
        <v>0.31944444444444448</v>
      </c>
      <c r="BU1558" s="2" t="s">
        <v>603</v>
      </c>
      <c r="BV1558" s="2" t="s">
        <v>85</v>
      </c>
      <c r="BW1558" s="2"/>
      <c r="BX1558" s="2"/>
      <c r="BY1558" s="2">
        <v>35386.94</v>
      </c>
      <c r="BZ1558" s="2"/>
      <c r="CA1558" s="2" t="s">
        <v>107</v>
      </c>
      <c r="CB1558" s="2"/>
      <c r="CC1558" s="2" t="s">
        <v>99</v>
      </c>
      <c r="CD1558" s="2">
        <v>6012</v>
      </c>
      <c r="CE1558" s="2" t="s">
        <v>86</v>
      </c>
      <c r="CF1558" s="5">
        <v>42662</v>
      </c>
      <c r="CG1558" s="2"/>
      <c r="CH1558" s="2"/>
      <c r="CI1558" s="2">
        <v>1</v>
      </c>
      <c r="CJ1558" s="2">
        <v>1</v>
      </c>
      <c r="CK1558" s="2">
        <v>21</v>
      </c>
      <c r="CL1558" s="2" t="s">
        <v>88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"FES1162507606"</f>
        <v>FES1162507606</v>
      </c>
      <c r="F1559" s="3">
        <v>42661</v>
      </c>
      <c r="G1559" s="2">
        <v>201704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143</v>
      </c>
      <c r="M1559" s="2" t="s">
        <v>144</v>
      </c>
      <c r="N1559" s="2" t="s">
        <v>1712</v>
      </c>
      <c r="O1559" s="2" t="s">
        <v>96</v>
      </c>
      <c r="P1559" s="2" t="str">
        <f>"2170531057                    "</f>
        <v xml:space="preserve">2170531057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4.9800000000000004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2.2000000000000002</v>
      </c>
      <c r="BJ1559" s="2">
        <v>2.8</v>
      </c>
      <c r="BK1559" s="2">
        <v>3</v>
      </c>
      <c r="BL1559" s="2">
        <v>61.14</v>
      </c>
      <c r="BM1559" s="2">
        <v>8.56</v>
      </c>
      <c r="BN1559" s="2">
        <v>69.7</v>
      </c>
      <c r="BO1559" s="2">
        <v>69.7</v>
      </c>
      <c r="BP1559" s="2"/>
      <c r="BQ1559" s="2" t="s">
        <v>168</v>
      </c>
      <c r="BR1559" s="2" t="s">
        <v>83</v>
      </c>
      <c r="BS1559" s="3">
        <v>42662</v>
      </c>
      <c r="BT1559" s="4">
        <v>0.41666666666666669</v>
      </c>
      <c r="BU1559" s="2" t="s">
        <v>1713</v>
      </c>
      <c r="BV1559" s="2" t="s">
        <v>85</v>
      </c>
      <c r="BW1559" s="2"/>
      <c r="BX1559" s="2"/>
      <c r="BY1559" s="2">
        <v>13911.55</v>
      </c>
      <c r="BZ1559" s="2"/>
      <c r="CA1559" s="2"/>
      <c r="CB1559" s="2"/>
      <c r="CC1559" s="2" t="s">
        <v>144</v>
      </c>
      <c r="CD1559" s="2">
        <v>5201</v>
      </c>
      <c r="CE1559" s="2" t="s">
        <v>86</v>
      </c>
      <c r="CF1559" s="5">
        <v>42664</v>
      </c>
      <c r="CG1559" s="2"/>
      <c r="CH1559" s="2"/>
      <c r="CI1559" s="2">
        <v>1</v>
      </c>
      <c r="CJ1559" s="2">
        <v>1</v>
      </c>
      <c r="CK1559" s="2">
        <v>21</v>
      </c>
      <c r="CL1559" s="2" t="s">
        <v>88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"FES1162507608"</f>
        <v>FES1162507608</v>
      </c>
      <c r="F1560" s="3">
        <v>42661</v>
      </c>
      <c r="G1560" s="2">
        <v>201704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143</v>
      </c>
      <c r="M1560" s="2" t="s">
        <v>144</v>
      </c>
      <c r="N1560" s="2" t="s">
        <v>273</v>
      </c>
      <c r="O1560" s="2" t="s">
        <v>96</v>
      </c>
      <c r="P1560" s="2" t="str">
        <f>"2170530067                    "</f>
        <v xml:space="preserve">2170530067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3.32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0.4</v>
      </c>
      <c r="BJ1560" s="2">
        <v>1.9</v>
      </c>
      <c r="BK1560" s="2">
        <v>2</v>
      </c>
      <c r="BL1560" s="2">
        <v>40.76</v>
      </c>
      <c r="BM1560" s="2">
        <v>5.71</v>
      </c>
      <c r="BN1560" s="2">
        <v>46.47</v>
      </c>
      <c r="BO1560" s="2">
        <v>46.47</v>
      </c>
      <c r="BP1560" s="2"/>
      <c r="BQ1560" s="2" t="s">
        <v>274</v>
      </c>
      <c r="BR1560" s="2" t="s">
        <v>83</v>
      </c>
      <c r="BS1560" s="3">
        <v>42662</v>
      </c>
      <c r="BT1560" s="4">
        <v>0.4368055555555555</v>
      </c>
      <c r="BU1560" s="2" t="s">
        <v>1805</v>
      </c>
      <c r="BV1560" s="2" t="s">
        <v>85</v>
      </c>
      <c r="BW1560" s="2"/>
      <c r="BX1560" s="2"/>
      <c r="BY1560" s="2">
        <v>9428.16</v>
      </c>
      <c r="BZ1560" s="2"/>
      <c r="CA1560" s="2" t="s">
        <v>129</v>
      </c>
      <c r="CB1560" s="2"/>
      <c r="CC1560" s="2" t="s">
        <v>144</v>
      </c>
      <c r="CD1560" s="2">
        <v>5201</v>
      </c>
      <c r="CE1560" s="2" t="s">
        <v>108</v>
      </c>
      <c r="CF1560" s="5">
        <v>42664</v>
      </c>
      <c r="CG1560" s="2"/>
      <c r="CH1560" s="2"/>
      <c r="CI1560" s="2">
        <v>1</v>
      </c>
      <c r="CJ1560" s="2">
        <v>1</v>
      </c>
      <c r="CK1560" s="2">
        <v>21</v>
      </c>
      <c r="CL1560" s="2" t="s">
        <v>88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"FES1162507583"</f>
        <v>FES1162507583</v>
      </c>
      <c r="F1561" s="3">
        <v>42661</v>
      </c>
      <c r="G1561" s="2">
        <v>201704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137</v>
      </c>
      <c r="M1561" s="2" t="s">
        <v>138</v>
      </c>
      <c r="N1561" s="2" t="s">
        <v>526</v>
      </c>
      <c r="O1561" s="2" t="s">
        <v>96</v>
      </c>
      <c r="P1561" s="2" t="str">
        <f>"2170531029                    "</f>
        <v xml:space="preserve">2170531029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3.32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1</v>
      </c>
      <c r="BJ1561" s="2">
        <v>0.2</v>
      </c>
      <c r="BK1561" s="2">
        <v>1</v>
      </c>
      <c r="BL1561" s="2">
        <v>40.76</v>
      </c>
      <c r="BM1561" s="2">
        <v>5.71</v>
      </c>
      <c r="BN1561" s="2">
        <v>46.47</v>
      </c>
      <c r="BO1561" s="2">
        <v>46.47</v>
      </c>
      <c r="BP1561" s="2"/>
      <c r="BQ1561" s="2" t="s">
        <v>117</v>
      </c>
      <c r="BR1561" s="2" t="s">
        <v>83</v>
      </c>
      <c r="BS1561" s="3">
        <v>42662</v>
      </c>
      <c r="BT1561" s="4">
        <v>0.35069444444444442</v>
      </c>
      <c r="BU1561" s="2" t="s">
        <v>1806</v>
      </c>
      <c r="BV1561" s="2"/>
      <c r="BW1561" s="2"/>
      <c r="BX1561" s="2"/>
      <c r="BY1561" s="2">
        <v>1200</v>
      </c>
      <c r="BZ1561" s="2"/>
      <c r="CA1561" s="2" t="s">
        <v>1091</v>
      </c>
      <c r="CB1561" s="2"/>
      <c r="CC1561" s="2" t="s">
        <v>138</v>
      </c>
      <c r="CD1561" s="2">
        <v>3201</v>
      </c>
      <c r="CE1561" s="2" t="s">
        <v>108</v>
      </c>
      <c r="CF1561" s="5">
        <v>42662</v>
      </c>
      <c r="CG1561" s="2"/>
      <c r="CH1561" s="2"/>
      <c r="CI1561" s="2">
        <v>0</v>
      </c>
      <c r="CJ1561" s="2">
        <v>0</v>
      </c>
      <c r="CK1561" s="2">
        <v>21</v>
      </c>
      <c r="CL1561" s="2" t="s">
        <v>88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"FES1162507589"</f>
        <v>FES1162507589</v>
      </c>
      <c r="F1562" s="3">
        <v>42661</v>
      </c>
      <c r="G1562" s="2">
        <v>201704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98</v>
      </c>
      <c r="M1562" s="2" t="s">
        <v>99</v>
      </c>
      <c r="N1562" s="2" t="s">
        <v>109</v>
      </c>
      <c r="O1562" s="2" t="s">
        <v>96</v>
      </c>
      <c r="P1562" s="2" t="str">
        <f>"2170531027                    "</f>
        <v xml:space="preserve">2170531027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3.32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1</v>
      </c>
      <c r="BJ1562" s="2">
        <v>0.2</v>
      </c>
      <c r="BK1562" s="2">
        <v>1</v>
      </c>
      <c r="BL1562" s="2">
        <v>40.76</v>
      </c>
      <c r="BM1562" s="2">
        <v>5.71</v>
      </c>
      <c r="BN1562" s="2">
        <v>46.47</v>
      </c>
      <c r="BO1562" s="2">
        <v>46.47</v>
      </c>
      <c r="BP1562" s="2"/>
      <c r="BQ1562" s="2" t="s">
        <v>110</v>
      </c>
      <c r="BR1562" s="2" t="s">
        <v>83</v>
      </c>
      <c r="BS1562" s="3">
        <v>42662</v>
      </c>
      <c r="BT1562" s="4">
        <v>0.41666666666666669</v>
      </c>
      <c r="BU1562" s="2" t="s">
        <v>629</v>
      </c>
      <c r="BV1562" s="2" t="s">
        <v>85</v>
      </c>
      <c r="BW1562" s="2"/>
      <c r="BX1562" s="2"/>
      <c r="BY1562" s="2">
        <v>1200</v>
      </c>
      <c r="BZ1562" s="2"/>
      <c r="CA1562" s="2"/>
      <c r="CB1562" s="2"/>
      <c r="CC1562" s="2" t="s">
        <v>99</v>
      </c>
      <c r="CD1562" s="2">
        <v>6001</v>
      </c>
      <c r="CE1562" s="2" t="s">
        <v>108</v>
      </c>
      <c r="CF1562" s="5">
        <v>42662</v>
      </c>
      <c r="CG1562" s="2"/>
      <c r="CH1562" s="2"/>
      <c r="CI1562" s="2">
        <v>1</v>
      </c>
      <c r="CJ1562" s="2">
        <v>1</v>
      </c>
      <c r="CK1562" s="2">
        <v>21</v>
      </c>
      <c r="CL1562" s="2" t="s">
        <v>88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"FES1162507603"</f>
        <v>FES1162507603</v>
      </c>
      <c r="F1563" s="3">
        <v>42661</v>
      </c>
      <c r="G1563" s="2">
        <v>201704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98</v>
      </c>
      <c r="M1563" s="2" t="s">
        <v>99</v>
      </c>
      <c r="N1563" s="2" t="s">
        <v>1752</v>
      </c>
      <c r="O1563" s="2" t="s">
        <v>96</v>
      </c>
      <c r="P1563" s="2" t="str">
        <f>"2170531050                    "</f>
        <v xml:space="preserve">2170531050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3.32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1</v>
      </c>
      <c r="BJ1563" s="2">
        <v>0.2</v>
      </c>
      <c r="BK1563" s="2">
        <v>1</v>
      </c>
      <c r="BL1563" s="2">
        <v>40.76</v>
      </c>
      <c r="BM1563" s="2">
        <v>5.71</v>
      </c>
      <c r="BN1563" s="2">
        <v>46.47</v>
      </c>
      <c r="BO1563" s="2">
        <v>46.47</v>
      </c>
      <c r="BP1563" s="2"/>
      <c r="BQ1563" s="2" t="s">
        <v>91</v>
      </c>
      <c r="BR1563" s="2" t="s">
        <v>83</v>
      </c>
      <c r="BS1563" s="3">
        <v>42662</v>
      </c>
      <c r="BT1563" s="4">
        <v>0.4291666666666667</v>
      </c>
      <c r="BU1563" s="2" t="s">
        <v>1807</v>
      </c>
      <c r="BV1563" s="2" t="s">
        <v>85</v>
      </c>
      <c r="BW1563" s="2"/>
      <c r="BX1563" s="2"/>
      <c r="BY1563" s="2">
        <v>1200</v>
      </c>
      <c r="BZ1563" s="2"/>
      <c r="CA1563" s="2" t="s">
        <v>468</v>
      </c>
      <c r="CB1563" s="2"/>
      <c r="CC1563" s="2" t="s">
        <v>99</v>
      </c>
      <c r="CD1563" s="2">
        <v>6045</v>
      </c>
      <c r="CE1563" s="2" t="s">
        <v>108</v>
      </c>
      <c r="CF1563" s="5">
        <v>42663</v>
      </c>
      <c r="CG1563" s="2"/>
      <c r="CH1563" s="2"/>
      <c r="CI1563" s="2">
        <v>1</v>
      </c>
      <c r="CJ1563" s="2">
        <v>1</v>
      </c>
      <c r="CK1563" s="2">
        <v>21</v>
      </c>
      <c r="CL1563" s="2" t="s">
        <v>88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"FES1162507537"</f>
        <v>FES1162507537</v>
      </c>
      <c r="F1564" s="3">
        <v>42661</v>
      </c>
      <c r="G1564" s="2">
        <v>201704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148</v>
      </c>
      <c r="M1564" s="2" t="s">
        <v>149</v>
      </c>
      <c r="N1564" s="2" t="s">
        <v>809</v>
      </c>
      <c r="O1564" s="2" t="s">
        <v>96</v>
      </c>
      <c r="P1564" s="2" t="str">
        <f>"2170530701                    "</f>
        <v xml:space="preserve">2170530701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25.71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15.3</v>
      </c>
      <c r="BJ1564" s="2">
        <v>9.1</v>
      </c>
      <c r="BK1564" s="2">
        <v>15.5</v>
      </c>
      <c r="BL1564" s="2">
        <v>315.87</v>
      </c>
      <c r="BM1564" s="2">
        <v>44.22</v>
      </c>
      <c r="BN1564" s="2">
        <v>360.09</v>
      </c>
      <c r="BO1564" s="2">
        <v>360.09</v>
      </c>
      <c r="BP1564" s="2"/>
      <c r="BQ1564" s="2" t="s">
        <v>91</v>
      </c>
      <c r="BR1564" s="2" t="s">
        <v>83</v>
      </c>
      <c r="BS1564" s="3">
        <v>42662</v>
      </c>
      <c r="BT1564" s="4">
        <v>0.3125</v>
      </c>
      <c r="BU1564" s="2" t="s">
        <v>1808</v>
      </c>
      <c r="BV1564" s="2" t="s">
        <v>85</v>
      </c>
      <c r="BW1564" s="2"/>
      <c r="BX1564" s="2"/>
      <c r="BY1564" s="2">
        <v>45582.67</v>
      </c>
      <c r="BZ1564" s="2"/>
      <c r="CA1564" s="2"/>
      <c r="CB1564" s="2"/>
      <c r="CC1564" s="2" t="s">
        <v>149</v>
      </c>
      <c r="CD1564" s="2">
        <v>4094</v>
      </c>
      <c r="CE1564" s="2" t="s">
        <v>86</v>
      </c>
      <c r="CF1564" s="5">
        <v>42663</v>
      </c>
      <c r="CG1564" s="2"/>
      <c r="CH1564" s="2"/>
      <c r="CI1564" s="2">
        <v>1</v>
      </c>
      <c r="CJ1564" s="2">
        <v>1</v>
      </c>
      <c r="CK1564" s="2">
        <v>21</v>
      </c>
      <c r="CL1564" s="2" t="s">
        <v>88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"FES1162507516"</f>
        <v>FES1162507516</v>
      </c>
      <c r="F1565" s="3">
        <v>42661</v>
      </c>
      <c r="G1565" s="2">
        <v>201704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377</v>
      </c>
      <c r="M1565" s="2" t="s">
        <v>378</v>
      </c>
      <c r="N1565" s="2" t="s">
        <v>379</v>
      </c>
      <c r="O1565" s="2" t="s">
        <v>96</v>
      </c>
      <c r="P1565" s="2" t="str">
        <f>"2170530949                    "</f>
        <v xml:space="preserve">2170530949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3.32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0.6</v>
      </c>
      <c r="BJ1565" s="2">
        <v>1.3</v>
      </c>
      <c r="BK1565" s="2">
        <v>1.5</v>
      </c>
      <c r="BL1565" s="2">
        <v>40.76</v>
      </c>
      <c r="BM1565" s="2">
        <v>5.71</v>
      </c>
      <c r="BN1565" s="2">
        <v>46.47</v>
      </c>
      <c r="BO1565" s="2">
        <v>46.47</v>
      </c>
      <c r="BP1565" s="2"/>
      <c r="BQ1565" s="2" t="s">
        <v>382</v>
      </c>
      <c r="BR1565" s="2" t="s">
        <v>83</v>
      </c>
      <c r="BS1565" s="3">
        <v>42662</v>
      </c>
      <c r="BT1565" s="4">
        <v>0.4284722222222222</v>
      </c>
      <c r="BU1565" s="2" t="s">
        <v>1362</v>
      </c>
      <c r="BV1565" s="2" t="s">
        <v>85</v>
      </c>
      <c r="BW1565" s="2"/>
      <c r="BX1565" s="2"/>
      <c r="BY1565" s="2">
        <v>6266.3</v>
      </c>
      <c r="BZ1565" s="2"/>
      <c r="CA1565" s="2" t="s">
        <v>535</v>
      </c>
      <c r="CB1565" s="2"/>
      <c r="CC1565" s="2" t="s">
        <v>378</v>
      </c>
      <c r="CD1565" s="2">
        <v>6536</v>
      </c>
      <c r="CE1565" s="2" t="s">
        <v>108</v>
      </c>
      <c r="CF1565" s="5">
        <v>42662</v>
      </c>
      <c r="CG1565" s="2"/>
      <c r="CH1565" s="2"/>
      <c r="CI1565" s="2">
        <v>1</v>
      </c>
      <c r="CJ1565" s="2">
        <v>1</v>
      </c>
      <c r="CK1565" s="2">
        <v>21</v>
      </c>
      <c r="CL1565" s="2" t="s">
        <v>88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"FES1162507543"</f>
        <v>FES1162507543</v>
      </c>
      <c r="F1566" s="3">
        <v>42661</v>
      </c>
      <c r="G1566" s="2">
        <v>201704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160</v>
      </c>
      <c r="M1566" s="2" t="s">
        <v>161</v>
      </c>
      <c r="N1566" s="2" t="s">
        <v>1809</v>
      </c>
      <c r="O1566" s="2" t="s">
        <v>96</v>
      </c>
      <c r="P1566" s="2" t="str">
        <f>"2170530974                    "</f>
        <v xml:space="preserve">2170530974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3.32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0.5</v>
      </c>
      <c r="BJ1566" s="2">
        <v>0.4</v>
      </c>
      <c r="BK1566" s="2">
        <v>0.5</v>
      </c>
      <c r="BL1566" s="2">
        <v>40.76</v>
      </c>
      <c r="BM1566" s="2">
        <v>5.71</v>
      </c>
      <c r="BN1566" s="2">
        <v>46.47</v>
      </c>
      <c r="BO1566" s="2">
        <v>46.47</v>
      </c>
      <c r="BP1566" s="2"/>
      <c r="BQ1566" s="2" t="s">
        <v>602</v>
      </c>
      <c r="BR1566" s="2" t="s">
        <v>83</v>
      </c>
      <c r="BS1566" s="3">
        <v>42662</v>
      </c>
      <c r="BT1566" s="4">
        <v>0.41666666666666669</v>
      </c>
      <c r="BU1566" s="2" t="s">
        <v>1696</v>
      </c>
      <c r="BV1566" s="2" t="s">
        <v>85</v>
      </c>
      <c r="BW1566" s="2"/>
      <c r="BX1566" s="2"/>
      <c r="BY1566" s="2">
        <v>2237.25</v>
      </c>
      <c r="BZ1566" s="2"/>
      <c r="CA1566" s="2"/>
      <c r="CB1566" s="2"/>
      <c r="CC1566" s="2" t="s">
        <v>161</v>
      </c>
      <c r="CD1566" s="2">
        <v>7405</v>
      </c>
      <c r="CE1566" s="2" t="s">
        <v>108</v>
      </c>
      <c r="CF1566" s="5">
        <v>42663</v>
      </c>
      <c r="CG1566" s="2"/>
      <c r="CH1566" s="2"/>
      <c r="CI1566" s="2">
        <v>1</v>
      </c>
      <c r="CJ1566" s="2">
        <v>1</v>
      </c>
      <c r="CK1566" s="2">
        <v>21</v>
      </c>
      <c r="CL1566" s="2" t="s">
        <v>88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"FES1162507591"</f>
        <v>FES1162507591</v>
      </c>
      <c r="F1567" s="3">
        <v>42661</v>
      </c>
      <c r="G1567" s="2">
        <v>201704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98</v>
      </c>
      <c r="M1567" s="2" t="s">
        <v>99</v>
      </c>
      <c r="N1567" s="2" t="s">
        <v>109</v>
      </c>
      <c r="O1567" s="2" t="s">
        <v>96</v>
      </c>
      <c r="P1567" s="2" t="str">
        <f>"2170531030                    "</f>
        <v xml:space="preserve">2170531030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3.32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2</v>
      </c>
      <c r="BJ1567" s="2">
        <v>0.2</v>
      </c>
      <c r="BK1567" s="2">
        <v>2</v>
      </c>
      <c r="BL1567" s="2">
        <v>40.76</v>
      </c>
      <c r="BM1567" s="2">
        <v>5.71</v>
      </c>
      <c r="BN1567" s="2">
        <v>46.47</v>
      </c>
      <c r="BO1567" s="2">
        <v>46.47</v>
      </c>
      <c r="BP1567" s="2"/>
      <c r="BQ1567" s="2" t="s">
        <v>110</v>
      </c>
      <c r="BR1567" s="2" t="s">
        <v>83</v>
      </c>
      <c r="BS1567" s="3">
        <v>42662</v>
      </c>
      <c r="BT1567" s="4">
        <v>0.41666666666666669</v>
      </c>
      <c r="BU1567" s="2" t="s">
        <v>629</v>
      </c>
      <c r="BV1567" s="2" t="s">
        <v>85</v>
      </c>
      <c r="BW1567" s="2"/>
      <c r="BX1567" s="2"/>
      <c r="BY1567" s="2">
        <v>1200</v>
      </c>
      <c r="BZ1567" s="2"/>
      <c r="CA1567" s="2"/>
      <c r="CB1567" s="2"/>
      <c r="CC1567" s="2" t="s">
        <v>99</v>
      </c>
      <c r="CD1567" s="2">
        <v>6001</v>
      </c>
      <c r="CE1567" s="2" t="s">
        <v>108</v>
      </c>
      <c r="CF1567" s="5">
        <v>42662</v>
      </c>
      <c r="CG1567" s="2"/>
      <c r="CH1567" s="2"/>
      <c r="CI1567" s="2">
        <v>1</v>
      </c>
      <c r="CJ1567" s="2">
        <v>1</v>
      </c>
      <c r="CK1567" s="2">
        <v>21</v>
      </c>
      <c r="CL1567" s="2" t="s">
        <v>88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"FES1162507496"</f>
        <v>FES1162507496</v>
      </c>
      <c r="F1568" s="3">
        <v>42661</v>
      </c>
      <c r="G1568" s="2">
        <v>201704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160</v>
      </c>
      <c r="M1568" s="2" t="s">
        <v>161</v>
      </c>
      <c r="N1568" s="2" t="s">
        <v>176</v>
      </c>
      <c r="O1568" s="2" t="s">
        <v>96</v>
      </c>
      <c r="P1568" s="2" t="str">
        <f>"2170530932                    "</f>
        <v xml:space="preserve">2170530932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4.1500000000000004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2.2999999999999998</v>
      </c>
      <c r="BJ1568" s="2">
        <v>1.6</v>
      </c>
      <c r="BK1568" s="2">
        <v>2.5</v>
      </c>
      <c r="BL1568" s="2">
        <v>50.95</v>
      </c>
      <c r="BM1568" s="2">
        <v>7.13</v>
      </c>
      <c r="BN1568" s="2">
        <v>58.08</v>
      </c>
      <c r="BO1568" s="2">
        <v>58.08</v>
      </c>
      <c r="BP1568" s="2"/>
      <c r="BQ1568" s="2" t="s">
        <v>258</v>
      </c>
      <c r="BR1568" s="2" t="s">
        <v>83</v>
      </c>
      <c r="BS1568" s="3">
        <v>42662</v>
      </c>
      <c r="BT1568" s="4">
        <v>0.41666666666666669</v>
      </c>
      <c r="BU1568" s="2" t="s">
        <v>1697</v>
      </c>
      <c r="BV1568" s="2" t="s">
        <v>85</v>
      </c>
      <c r="BW1568" s="2"/>
      <c r="BX1568" s="2"/>
      <c r="BY1568" s="2">
        <v>8134.5</v>
      </c>
      <c r="BZ1568" s="2"/>
      <c r="CA1568" s="2" t="s">
        <v>129</v>
      </c>
      <c r="CB1568" s="2"/>
      <c r="CC1568" s="2" t="s">
        <v>161</v>
      </c>
      <c r="CD1568" s="2">
        <v>7405</v>
      </c>
      <c r="CE1568" s="2" t="s">
        <v>86</v>
      </c>
      <c r="CF1568" s="5">
        <v>42663</v>
      </c>
      <c r="CG1568" s="2"/>
      <c r="CH1568" s="2"/>
      <c r="CI1568" s="2">
        <v>1</v>
      </c>
      <c r="CJ1568" s="2">
        <v>1</v>
      </c>
      <c r="CK1568" s="2">
        <v>21</v>
      </c>
      <c r="CL1568" s="2" t="s">
        <v>88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"FES1162507555"</f>
        <v>FES1162507555</v>
      </c>
      <c r="F1569" s="3">
        <v>42661</v>
      </c>
      <c r="G1569" s="2">
        <v>201704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1567</v>
      </c>
      <c r="M1569" s="2" t="s">
        <v>1568</v>
      </c>
      <c r="N1569" s="2" t="s">
        <v>312</v>
      </c>
      <c r="O1569" s="2" t="s">
        <v>96</v>
      </c>
      <c r="P1569" s="2" t="str">
        <f>"2170530988                    "</f>
        <v xml:space="preserve">2170530988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6.43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0.5</v>
      </c>
      <c r="BJ1569" s="2">
        <v>0.2</v>
      </c>
      <c r="BK1569" s="2">
        <v>0.5</v>
      </c>
      <c r="BL1569" s="2">
        <v>78.97</v>
      </c>
      <c r="BM1569" s="2">
        <v>11.06</v>
      </c>
      <c r="BN1569" s="2">
        <v>90.03</v>
      </c>
      <c r="BO1569" s="2">
        <v>90.03</v>
      </c>
      <c r="BP1569" s="2"/>
      <c r="BQ1569" s="2" t="s">
        <v>117</v>
      </c>
      <c r="BR1569" s="2" t="s">
        <v>83</v>
      </c>
      <c r="BS1569" s="3">
        <v>42662</v>
      </c>
      <c r="BT1569" s="4">
        <v>0.45833333333333331</v>
      </c>
      <c r="BU1569" s="2" t="s">
        <v>1810</v>
      </c>
      <c r="BV1569" s="2" t="s">
        <v>85</v>
      </c>
      <c r="BW1569" s="2"/>
      <c r="BX1569" s="2"/>
      <c r="BY1569" s="2">
        <v>1200</v>
      </c>
      <c r="BZ1569" s="2"/>
      <c r="CA1569" s="2"/>
      <c r="CB1569" s="2"/>
      <c r="CC1569" s="2" t="s">
        <v>1568</v>
      </c>
      <c r="CD1569" s="2">
        <v>4449</v>
      </c>
      <c r="CE1569" s="2" t="s">
        <v>108</v>
      </c>
      <c r="CF1569" s="5">
        <v>42663</v>
      </c>
      <c r="CG1569" s="2"/>
      <c r="CH1569" s="2"/>
      <c r="CI1569" s="2">
        <v>1</v>
      </c>
      <c r="CJ1569" s="2">
        <v>1</v>
      </c>
      <c r="CK1569" s="2">
        <v>23</v>
      </c>
      <c r="CL1569" s="2" t="s">
        <v>88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"FES1162507587"</f>
        <v>FES1162507587</v>
      </c>
      <c r="F1570" s="3">
        <v>42661</v>
      </c>
      <c r="G1570" s="2">
        <v>201704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253</v>
      </c>
      <c r="M1570" s="2" t="s">
        <v>254</v>
      </c>
      <c r="N1570" s="2" t="s">
        <v>255</v>
      </c>
      <c r="O1570" s="2" t="s">
        <v>96</v>
      </c>
      <c r="P1570" s="2" t="str">
        <f>"2170530976                    "</f>
        <v xml:space="preserve">2170530976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6.43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0.4</v>
      </c>
      <c r="BJ1570" s="2">
        <v>1</v>
      </c>
      <c r="BK1570" s="2">
        <v>1</v>
      </c>
      <c r="BL1570" s="2">
        <v>78.97</v>
      </c>
      <c r="BM1570" s="2">
        <v>11.06</v>
      </c>
      <c r="BN1570" s="2">
        <v>90.03</v>
      </c>
      <c r="BO1570" s="2">
        <v>90.03</v>
      </c>
      <c r="BP1570" s="2"/>
      <c r="BQ1570" s="2" t="s">
        <v>117</v>
      </c>
      <c r="BR1570" s="2" t="s">
        <v>83</v>
      </c>
      <c r="BS1570" s="3">
        <v>42663</v>
      </c>
      <c r="BT1570" s="4">
        <v>0.52083333333333337</v>
      </c>
      <c r="BU1570" s="2" t="s">
        <v>974</v>
      </c>
      <c r="BV1570" s="2" t="s">
        <v>85</v>
      </c>
      <c r="BW1570" s="2"/>
      <c r="BX1570" s="2"/>
      <c r="BY1570" s="2">
        <v>5205.3599999999997</v>
      </c>
      <c r="BZ1570" s="2"/>
      <c r="CA1570" s="2"/>
      <c r="CB1570" s="2"/>
      <c r="CC1570" s="2" t="s">
        <v>254</v>
      </c>
      <c r="CD1570" s="2">
        <v>3370</v>
      </c>
      <c r="CE1570" s="2" t="s">
        <v>86</v>
      </c>
      <c r="CF1570" s="5">
        <v>42667</v>
      </c>
      <c r="CG1570" s="2"/>
      <c r="CH1570" s="2"/>
      <c r="CI1570" s="2">
        <v>3</v>
      </c>
      <c r="CJ1570" s="2">
        <v>2</v>
      </c>
      <c r="CK1570" s="2">
        <v>23</v>
      </c>
      <c r="CL1570" s="2" t="s">
        <v>88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"FES1162507605"</f>
        <v>FES1162507605</v>
      </c>
      <c r="F1571" s="3">
        <v>42661</v>
      </c>
      <c r="G1571" s="2">
        <v>201704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143</v>
      </c>
      <c r="M1571" s="2" t="s">
        <v>144</v>
      </c>
      <c r="N1571" s="2" t="s">
        <v>317</v>
      </c>
      <c r="O1571" s="2" t="s">
        <v>96</v>
      </c>
      <c r="P1571" s="2" t="str">
        <f>"2170531056                    "</f>
        <v xml:space="preserve">2170531056 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6.63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3.8</v>
      </c>
      <c r="BJ1571" s="2">
        <v>2.5</v>
      </c>
      <c r="BK1571" s="2">
        <v>4</v>
      </c>
      <c r="BL1571" s="2">
        <v>81.510000000000005</v>
      </c>
      <c r="BM1571" s="2">
        <v>11.41</v>
      </c>
      <c r="BN1571" s="2">
        <v>92.92</v>
      </c>
      <c r="BO1571" s="2">
        <v>92.92</v>
      </c>
      <c r="BP1571" s="2"/>
      <c r="BQ1571" s="2" t="s">
        <v>318</v>
      </c>
      <c r="BR1571" s="2" t="s">
        <v>83</v>
      </c>
      <c r="BS1571" s="3">
        <v>42662</v>
      </c>
      <c r="BT1571" s="4">
        <v>0.41666666666666669</v>
      </c>
      <c r="BU1571" s="2" t="s">
        <v>1811</v>
      </c>
      <c r="BV1571" s="2"/>
      <c r="BW1571" s="2"/>
      <c r="BX1571" s="2"/>
      <c r="BY1571" s="2">
        <v>12685.4</v>
      </c>
      <c r="BZ1571" s="2"/>
      <c r="CA1571" s="2" t="s">
        <v>129</v>
      </c>
      <c r="CB1571" s="2"/>
      <c r="CC1571" s="2" t="s">
        <v>144</v>
      </c>
      <c r="CD1571" s="2">
        <v>5200</v>
      </c>
      <c r="CE1571" s="2" t="s">
        <v>86</v>
      </c>
      <c r="CF1571" s="5">
        <v>42664</v>
      </c>
      <c r="CG1571" s="2"/>
      <c r="CH1571" s="2"/>
      <c r="CI1571" s="2">
        <v>0</v>
      </c>
      <c r="CJ1571" s="2">
        <v>0</v>
      </c>
      <c r="CK1571" s="2">
        <v>21</v>
      </c>
      <c r="CL1571" s="2" t="s">
        <v>88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"FES1162507618"</f>
        <v>FES1162507618</v>
      </c>
      <c r="F1572" s="3">
        <v>42661</v>
      </c>
      <c r="G1572" s="2">
        <v>201704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153</v>
      </c>
      <c r="M1572" s="2" t="s">
        <v>153</v>
      </c>
      <c r="N1572" s="2" t="s">
        <v>343</v>
      </c>
      <c r="O1572" s="2" t="s">
        <v>96</v>
      </c>
      <c r="P1572" s="2" t="str">
        <f>"2170531067                    "</f>
        <v xml:space="preserve">2170531067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3.32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0.5</v>
      </c>
      <c r="BJ1572" s="2">
        <v>0.2</v>
      </c>
      <c r="BK1572" s="2">
        <v>0.5</v>
      </c>
      <c r="BL1572" s="2">
        <v>40.76</v>
      </c>
      <c r="BM1572" s="2">
        <v>5.71</v>
      </c>
      <c r="BN1572" s="2">
        <v>46.47</v>
      </c>
      <c r="BO1572" s="2">
        <v>46.47</v>
      </c>
      <c r="BP1572" s="2"/>
      <c r="BQ1572" s="2" t="s">
        <v>344</v>
      </c>
      <c r="BR1572" s="2" t="s">
        <v>83</v>
      </c>
      <c r="BS1572" s="3">
        <v>42662</v>
      </c>
      <c r="BT1572" s="4">
        <v>0.5</v>
      </c>
      <c r="BU1572" s="2" t="s">
        <v>630</v>
      </c>
      <c r="BV1572" s="2" t="s">
        <v>85</v>
      </c>
      <c r="BW1572" s="2"/>
      <c r="BX1572" s="2"/>
      <c r="BY1572" s="2">
        <v>1200</v>
      </c>
      <c r="BZ1572" s="2"/>
      <c r="CA1572" s="2" t="s">
        <v>129</v>
      </c>
      <c r="CB1572" s="2"/>
      <c r="CC1572" s="2" t="s">
        <v>153</v>
      </c>
      <c r="CD1572" s="2">
        <v>7646</v>
      </c>
      <c r="CE1572" s="2" t="s">
        <v>108</v>
      </c>
      <c r="CF1572" s="5">
        <v>42663</v>
      </c>
      <c r="CG1572" s="2"/>
      <c r="CH1572" s="2"/>
      <c r="CI1572" s="2">
        <v>1</v>
      </c>
      <c r="CJ1572" s="2">
        <v>1</v>
      </c>
      <c r="CK1572" s="2">
        <v>21</v>
      </c>
      <c r="CL1572" s="2" t="s">
        <v>88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"FES1162507561"</f>
        <v>FES1162507561</v>
      </c>
      <c r="F1573" s="3">
        <v>42661</v>
      </c>
      <c r="G1573" s="2">
        <v>201704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269</v>
      </c>
      <c r="M1573" s="2" t="s">
        <v>270</v>
      </c>
      <c r="N1573" s="2" t="s">
        <v>299</v>
      </c>
      <c r="O1573" s="2" t="s">
        <v>96</v>
      </c>
      <c r="P1573" s="2" t="str">
        <f>"2170531000                    "</f>
        <v xml:space="preserve">2170531000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3.32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0.5</v>
      </c>
      <c r="BJ1573" s="2">
        <v>0.2</v>
      </c>
      <c r="BK1573" s="2">
        <v>0.5</v>
      </c>
      <c r="BL1573" s="2">
        <v>40.76</v>
      </c>
      <c r="BM1573" s="2">
        <v>5.71</v>
      </c>
      <c r="BN1573" s="2">
        <v>46.47</v>
      </c>
      <c r="BO1573" s="2">
        <v>46.47</v>
      </c>
      <c r="BP1573" s="2"/>
      <c r="BQ1573" s="2" t="s">
        <v>300</v>
      </c>
      <c r="BR1573" s="2" t="s">
        <v>83</v>
      </c>
      <c r="BS1573" s="3">
        <v>42662</v>
      </c>
      <c r="BT1573" s="4">
        <v>0.35416666666666669</v>
      </c>
      <c r="BU1573" s="2" t="s">
        <v>301</v>
      </c>
      <c r="BV1573" s="2" t="s">
        <v>85</v>
      </c>
      <c r="BW1573" s="2"/>
      <c r="BX1573" s="2"/>
      <c r="BY1573" s="2">
        <v>1200</v>
      </c>
      <c r="BZ1573" s="2"/>
      <c r="CA1573" s="2"/>
      <c r="CB1573" s="2"/>
      <c r="CC1573" s="2" t="s">
        <v>270</v>
      </c>
      <c r="CD1573" s="2">
        <v>3610</v>
      </c>
      <c r="CE1573" s="2" t="s">
        <v>108</v>
      </c>
      <c r="CF1573" s="5">
        <v>42663</v>
      </c>
      <c r="CG1573" s="2"/>
      <c r="CH1573" s="2"/>
      <c r="CI1573" s="2">
        <v>1</v>
      </c>
      <c r="CJ1573" s="2">
        <v>1</v>
      </c>
      <c r="CK1573" s="2">
        <v>21</v>
      </c>
      <c r="CL1573" s="2" t="s">
        <v>88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"FES1162507541"</f>
        <v>FES1162507541</v>
      </c>
      <c r="F1574" s="3">
        <v>42661</v>
      </c>
      <c r="G1574" s="2">
        <v>201704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260</v>
      </c>
      <c r="M1574" s="2" t="s">
        <v>261</v>
      </c>
      <c r="N1574" s="2" t="s">
        <v>1812</v>
      </c>
      <c r="O1574" s="2" t="s">
        <v>96</v>
      </c>
      <c r="P1574" s="2" t="str">
        <f>"2170530799                    "</f>
        <v xml:space="preserve">2170530799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15.76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9.1</v>
      </c>
      <c r="BJ1574" s="2">
        <v>3</v>
      </c>
      <c r="BK1574" s="2">
        <v>9.5</v>
      </c>
      <c r="BL1574" s="2">
        <v>193.6</v>
      </c>
      <c r="BM1574" s="2">
        <v>27.1</v>
      </c>
      <c r="BN1574" s="2">
        <v>220.7</v>
      </c>
      <c r="BO1574" s="2">
        <v>220.7</v>
      </c>
      <c r="BP1574" s="2"/>
      <c r="BQ1574" s="2" t="s">
        <v>91</v>
      </c>
      <c r="BR1574" s="2" t="s">
        <v>83</v>
      </c>
      <c r="BS1574" s="3">
        <v>42662</v>
      </c>
      <c r="BT1574" s="4">
        <v>0.39930555555555558</v>
      </c>
      <c r="BU1574" s="2" t="s">
        <v>1813</v>
      </c>
      <c r="BV1574" s="2" t="s">
        <v>85</v>
      </c>
      <c r="BW1574" s="2"/>
      <c r="BX1574" s="2"/>
      <c r="BY1574" s="2">
        <v>14870.02</v>
      </c>
      <c r="BZ1574" s="2"/>
      <c r="CA1574" s="2" t="s">
        <v>451</v>
      </c>
      <c r="CB1574" s="2"/>
      <c r="CC1574" s="2" t="s">
        <v>261</v>
      </c>
      <c r="CD1574" s="2">
        <v>6850</v>
      </c>
      <c r="CE1574" s="2" t="s">
        <v>368</v>
      </c>
      <c r="CF1574" s="5">
        <v>42662</v>
      </c>
      <c r="CG1574" s="2"/>
      <c r="CH1574" s="2"/>
      <c r="CI1574" s="2">
        <v>3</v>
      </c>
      <c r="CJ1574" s="2">
        <v>1</v>
      </c>
      <c r="CK1574" s="2">
        <v>21</v>
      </c>
      <c r="CL1574" s="2" t="s">
        <v>88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"FES1162507571"</f>
        <v>FES1162507571</v>
      </c>
      <c r="F1575" s="3">
        <v>42661</v>
      </c>
      <c r="G1575" s="2">
        <v>201704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160</v>
      </c>
      <c r="M1575" s="2" t="s">
        <v>161</v>
      </c>
      <c r="N1575" s="2" t="s">
        <v>391</v>
      </c>
      <c r="O1575" s="2" t="s">
        <v>96</v>
      </c>
      <c r="P1575" s="2" t="str">
        <f>"2170528649                    "</f>
        <v xml:space="preserve">2170528649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27.37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8.3000000000000007</v>
      </c>
      <c r="BJ1575" s="2">
        <v>16.399999999999999</v>
      </c>
      <c r="BK1575" s="2">
        <v>16.5</v>
      </c>
      <c r="BL1575" s="2">
        <v>336.25</v>
      </c>
      <c r="BM1575" s="2">
        <v>47.08</v>
      </c>
      <c r="BN1575" s="2">
        <v>383.33</v>
      </c>
      <c r="BO1575" s="2">
        <v>383.33</v>
      </c>
      <c r="BP1575" s="2"/>
      <c r="BQ1575" s="2" t="s">
        <v>393</v>
      </c>
      <c r="BR1575" s="2" t="s">
        <v>83</v>
      </c>
      <c r="BS1575" s="3">
        <v>42662</v>
      </c>
      <c r="BT1575" s="4">
        <v>0.35000000000000003</v>
      </c>
      <c r="BU1575" s="2" t="s">
        <v>1814</v>
      </c>
      <c r="BV1575" s="2" t="s">
        <v>85</v>
      </c>
      <c r="BW1575" s="2"/>
      <c r="BX1575" s="2"/>
      <c r="BY1575" s="2">
        <v>82156.539999999994</v>
      </c>
      <c r="BZ1575" s="2"/>
      <c r="CA1575" s="2"/>
      <c r="CB1575" s="2"/>
      <c r="CC1575" s="2" t="s">
        <v>161</v>
      </c>
      <c r="CD1575" s="2">
        <v>7500</v>
      </c>
      <c r="CE1575" s="2" t="s">
        <v>368</v>
      </c>
      <c r="CF1575" s="5">
        <v>42663</v>
      </c>
      <c r="CG1575" s="2"/>
      <c r="CH1575" s="2"/>
      <c r="CI1575" s="2">
        <v>1</v>
      </c>
      <c r="CJ1575" s="2">
        <v>1</v>
      </c>
      <c r="CK1575" s="2">
        <v>21</v>
      </c>
      <c r="CL1575" s="2" t="s">
        <v>88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"FES1162507292"</f>
        <v>FES1162507292</v>
      </c>
      <c r="F1576" s="3">
        <v>42661</v>
      </c>
      <c r="G1576" s="2">
        <v>201704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160</v>
      </c>
      <c r="M1576" s="2" t="s">
        <v>161</v>
      </c>
      <c r="N1576" s="2" t="s">
        <v>411</v>
      </c>
      <c r="O1576" s="2" t="s">
        <v>96</v>
      </c>
      <c r="P1576" s="2" t="str">
        <f>"2170527191                    "</f>
        <v xml:space="preserve">2170527191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7.46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1.4</v>
      </c>
      <c r="BJ1576" s="2">
        <v>4.2</v>
      </c>
      <c r="BK1576" s="2">
        <v>4.5</v>
      </c>
      <c r="BL1576" s="2">
        <v>91.7</v>
      </c>
      <c r="BM1576" s="2">
        <v>12.84</v>
      </c>
      <c r="BN1576" s="2">
        <v>104.54</v>
      </c>
      <c r="BO1576" s="2">
        <v>104.54</v>
      </c>
      <c r="BP1576" s="2"/>
      <c r="BQ1576" s="2" t="s">
        <v>412</v>
      </c>
      <c r="BR1576" s="2" t="s">
        <v>83</v>
      </c>
      <c r="BS1576" s="3">
        <v>42662</v>
      </c>
      <c r="BT1576" s="4">
        <v>0.45833333333333331</v>
      </c>
      <c r="BU1576" s="2" t="s">
        <v>1779</v>
      </c>
      <c r="BV1576" s="2" t="s">
        <v>85</v>
      </c>
      <c r="BW1576" s="2"/>
      <c r="BX1576" s="2"/>
      <c r="BY1576" s="2">
        <v>20832</v>
      </c>
      <c r="BZ1576" s="2"/>
      <c r="CA1576" s="2"/>
      <c r="CB1576" s="2"/>
      <c r="CC1576" s="2" t="s">
        <v>161</v>
      </c>
      <c r="CD1576" s="2">
        <v>7945</v>
      </c>
      <c r="CE1576" s="2" t="s">
        <v>108</v>
      </c>
      <c r="CF1576" s="5">
        <v>42663</v>
      </c>
      <c r="CG1576" s="2"/>
      <c r="CH1576" s="2"/>
      <c r="CI1576" s="2">
        <v>1</v>
      </c>
      <c r="CJ1576" s="2">
        <v>1</v>
      </c>
      <c r="CK1576" s="2">
        <v>21</v>
      </c>
      <c r="CL1576" s="2" t="s">
        <v>88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"FES1162507563"</f>
        <v>FES1162507563</v>
      </c>
      <c r="F1577" s="3">
        <v>42661</v>
      </c>
      <c r="G1577" s="2">
        <v>201704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98</v>
      </c>
      <c r="M1577" s="2" t="s">
        <v>99</v>
      </c>
      <c r="N1577" s="2" t="s">
        <v>1815</v>
      </c>
      <c r="O1577" s="2" t="s">
        <v>96</v>
      </c>
      <c r="P1577" s="2" t="str">
        <f>"2170531003                    "</f>
        <v xml:space="preserve">2170531003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3.32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0.5</v>
      </c>
      <c r="BJ1577" s="2">
        <v>0.2</v>
      </c>
      <c r="BK1577" s="2">
        <v>0.5</v>
      </c>
      <c r="BL1577" s="2">
        <v>40.76</v>
      </c>
      <c r="BM1577" s="2">
        <v>5.71</v>
      </c>
      <c r="BN1577" s="2">
        <v>46.47</v>
      </c>
      <c r="BO1577" s="2">
        <v>46.47</v>
      </c>
      <c r="BP1577" s="2"/>
      <c r="BQ1577" s="2" t="s">
        <v>1816</v>
      </c>
      <c r="BR1577" s="2" t="s">
        <v>83</v>
      </c>
      <c r="BS1577" s="3">
        <v>42662</v>
      </c>
      <c r="BT1577" s="4">
        <v>0.33333333333333331</v>
      </c>
      <c r="BU1577" s="2" t="s">
        <v>1817</v>
      </c>
      <c r="BV1577" s="2" t="s">
        <v>85</v>
      </c>
      <c r="BW1577" s="2"/>
      <c r="BX1577" s="2"/>
      <c r="BY1577" s="2">
        <v>1200</v>
      </c>
      <c r="BZ1577" s="2"/>
      <c r="CA1577" s="2" t="s">
        <v>107</v>
      </c>
      <c r="CB1577" s="2"/>
      <c r="CC1577" s="2" t="s">
        <v>99</v>
      </c>
      <c r="CD1577" s="2">
        <v>6001</v>
      </c>
      <c r="CE1577" s="2" t="s">
        <v>108</v>
      </c>
      <c r="CF1577" s="5">
        <v>42662</v>
      </c>
      <c r="CG1577" s="2"/>
      <c r="CH1577" s="2"/>
      <c r="CI1577" s="2">
        <v>1</v>
      </c>
      <c r="CJ1577" s="2">
        <v>1</v>
      </c>
      <c r="CK1577" s="2">
        <v>21</v>
      </c>
      <c r="CL1577" s="2" t="s">
        <v>88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"FES1162507524"</f>
        <v>FES1162507524</v>
      </c>
      <c r="F1578" s="3">
        <v>42661</v>
      </c>
      <c r="G1578" s="2">
        <v>201704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269</v>
      </c>
      <c r="M1578" s="2" t="s">
        <v>270</v>
      </c>
      <c r="N1578" s="2" t="s">
        <v>1818</v>
      </c>
      <c r="O1578" s="2" t="s">
        <v>96</v>
      </c>
      <c r="P1578" s="2" t="str">
        <f>"2170530961                    "</f>
        <v xml:space="preserve">2170530961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3.32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0.7</v>
      </c>
      <c r="BJ1578" s="2">
        <v>1.3</v>
      </c>
      <c r="BK1578" s="2">
        <v>1.5</v>
      </c>
      <c r="BL1578" s="2">
        <v>40.76</v>
      </c>
      <c r="BM1578" s="2">
        <v>5.71</v>
      </c>
      <c r="BN1578" s="2">
        <v>46.47</v>
      </c>
      <c r="BO1578" s="2">
        <v>46.47</v>
      </c>
      <c r="BP1578" s="2"/>
      <c r="BQ1578" s="2" t="s">
        <v>1819</v>
      </c>
      <c r="BR1578" s="2" t="s">
        <v>83</v>
      </c>
      <c r="BS1578" s="3">
        <v>42662</v>
      </c>
      <c r="BT1578" s="4">
        <v>0.37638888888888888</v>
      </c>
      <c r="BU1578" s="2" t="s">
        <v>1820</v>
      </c>
      <c r="BV1578" s="2" t="s">
        <v>85</v>
      </c>
      <c r="BW1578" s="2"/>
      <c r="BX1578" s="2"/>
      <c r="BY1578" s="2">
        <v>6365.3</v>
      </c>
      <c r="BZ1578" s="2"/>
      <c r="CA1578" s="2">
        <v>29907683909</v>
      </c>
      <c r="CB1578" s="2"/>
      <c r="CC1578" s="2" t="s">
        <v>270</v>
      </c>
      <c r="CD1578" s="2">
        <v>3600</v>
      </c>
      <c r="CE1578" s="2" t="s">
        <v>108</v>
      </c>
      <c r="CF1578" s="5">
        <v>42662</v>
      </c>
      <c r="CG1578" s="2"/>
      <c r="CH1578" s="2"/>
      <c r="CI1578" s="2">
        <v>1</v>
      </c>
      <c r="CJ1578" s="2">
        <v>1</v>
      </c>
      <c r="CK1578" s="2">
        <v>21</v>
      </c>
      <c r="CL1578" s="2" t="s">
        <v>88</v>
      </c>
      <c r="CM1578" s="2"/>
    </row>
    <row r="1579" spans="1:91">
      <c r="A1579" s="2" t="s">
        <v>71</v>
      </c>
      <c r="B1579" s="2" t="s">
        <v>72</v>
      </c>
      <c r="C1579" s="2" t="s">
        <v>73</v>
      </c>
      <c r="D1579" s="2"/>
      <c r="E1579" s="2" t="str">
        <f>"FES1162507642"</f>
        <v>FES1162507642</v>
      </c>
      <c r="F1579" s="3">
        <v>42661</v>
      </c>
      <c r="G1579" s="2">
        <v>201704</v>
      </c>
      <c r="H1579" s="2" t="s">
        <v>74</v>
      </c>
      <c r="I1579" s="2" t="s">
        <v>75</v>
      </c>
      <c r="J1579" s="2" t="s">
        <v>76</v>
      </c>
      <c r="K1579" s="2" t="s">
        <v>77</v>
      </c>
      <c r="L1579" s="2" t="s">
        <v>510</v>
      </c>
      <c r="M1579" s="2" t="s">
        <v>511</v>
      </c>
      <c r="N1579" s="2" t="s">
        <v>1495</v>
      </c>
      <c r="O1579" s="2" t="s">
        <v>96</v>
      </c>
      <c r="P1579" s="2" t="str">
        <f>"2170531098                    "</f>
        <v xml:space="preserve">2170531098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30.68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7</v>
      </c>
      <c r="BJ1579" s="2">
        <v>18.3</v>
      </c>
      <c r="BK1579" s="2">
        <v>18.5</v>
      </c>
      <c r="BL1579" s="2">
        <v>377</v>
      </c>
      <c r="BM1579" s="2">
        <v>52.78</v>
      </c>
      <c r="BN1579" s="2">
        <v>429.78</v>
      </c>
      <c r="BO1579" s="2">
        <v>429.78</v>
      </c>
      <c r="BP1579" s="2"/>
      <c r="BQ1579" s="2" t="s">
        <v>82</v>
      </c>
      <c r="BR1579" s="2" t="s">
        <v>83</v>
      </c>
      <c r="BS1579" s="3">
        <v>42662</v>
      </c>
      <c r="BT1579" s="4">
        <v>0.57013888888888886</v>
      </c>
      <c r="BU1579" s="2" t="s">
        <v>1821</v>
      </c>
      <c r="BV1579" s="2" t="s">
        <v>85</v>
      </c>
      <c r="BW1579" s="2"/>
      <c r="BX1579" s="2"/>
      <c r="BY1579" s="2">
        <v>91264</v>
      </c>
      <c r="BZ1579" s="2"/>
      <c r="CA1579" s="2" t="s">
        <v>129</v>
      </c>
      <c r="CB1579" s="2"/>
      <c r="CC1579" s="2" t="s">
        <v>511</v>
      </c>
      <c r="CD1579" s="2">
        <v>3280</v>
      </c>
      <c r="CE1579" s="2" t="s">
        <v>86</v>
      </c>
      <c r="CF1579" s="5">
        <v>42663</v>
      </c>
      <c r="CG1579" s="2"/>
      <c r="CH1579" s="2"/>
      <c r="CI1579" s="2">
        <v>1</v>
      </c>
      <c r="CJ1579" s="2">
        <v>1</v>
      </c>
      <c r="CK1579" s="2">
        <v>21</v>
      </c>
      <c r="CL1579" s="2" t="s">
        <v>88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"080001461791"</f>
        <v>080001461791</v>
      </c>
      <c r="F1580" s="3">
        <v>42661</v>
      </c>
      <c r="G1580" s="2">
        <v>201704</v>
      </c>
      <c r="H1580" s="2" t="s">
        <v>160</v>
      </c>
      <c r="I1580" s="2" t="s">
        <v>161</v>
      </c>
      <c r="J1580" s="2" t="s">
        <v>279</v>
      </c>
      <c r="K1580" s="2" t="s">
        <v>77</v>
      </c>
      <c r="L1580" s="2" t="s">
        <v>74</v>
      </c>
      <c r="M1580" s="2" t="s">
        <v>75</v>
      </c>
      <c r="N1580" s="2" t="s">
        <v>189</v>
      </c>
      <c r="O1580" s="2" t="s">
        <v>96</v>
      </c>
      <c r="P1580" s="2" t="str">
        <f>"1162477694                    "</f>
        <v xml:space="preserve">1162477694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8.2899999999999991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5</v>
      </c>
      <c r="BJ1580" s="2">
        <v>2.6</v>
      </c>
      <c r="BK1580" s="2">
        <v>5</v>
      </c>
      <c r="BL1580" s="2">
        <v>101.89</v>
      </c>
      <c r="BM1580" s="2">
        <v>14.26</v>
      </c>
      <c r="BN1580" s="2">
        <v>116.15</v>
      </c>
      <c r="BO1580" s="2">
        <v>116.15</v>
      </c>
      <c r="BP1580" s="2" t="s">
        <v>1581</v>
      </c>
      <c r="BQ1580" s="2" t="s">
        <v>381</v>
      </c>
      <c r="BR1580" s="2" t="s">
        <v>1822</v>
      </c>
      <c r="BS1580" s="3">
        <v>42662</v>
      </c>
      <c r="BT1580" s="4">
        <v>0.33680555555555558</v>
      </c>
      <c r="BU1580" s="2" t="s">
        <v>1823</v>
      </c>
      <c r="BV1580" s="2" t="s">
        <v>85</v>
      </c>
      <c r="BW1580" s="2"/>
      <c r="BX1580" s="2"/>
      <c r="BY1580" s="2">
        <v>13200</v>
      </c>
      <c r="BZ1580" s="2"/>
      <c r="CA1580" s="2" t="s">
        <v>129</v>
      </c>
      <c r="CB1580" s="2"/>
      <c r="CC1580" s="2" t="s">
        <v>75</v>
      </c>
      <c r="CD1580" s="2">
        <v>1601</v>
      </c>
      <c r="CE1580" s="2" t="s">
        <v>86</v>
      </c>
      <c r="CF1580" s="5">
        <v>42663</v>
      </c>
      <c r="CG1580" s="2"/>
      <c r="CH1580" s="2"/>
      <c r="CI1580" s="2">
        <v>1</v>
      </c>
      <c r="CJ1580" s="2">
        <v>1</v>
      </c>
      <c r="CK1580" s="2">
        <v>21</v>
      </c>
      <c r="CL1580" s="2" t="s">
        <v>88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"FES1162507283"</f>
        <v>FES1162507283</v>
      </c>
      <c r="F1581" s="3">
        <v>42661</v>
      </c>
      <c r="G1581" s="2">
        <v>201704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959</v>
      </c>
      <c r="M1581" s="2" t="s">
        <v>960</v>
      </c>
      <c r="N1581" s="2" t="s">
        <v>961</v>
      </c>
      <c r="O1581" s="2" t="s">
        <v>96</v>
      </c>
      <c r="P1581" s="2" t="str">
        <f>"2170530811                    "</f>
        <v xml:space="preserve">2170530811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14.93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5.9</v>
      </c>
      <c r="BJ1581" s="2">
        <v>9</v>
      </c>
      <c r="BK1581" s="2">
        <v>9</v>
      </c>
      <c r="BL1581" s="2">
        <v>183.41</v>
      </c>
      <c r="BM1581" s="2">
        <v>25.68</v>
      </c>
      <c r="BN1581" s="2">
        <v>209.09</v>
      </c>
      <c r="BO1581" s="2">
        <v>209.09</v>
      </c>
      <c r="BP1581" s="2"/>
      <c r="BQ1581" s="2" t="s">
        <v>117</v>
      </c>
      <c r="BR1581" s="2" t="s">
        <v>83</v>
      </c>
      <c r="BS1581" s="3">
        <v>42663</v>
      </c>
      <c r="BT1581" s="4">
        <v>0.51250000000000007</v>
      </c>
      <c r="BU1581" s="2" t="s">
        <v>1824</v>
      </c>
      <c r="BV1581" s="2" t="s">
        <v>85</v>
      </c>
      <c r="BW1581" s="2"/>
      <c r="BX1581" s="2"/>
      <c r="BY1581" s="2">
        <v>44850.43</v>
      </c>
      <c r="BZ1581" s="2"/>
      <c r="CA1581" s="2"/>
      <c r="CB1581" s="2"/>
      <c r="CC1581" s="2" t="s">
        <v>960</v>
      </c>
      <c r="CD1581" s="2">
        <v>6715</v>
      </c>
      <c r="CE1581" s="2" t="s">
        <v>86</v>
      </c>
      <c r="CF1581" s="5">
        <v>42664</v>
      </c>
      <c r="CG1581" s="2"/>
      <c r="CH1581" s="2"/>
      <c r="CI1581" s="2">
        <v>3</v>
      </c>
      <c r="CJ1581" s="2">
        <v>2</v>
      </c>
      <c r="CK1581" s="2">
        <v>21</v>
      </c>
      <c r="CL1581" s="2" t="s">
        <v>88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"FES1162507470"</f>
        <v>FES1162507470</v>
      </c>
      <c r="F1582" s="3">
        <v>42661</v>
      </c>
      <c r="G1582" s="2">
        <v>201704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98</v>
      </c>
      <c r="M1582" s="2" t="s">
        <v>99</v>
      </c>
      <c r="N1582" s="2" t="s">
        <v>109</v>
      </c>
      <c r="O1582" s="2" t="s">
        <v>96</v>
      </c>
      <c r="P1582" s="2" t="str">
        <f>"2170528040                    "</f>
        <v xml:space="preserve">2170528040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42.29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2</v>
      </c>
      <c r="BI1582" s="2">
        <v>11.9</v>
      </c>
      <c r="BJ1582" s="2">
        <v>25.5</v>
      </c>
      <c r="BK1582" s="2">
        <v>25.5</v>
      </c>
      <c r="BL1582" s="2">
        <v>519.65</v>
      </c>
      <c r="BM1582" s="2">
        <v>72.75</v>
      </c>
      <c r="BN1582" s="2">
        <v>592.4</v>
      </c>
      <c r="BO1582" s="2">
        <v>592.4</v>
      </c>
      <c r="BP1582" s="2"/>
      <c r="BQ1582" s="2" t="s">
        <v>110</v>
      </c>
      <c r="BR1582" s="2" t="s">
        <v>83</v>
      </c>
      <c r="BS1582" s="3">
        <v>42662</v>
      </c>
      <c r="BT1582" s="4">
        <v>0.41666666666666669</v>
      </c>
      <c r="BU1582" s="2" t="s">
        <v>1613</v>
      </c>
      <c r="BV1582" s="2" t="s">
        <v>85</v>
      </c>
      <c r="BW1582" s="2"/>
      <c r="BX1582" s="2"/>
      <c r="BY1582" s="2">
        <v>127274.8</v>
      </c>
      <c r="BZ1582" s="2"/>
      <c r="CA1582" s="2" t="s">
        <v>107</v>
      </c>
      <c r="CB1582" s="2"/>
      <c r="CC1582" s="2" t="s">
        <v>99</v>
      </c>
      <c r="CD1582" s="2">
        <v>6001</v>
      </c>
      <c r="CE1582" s="2" t="s">
        <v>108</v>
      </c>
      <c r="CF1582" s="5">
        <v>42663</v>
      </c>
      <c r="CG1582" s="2"/>
      <c r="CH1582" s="2"/>
      <c r="CI1582" s="2">
        <v>1</v>
      </c>
      <c r="CJ1582" s="2">
        <v>1</v>
      </c>
      <c r="CK1582" s="2">
        <v>21</v>
      </c>
      <c r="CL1582" s="2" t="s">
        <v>88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"FES1162507358"</f>
        <v>FES1162507358</v>
      </c>
      <c r="F1583" s="3">
        <v>42661</v>
      </c>
      <c r="G1583" s="2">
        <v>201704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98</v>
      </c>
      <c r="M1583" s="2" t="s">
        <v>99</v>
      </c>
      <c r="N1583" s="2" t="s">
        <v>606</v>
      </c>
      <c r="O1583" s="2" t="s">
        <v>96</v>
      </c>
      <c r="P1583" s="2" t="str">
        <f>"2170529516                    "</f>
        <v xml:space="preserve">2170529516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3.32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0.3</v>
      </c>
      <c r="BJ1583" s="2">
        <v>1.6</v>
      </c>
      <c r="BK1583" s="2">
        <v>2</v>
      </c>
      <c r="BL1583" s="2">
        <v>40.76</v>
      </c>
      <c r="BM1583" s="2">
        <v>5.71</v>
      </c>
      <c r="BN1583" s="2">
        <v>46.47</v>
      </c>
      <c r="BO1583" s="2">
        <v>46.47</v>
      </c>
      <c r="BP1583" s="2"/>
      <c r="BQ1583" s="2" t="s">
        <v>607</v>
      </c>
      <c r="BR1583" s="2" t="s">
        <v>83</v>
      </c>
      <c r="BS1583" s="3">
        <v>42662</v>
      </c>
      <c r="BT1583" s="4">
        <v>0.40972222222222227</v>
      </c>
      <c r="BU1583" s="2" t="s">
        <v>1785</v>
      </c>
      <c r="BV1583" s="2" t="s">
        <v>85</v>
      </c>
      <c r="BW1583" s="2"/>
      <c r="BX1583" s="2"/>
      <c r="BY1583" s="2">
        <v>8089.96</v>
      </c>
      <c r="BZ1583" s="2"/>
      <c r="CA1583" s="2"/>
      <c r="CB1583" s="2"/>
      <c r="CC1583" s="2" t="s">
        <v>99</v>
      </c>
      <c r="CD1583" s="2">
        <v>6001</v>
      </c>
      <c r="CE1583" s="2" t="s">
        <v>108</v>
      </c>
      <c r="CF1583" s="5">
        <v>42662</v>
      </c>
      <c r="CG1583" s="2"/>
      <c r="CH1583" s="2"/>
      <c r="CI1583" s="2">
        <v>1</v>
      </c>
      <c r="CJ1583" s="2">
        <v>1</v>
      </c>
      <c r="CK1583" s="2">
        <v>21</v>
      </c>
      <c r="CL1583" s="2" t="s">
        <v>88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"FES1162507474"</f>
        <v>FES1162507474</v>
      </c>
      <c r="F1584" s="3">
        <v>42661</v>
      </c>
      <c r="G1584" s="2">
        <v>201704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153</v>
      </c>
      <c r="M1584" s="2" t="s">
        <v>153</v>
      </c>
      <c r="N1584" s="2" t="s">
        <v>1825</v>
      </c>
      <c r="O1584" s="2" t="s">
        <v>96</v>
      </c>
      <c r="P1584" s="2" t="str">
        <f>"2170528906                    "</f>
        <v xml:space="preserve">2170528906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3.32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0.6</v>
      </c>
      <c r="BJ1584" s="2">
        <v>1.3</v>
      </c>
      <c r="BK1584" s="2">
        <v>1.5</v>
      </c>
      <c r="BL1584" s="2">
        <v>40.76</v>
      </c>
      <c r="BM1584" s="2">
        <v>5.71</v>
      </c>
      <c r="BN1584" s="2">
        <v>46.47</v>
      </c>
      <c r="BO1584" s="2">
        <v>46.47</v>
      </c>
      <c r="BP1584" s="2"/>
      <c r="BQ1584" s="2" t="s">
        <v>1826</v>
      </c>
      <c r="BR1584" s="2" t="s">
        <v>83</v>
      </c>
      <c r="BS1584" s="3">
        <v>42662</v>
      </c>
      <c r="BT1584" s="4">
        <v>0.41666666666666669</v>
      </c>
      <c r="BU1584" s="2" t="s">
        <v>1827</v>
      </c>
      <c r="BV1584" s="2" t="s">
        <v>85</v>
      </c>
      <c r="BW1584" s="2"/>
      <c r="BX1584" s="2"/>
      <c r="BY1584" s="2">
        <v>6499.66</v>
      </c>
      <c r="BZ1584" s="2"/>
      <c r="CA1584" s="2" t="s">
        <v>129</v>
      </c>
      <c r="CB1584" s="2"/>
      <c r="CC1584" s="2" t="s">
        <v>153</v>
      </c>
      <c r="CD1584" s="2">
        <v>7646</v>
      </c>
      <c r="CE1584" s="2" t="s">
        <v>86</v>
      </c>
      <c r="CF1584" s="5">
        <v>42663</v>
      </c>
      <c r="CG1584" s="2"/>
      <c r="CH1584" s="2"/>
      <c r="CI1584" s="2">
        <v>1</v>
      </c>
      <c r="CJ1584" s="2">
        <v>1</v>
      </c>
      <c r="CK1584" s="2">
        <v>21</v>
      </c>
      <c r="CL1584" s="2" t="s">
        <v>88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"FES1162507477"</f>
        <v>FES1162507477</v>
      </c>
      <c r="F1585" s="3">
        <v>42661</v>
      </c>
      <c r="G1585" s="2">
        <v>201704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160</v>
      </c>
      <c r="M1585" s="2" t="s">
        <v>161</v>
      </c>
      <c r="N1585" s="2" t="s">
        <v>734</v>
      </c>
      <c r="O1585" s="2" t="s">
        <v>96</v>
      </c>
      <c r="P1585" s="2" t="str">
        <f>"2170529074                    "</f>
        <v xml:space="preserve">2170529074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3.32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0.7</v>
      </c>
      <c r="BJ1585" s="2">
        <v>1.3</v>
      </c>
      <c r="BK1585" s="2">
        <v>1.5</v>
      </c>
      <c r="BL1585" s="2">
        <v>40.76</v>
      </c>
      <c r="BM1585" s="2">
        <v>5.71</v>
      </c>
      <c r="BN1585" s="2">
        <v>46.47</v>
      </c>
      <c r="BO1585" s="2">
        <v>46.47</v>
      </c>
      <c r="BP1585" s="2"/>
      <c r="BQ1585" s="2" t="s">
        <v>91</v>
      </c>
      <c r="BR1585" s="2" t="s">
        <v>83</v>
      </c>
      <c r="BS1585" s="3">
        <v>42662</v>
      </c>
      <c r="BT1585" s="4">
        <v>0.41666666666666669</v>
      </c>
      <c r="BU1585" s="2" t="s">
        <v>1828</v>
      </c>
      <c r="BV1585" s="2" t="s">
        <v>85</v>
      </c>
      <c r="BW1585" s="2"/>
      <c r="BX1585" s="2"/>
      <c r="BY1585" s="2">
        <v>6409.58</v>
      </c>
      <c r="BZ1585" s="2"/>
      <c r="CA1585" s="2" t="s">
        <v>129</v>
      </c>
      <c r="CB1585" s="2"/>
      <c r="CC1585" s="2" t="s">
        <v>161</v>
      </c>
      <c r="CD1585" s="2">
        <v>7405</v>
      </c>
      <c r="CE1585" s="2" t="s">
        <v>86</v>
      </c>
      <c r="CF1585" s="5">
        <v>42663</v>
      </c>
      <c r="CG1585" s="2"/>
      <c r="CH1585" s="2"/>
      <c r="CI1585" s="2">
        <v>1</v>
      </c>
      <c r="CJ1585" s="2">
        <v>1</v>
      </c>
      <c r="CK1585" s="2">
        <v>21</v>
      </c>
      <c r="CL1585" s="2" t="s">
        <v>88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"FES1162507415"</f>
        <v>FES1162507415</v>
      </c>
      <c r="F1586" s="3">
        <v>42661</v>
      </c>
      <c r="G1586" s="2">
        <v>201704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98</v>
      </c>
      <c r="M1586" s="2" t="s">
        <v>99</v>
      </c>
      <c r="N1586" s="2" t="s">
        <v>246</v>
      </c>
      <c r="O1586" s="2" t="s">
        <v>96</v>
      </c>
      <c r="P1586" s="2" t="str">
        <f>"2170530840                    "</f>
        <v xml:space="preserve">2170530840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13.27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7.7</v>
      </c>
      <c r="BJ1586" s="2">
        <v>6.2</v>
      </c>
      <c r="BK1586" s="2">
        <v>8</v>
      </c>
      <c r="BL1586" s="2">
        <v>163.03</v>
      </c>
      <c r="BM1586" s="2">
        <v>22.82</v>
      </c>
      <c r="BN1586" s="2">
        <v>185.85</v>
      </c>
      <c r="BO1586" s="2">
        <v>185.85</v>
      </c>
      <c r="BP1586" s="2"/>
      <c r="BQ1586" s="2" t="s">
        <v>247</v>
      </c>
      <c r="BR1586" s="2" t="s">
        <v>83</v>
      </c>
      <c r="BS1586" s="3">
        <v>42662</v>
      </c>
      <c r="BT1586" s="4">
        <v>0.49652777777777773</v>
      </c>
      <c r="BU1586" s="2" t="s">
        <v>1829</v>
      </c>
      <c r="BV1586" s="2"/>
      <c r="BW1586" s="2" t="s">
        <v>222</v>
      </c>
      <c r="BX1586" s="2" t="s">
        <v>250</v>
      </c>
      <c r="BY1586" s="2">
        <v>31022.69</v>
      </c>
      <c r="BZ1586" s="2"/>
      <c r="CA1586" s="2"/>
      <c r="CB1586" s="2"/>
      <c r="CC1586" s="2" t="s">
        <v>99</v>
      </c>
      <c r="CD1586" s="2">
        <v>6001</v>
      </c>
      <c r="CE1586" s="2" t="s">
        <v>86</v>
      </c>
      <c r="CF1586" s="5">
        <v>42663</v>
      </c>
      <c r="CG1586" s="2"/>
      <c r="CH1586" s="2"/>
      <c r="CI1586" s="2">
        <v>0</v>
      </c>
      <c r="CJ1586" s="2">
        <v>0</v>
      </c>
      <c r="CK1586" s="2">
        <v>21</v>
      </c>
      <c r="CL1586" s="2" t="s">
        <v>88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"FES1162507451"</f>
        <v>FES1162507451</v>
      </c>
      <c r="F1587" s="3">
        <v>42661</v>
      </c>
      <c r="G1587" s="2">
        <v>201704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148</v>
      </c>
      <c r="M1587" s="2" t="s">
        <v>149</v>
      </c>
      <c r="N1587" s="2" t="s">
        <v>150</v>
      </c>
      <c r="O1587" s="2" t="s">
        <v>96</v>
      </c>
      <c r="P1587" s="2" t="str">
        <f>"2170528713                    "</f>
        <v xml:space="preserve">2170528713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4.1500000000000004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2.2999999999999998</v>
      </c>
      <c r="BJ1587" s="2">
        <v>1.3</v>
      </c>
      <c r="BK1587" s="2">
        <v>2.5</v>
      </c>
      <c r="BL1587" s="2">
        <v>50.95</v>
      </c>
      <c r="BM1587" s="2">
        <v>7.13</v>
      </c>
      <c r="BN1587" s="2">
        <v>58.08</v>
      </c>
      <c r="BO1587" s="2">
        <v>58.08</v>
      </c>
      <c r="BP1587" s="2"/>
      <c r="BQ1587" s="2" t="s">
        <v>151</v>
      </c>
      <c r="BR1587" s="2" t="s">
        <v>83</v>
      </c>
      <c r="BS1587" s="3">
        <v>42662</v>
      </c>
      <c r="BT1587" s="4">
        <v>0.34722222222222227</v>
      </c>
      <c r="BU1587" s="2" t="s">
        <v>1830</v>
      </c>
      <c r="BV1587" s="2" t="s">
        <v>85</v>
      </c>
      <c r="BW1587" s="2"/>
      <c r="BX1587" s="2"/>
      <c r="BY1587" s="2">
        <v>6661.2</v>
      </c>
      <c r="BZ1587" s="2"/>
      <c r="CA1587" s="2"/>
      <c r="CB1587" s="2"/>
      <c r="CC1587" s="2" t="s">
        <v>149</v>
      </c>
      <c r="CD1587" s="2">
        <v>4052</v>
      </c>
      <c r="CE1587" s="2" t="s">
        <v>86</v>
      </c>
      <c r="CF1587" s="5">
        <v>42663</v>
      </c>
      <c r="CG1587" s="2"/>
      <c r="CH1587" s="2"/>
      <c r="CI1587" s="2">
        <v>1</v>
      </c>
      <c r="CJ1587" s="2">
        <v>1</v>
      </c>
      <c r="CK1587" s="2">
        <v>21</v>
      </c>
      <c r="CL1587" s="2" t="s">
        <v>88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"FES1162507341"</f>
        <v>FES1162507341</v>
      </c>
      <c r="F1588" s="3">
        <v>42661</v>
      </c>
      <c r="G1588" s="2">
        <v>201704</v>
      </c>
      <c r="H1588" s="2" t="s">
        <v>74</v>
      </c>
      <c r="I1588" s="2" t="s">
        <v>75</v>
      </c>
      <c r="J1588" s="2" t="s">
        <v>76</v>
      </c>
      <c r="K1588" s="2" t="s">
        <v>77</v>
      </c>
      <c r="L1588" s="2" t="s">
        <v>137</v>
      </c>
      <c r="M1588" s="2" t="s">
        <v>138</v>
      </c>
      <c r="N1588" s="2" t="s">
        <v>203</v>
      </c>
      <c r="O1588" s="2" t="s">
        <v>96</v>
      </c>
      <c r="P1588" s="2" t="str">
        <f>"2170528815                    "</f>
        <v xml:space="preserve">2170528815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3.32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0.6</v>
      </c>
      <c r="BJ1588" s="2">
        <v>1.2</v>
      </c>
      <c r="BK1588" s="2">
        <v>1.5</v>
      </c>
      <c r="BL1588" s="2">
        <v>40.76</v>
      </c>
      <c r="BM1588" s="2">
        <v>5.71</v>
      </c>
      <c r="BN1588" s="2">
        <v>46.47</v>
      </c>
      <c r="BO1588" s="2">
        <v>46.47</v>
      </c>
      <c r="BP1588" s="2"/>
      <c r="BQ1588" s="2" t="s">
        <v>168</v>
      </c>
      <c r="BR1588" s="2" t="s">
        <v>83</v>
      </c>
      <c r="BS1588" s="3">
        <v>42662</v>
      </c>
      <c r="BT1588" s="4">
        <v>0.39583333333333331</v>
      </c>
      <c r="BU1588" s="2" t="s">
        <v>768</v>
      </c>
      <c r="BV1588" s="2"/>
      <c r="BW1588" s="2"/>
      <c r="BX1588" s="2"/>
      <c r="BY1588" s="2">
        <v>5978.78</v>
      </c>
      <c r="BZ1588" s="2"/>
      <c r="CA1588" s="2"/>
      <c r="CB1588" s="2"/>
      <c r="CC1588" s="2" t="s">
        <v>138</v>
      </c>
      <c r="CD1588" s="2">
        <v>3201</v>
      </c>
      <c r="CE1588" s="2" t="s">
        <v>108</v>
      </c>
      <c r="CF1588" s="5">
        <v>42663</v>
      </c>
      <c r="CG1588" s="2"/>
      <c r="CH1588" s="2"/>
      <c r="CI1588" s="2">
        <v>0</v>
      </c>
      <c r="CJ1588" s="2">
        <v>0</v>
      </c>
      <c r="CK1588" s="2">
        <v>21</v>
      </c>
      <c r="CL1588" s="2" t="s">
        <v>88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"FES1162507406"</f>
        <v>FES1162507406</v>
      </c>
      <c r="F1589" s="3">
        <v>42661</v>
      </c>
      <c r="G1589" s="2">
        <v>201704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269</v>
      </c>
      <c r="M1589" s="2" t="s">
        <v>270</v>
      </c>
      <c r="N1589" s="2" t="s">
        <v>1118</v>
      </c>
      <c r="O1589" s="2" t="s">
        <v>96</v>
      </c>
      <c r="P1589" s="2" t="str">
        <f>"2170530588                    "</f>
        <v xml:space="preserve">2170530588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4.9800000000000004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0.6</v>
      </c>
      <c r="BJ1589" s="2">
        <v>2.6</v>
      </c>
      <c r="BK1589" s="2">
        <v>3</v>
      </c>
      <c r="BL1589" s="2">
        <v>61.14</v>
      </c>
      <c r="BM1589" s="2">
        <v>8.56</v>
      </c>
      <c r="BN1589" s="2">
        <v>69.7</v>
      </c>
      <c r="BO1589" s="2">
        <v>69.7</v>
      </c>
      <c r="BP1589" s="2"/>
      <c r="BQ1589" s="2" t="s">
        <v>91</v>
      </c>
      <c r="BR1589" s="2" t="s">
        <v>83</v>
      </c>
      <c r="BS1589" s="3">
        <v>42662</v>
      </c>
      <c r="BT1589" s="4">
        <v>0.34027777777777773</v>
      </c>
      <c r="BU1589" s="2" t="s">
        <v>1119</v>
      </c>
      <c r="BV1589" s="2" t="s">
        <v>85</v>
      </c>
      <c r="BW1589" s="2"/>
      <c r="BX1589" s="2"/>
      <c r="BY1589" s="2">
        <v>12850.22</v>
      </c>
      <c r="BZ1589" s="2"/>
      <c r="CA1589" s="2"/>
      <c r="CB1589" s="2"/>
      <c r="CC1589" s="2" t="s">
        <v>270</v>
      </c>
      <c r="CD1589" s="2">
        <v>3610</v>
      </c>
      <c r="CE1589" s="2" t="s">
        <v>108</v>
      </c>
      <c r="CF1589" s="5">
        <v>42663</v>
      </c>
      <c r="CG1589" s="2"/>
      <c r="CH1589" s="2"/>
      <c r="CI1589" s="2">
        <v>1</v>
      </c>
      <c r="CJ1589" s="2">
        <v>1</v>
      </c>
      <c r="CK1589" s="2">
        <v>21</v>
      </c>
      <c r="CL1589" s="2" t="s">
        <v>88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"FES1162507445"</f>
        <v>FES1162507445</v>
      </c>
      <c r="F1590" s="3">
        <v>42661</v>
      </c>
      <c r="G1590" s="2">
        <v>201704</v>
      </c>
      <c r="H1590" s="2" t="s">
        <v>74</v>
      </c>
      <c r="I1590" s="2" t="s">
        <v>75</v>
      </c>
      <c r="J1590" s="2" t="s">
        <v>76</v>
      </c>
      <c r="K1590" s="2" t="s">
        <v>77</v>
      </c>
      <c r="L1590" s="2" t="s">
        <v>171</v>
      </c>
      <c r="M1590" s="2" t="s">
        <v>172</v>
      </c>
      <c r="N1590" s="2" t="s">
        <v>917</v>
      </c>
      <c r="O1590" s="2" t="s">
        <v>96</v>
      </c>
      <c r="P1590" s="2" t="str">
        <f>"2170530879                    "</f>
        <v xml:space="preserve">2170530879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4.1500000000000004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1</v>
      </c>
      <c r="BJ1590" s="2">
        <v>2.2000000000000002</v>
      </c>
      <c r="BK1590" s="2">
        <v>2.5</v>
      </c>
      <c r="BL1590" s="2">
        <v>50.95</v>
      </c>
      <c r="BM1590" s="2">
        <v>7.13</v>
      </c>
      <c r="BN1590" s="2">
        <v>58.08</v>
      </c>
      <c r="BO1590" s="2">
        <v>58.08</v>
      </c>
      <c r="BP1590" s="2"/>
      <c r="BQ1590" s="2" t="s">
        <v>918</v>
      </c>
      <c r="BR1590" s="2" t="s">
        <v>83</v>
      </c>
      <c r="BS1590" s="3">
        <v>42662</v>
      </c>
      <c r="BT1590" s="4">
        <v>0.3263888888888889</v>
      </c>
      <c r="BU1590" s="2" t="s">
        <v>1266</v>
      </c>
      <c r="BV1590" s="2" t="s">
        <v>85</v>
      </c>
      <c r="BW1590" s="2"/>
      <c r="BX1590" s="2"/>
      <c r="BY1590" s="2">
        <v>10933.06</v>
      </c>
      <c r="BZ1590" s="2"/>
      <c r="CA1590" s="2"/>
      <c r="CB1590" s="2"/>
      <c r="CC1590" s="2" t="s">
        <v>172</v>
      </c>
      <c r="CD1590" s="2">
        <v>6220</v>
      </c>
      <c r="CE1590" s="2" t="s">
        <v>86</v>
      </c>
      <c r="CF1590" s="5">
        <v>42663</v>
      </c>
      <c r="CG1590" s="2"/>
      <c r="CH1590" s="2"/>
      <c r="CI1590" s="2">
        <v>1</v>
      </c>
      <c r="CJ1590" s="2">
        <v>1</v>
      </c>
      <c r="CK1590" s="2">
        <v>21</v>
      </c>
      <c r="CL1590" s="2" t="s">
        <v>88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"FES1162507520"</f>
        <v>FES1162507520</v>
      </c>
      <c r="F1591" s="3">
        <v>42661</v>
      </c>
      <c r="G1591" s="2">
        <v>201704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98</v>
      </c>
      <c r="M1591" s="2" t="s">
        <v>99</v>
      </c>
      <c r="N1591" s="2" t="s">
        <v>213</v>
      </c>
      <c r="O1591" s="2" t="s">
        <v>96</v>
      </c>
      <c r="P1591" s="2" t="str">
        <f>"2170530963                    "</f>
        <v xml:space="preserve">2170530963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10.78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6.2</v>
      </c>
      <c r="BJ1591" s="2">
        <v>1.8</v>
      </c>
      <c r="BK1591" s="2">
        <v>6.5</v>
      </c>
      <c r="BL1591" s="2">
        <v>132.46</v>
      </c>
      <c r="BM1591" s="2">
        <v>18.54</v>
      </c>
      <c r="BN1591" s="2">
        <v>151</v>
      </c>
      <c r="BO1591" s="2">
        <v>151</v>
      </c>
      <c r="BP1591" s="2"/>
      <c r="BQ1591" s="2" t="s">
        <v>1050</v>
      </c>
      <c r="BR1591" s="2" t="s">
        <v>83</v>
      </c>
      <c r="BS1591" s="3">
        <v>42662</v>
      </c>
      <c r="BT1591" s="4">
        <v>0.3840277777777778</v>
      </c>
      <c r="BU1591" s="2" t="s">
        <v>431</v>
      </c>
      <c r="BV1591" s="2" t="s">
        <v>85</v>
      </c>
      <c r="BW1591" s="2"/>
      <c r="BX1591" s="2"/>
      <c r="BY1591" s="2">
        <v>8819.41</v>
      </c>
      <c r="BZ1591" s="2"/>
      <c r="CA1591" s="2"/>
      <c r="CB1591" s="2"/>
      <c r="CC1591" s="2" t="s">
        <v>99</v>
      </c>
      <c r="CD1591" s="2">
        <v>6045</v>
      </c>
      <c r="CE1591" s="2" t="s">
        <v>86</v>
      </c>
      <c r="CF1591" s="5">
        <v>42663</v>
      </c>
      <c r="CG1591" s="2"/>
      <c r="CH1591" s="2"/>
      <c r="CI1591" s="2">
        <v>1</v>
      </c>
      <c r="CJ1591" s="2">
        <v>1</v>
      </c>
      <c r="CK1591" s="2">
        <v>21</v>
      </c>
      <c r="CL1591" s="2" t="s">
        <v>88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"FES1162507396"</f>
        <v>FES1162507396</v>
      </c>
      <c r="F1592" s="3">
        <v>42661</v>
      </c>
      <c r="G1592" s="2">
        <v>201704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269</v>
      </c>
      <c r="M1592" s="2" t="s">
        <v>270</v>
      </c>
      <c r="N1592" s="2" t="s">
        <v>496</v>
      </c>
      <c r="O1592" s="2" t="s">
        <v>96</v>
      </c>
      <c r="P1592" s="2" t="str">
        <f>"2170530825                    "</f>
        <v xml:space="preserve">2170530825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3.32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0.8</v>
      </c>
      <c r="BJ1592" s="2">
        <v>1</v>
      </c>
      <c r="BK1592" s="2">
        <v>1</v>
      </c>
      <c r="BL1592" s="2">
        <v>40.76</v>
      </c>
      <c r="BM1592" s="2">
        <v>5.71</v>
      </c>
      <c r="BN1592" s="2">
        <v>46.47</v>
      </c>
      <c r="BO1592" s="2">
        <v>46.47</v>
      </c>
      <c r="BP1592" s="2"/>
      <c r="BQ1592" s="2" t="s">
        <v>892</v>
      </c>
      <c r="BR1592" s="2" t="s">
        <v>83</v>
      </c>
      <c r="BS1592" s="3">
        <v>42662</v>
      </c>
      <c r="BT1592" s="4">
        <v>0.40277777777777773</v>
      </c>
      <c r="BU1592" s="2" t="s">
        <v>1831</v>
      </c>
      <c r="BV1592" s="2" t="s">
        <v>85</v>
      </c>
      <c r="BW1592" s="2"/>
      <c r="BX1592" s="2"/>
      <c r="BY1592" s="2">
        <v>5023.24</v>
      </c>
      <c r="BZ1592" s="2"/>
      <c r="CA1592" s="2"/>
      <c r="CB1592" s="2"/>
      <c r="CC1592" s="2" t="s">
        <v>270</v>
      </c>
      <c r="CD1592" s="2">
        <v>3610</v>
      </c>
      <c r="CE1592" s="2" t="s">
        <v>86</v>
      </c>
      <c r="CF1592" s="5">
        <v>42663</v>
      </c>
      <c r="CG1592" s="2"/>
      <c r="CH1592" s="2"/>
      <c r="CI1592" s="2">
        <v>1</v>
      </c>
      <c r="CJ1592" s="2">
        <v>1</v>
      </c>
      <c r="CK1592" s="2">
        <v>21</v>
      </c>
      <c r="CL1592" s="2" t="s">
        <v>88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"FES1162507322"</f>
        <v>FES1162507322</v>
      </c>
      <c r="F1593" s="3">
        <v>42661</v>
      </c>
      <c r="G1593" s="2">
        <v>201704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98</v>
      </c>
      <c r="M1593" s="2" t="s">
        <v>99</v>
      </c>
      <c r="N1593" s="2" t="s">
        <v>330</v>
      </c>
      <c r="O1593" s="2" t="s">
        <v>96</v>
      </c>
      <c r="P1593" s="2" t="str">
        <f>"2170528423                    "</f>
        <v xml:space="preserve">2170528423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9.9499999999999993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5.2</v>
      </c>
      <c r="BJ1593" s="2">
        <v>5.9</v>
      </c>
      <c r="BK1593" s="2">
        <v>6</v>
      </c>
      <c r="BL1593" s="2">
        <v>122.27</v>
      </c>
      <c r="BM1593" s="2">
        <v>17.12</v>
      </c>
      <c r="BN1593" s="2">
        <v>139.38999999999999</v>
      </c>
      <c r="BO1593" s="2">
        <v>139.38999999999999</v>
      </c>
      <c r="BP1593" s="2"/>
      <c r="BQ1593" s="2" t="s">
        <v>331</v>
      </c>
      <c r="BR1593" s="2" t="s">
        <v>83</v>
      </c>
      <c r="BS1593" s="3">
        <v>42662</v>
      </c>
      <c r="BT1593" s="4">
        <v>0.41805555555555557</v>
      </c>
      <c r="BU1593" s="2" t="s">
        <v>467</v>
      </c>
      <c r="BV1593" s="2" t="s">
        <v>85</v>
      </c>
      <c r="BW1593" s="2"/>
      <c r="BX1593" s="2"/>
      <c r="BY1593" s="2">
        <v>29680.25</v>
      </c>
      <c r="BZ1593" s="2"/>
      <c r="CA1593" s="2" t="s">
        <v>468</v>
      </c>
      <c r="CB1593" s="2"/>
      <c r="CC1593" s="2" t="s">
        <v>99</v>
      </c>
      <c r="CD1593" s="2">
        <v>6070</v>
      </c>
      <c r="CE1593" s="2" t="s">
        <v>86</v>
      </c>
      <c r="CF1593" s="5">
        <v>42663</v>
      </c>
      <c r="CG1593" s="2"/>
      <c r="CH1593" s="2"/>
      <c r="CI1593" s="2">
        <v>1</v>
      </c>
      <c r="CJ1593" s="2">
        <v>1</v>
      </c>
      <c r="CK1593" s="2">
        <v>21</v>
      </c>
      <c r="CL1593" s="2" t="s">
        <v>88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"FES1162507478"</f>
        <v>FES1162507478</v>
      </c>
      <c r="F1594" s="3">
        <v>42661</v>
      </c>
      <c r="G1594" s="2">
        <v>201704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98</v>
      </c>
      <c r="M1594" s="2" t="s">
        <v>99</v>
      </c>
      <c r="N1594" s="2" t="s">
        <v>369</v>
      </c>
      <c r="O1594" s="2" t="s">
        <v>96</v>
      </c>
      <c r="P1594" s="2" t="str">
        <f>"2170530909                    "</f>
        <v xml:space="preserve">2170530909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4.1500000000000004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0.7</v>
      </c>
      <c r="BJ1594" s="2">
        <v>2.1</v>
      </c>
      <c r="BK1594" s="2">
        <v>2.5</v>
      </c>
      <c r="BL1594" s="2">
        <v>50.95</v>
      </c>
      <c r="BM1594" s="2">
        <v>7.13</v>
      </c>
      <c r="BN1594" s="2">
        <v>58.08</v>
      </c>
      <c r="BO1594" s="2">
        <v>58.08</v>
      </c>
      <c r="BP1594" s="2"/>
      <c r="BQ1594" s="2" t="s">
        <v>370</v>
      </c>
      <c r="BR1594" s="2" t="s">
        <v>83</v>
      </c>
      <c r="BS1594" s="3">
        <v>42662</v>
      </c>
      <c r="BT1594" s="4">
        <v>0.40277777777777773</v>
      </c>
      <c r="BU1594" s="2" t="s">
        <v>280</v>
      </c>
      <c r="BV1594" s="2" t="s">
        <v>85</v>
      </c>
      <c r="BW1594" s="2"/>
      <c r="BX1594" s="2"/>
      <c r="BY1594" s="2">
        <v>10658.54</v>
      </c>
      <c r="BZ1594" s="2"/>
      <c r="CA1594" s="2"/>
      <c r="CB1594" s="2"/>
      <c r="CC1594" s="2" t="s">
        <v>99</v>
      </c>
      <c r="CD1594" s="2">
        <v>6001</v>
      </c>
      <c r="CE1594" s="2" t="s">
        <v>108</v>
      </c>
      <c r="CF1594" s="5">
        <v>42662</v>
      </c>
      <c r="CG1594" s="2"/>
      <c r="CH1594" s="2"/>
      <c r="CI1594" s="2">
        <v>1</v>
      </c>
      <c r="CJ1594" s="2">
        <v>1</v>
      </c>
      <c r="CK1594" s="2">
        <v>21</v>
      </c>
      <c r="CL1594" s="2" t="s">
        <v>88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"FES1162507433"</f>
        <v>FES1162507433</v>
      </c>
      <c r="F1595" s="3">
        <v>42661</v>
      </c>
      <c r="G1595" s="2">
        <v>201704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137</v>
      </c>
      <c r="M1595" s="2" t="s">
        <v>138</v>
      </c>
      <c r="N1595" s="2" t="s">
        <v>420</v>
      </c>
      <c r="O1595" s="2" t="s">
        <v>96</v>
      </c>
      <c r="P1595" s="2" t="str">
        <f>"2170530727                    "</f>
        <v xml:space="preserve">2170530727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3.32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1.4</v>
      </c>
      <c r="BJ1595" s="2">
        <v>1.8</v>
      </c>
      <c r="BK1595" s="2">
        <v>2</v>
      </c>
      <c r="BL1595" s="2">
        <v>40.76</v>
      </c>
      <c r="BM1595" s="2">
        <v>5.71</v>
      </c>
      <c r="BN1595" s="2">
        <v>46.47</v>
      </c>
      <c r="BO1595" s="2">
        <v>46.47</v>
      </c>
      <c r="BP1595" s="2"/>
      <c r="BQ1595" s="2" t="s">
        <v>117</v>
      </c>
      <c r="BR1595" s="2" t="s">
        <v>83</v>
      </c>
      <c r="BS1595" s="3">
        <v>42662</v>
      </c>
      <c r="BT1595" s="4">
        <v>0.36944444444444446</v>
      </c>
      <c r="BU1595" s="2" t="s">
        <v>1221</v>
      </c>
      <c r="BV1595" s="2" t="s">
        <v>85</v>
      </c>
      <c r="BW1595" s="2"/>
      <c r="BX1595" s="2"/>
      <c r="BY1595" s="2">
        <v>8870.43</v>
      </c>
      <c r="BZ1595" s="2"/>
      <c r="CA1595" s="2"/>
      <c r="CB1595" s="2"/>
      <c r="CC1595" s="2" t="s">
        <v>138</v>
      </c>
      <c r="CD1595" s="2">
        <v>3201</v>
      </c>
      <c r="CE1595" s="2" t="s">
        <v>86</v>
      </c>
      <c r="CF1595" s="5">
        <v>42663</v>
      </c>
      <c r="CG1595" s="2"/>
      <c r="CH1595" s="2"/>
      <c r="CI1595" s="2">
        <v>1</v>
      </c>
      <c r="CJ1595" s="2">
        <v>1</v>
      </c>
      <c r="CK1595" s="2">
        <v>21</v>
      </c>
      <c r="CL1595" s="2" t="s">
        <v>88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"FES1162507529"</f>
        <v>FES1162507529</v>
      </c>
      <c r="F1596" s="3">
        <v>42661</v>
      </c>
      <c r="G1596" s="2">
        <v>201704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98</v>
      </c>
      <c r="M1596" s="2" t="s">
        <v>99</v>
      </c>
      <c r="N1596" s="2" t="s">
        <v>213</v>
      </c>
      <c r="O1596" s="2" t="s">
        <v>96</v>
      </c>
      <c r="P1596" s="2" t="str">
        <f>"2170530972                    "</f>
        <v xml:space="preserve">2170530972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8.2899999999999991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4</v>
      </c>
      <c r="BJ1596" s="2">
        <v>4.9000000000000004</v>
      </c>
      <c r="BK1596" s="2">
        <v>5</v>
      </c>
      <c r="BL1596" s="2">
        <v>101.89</v>
      </c>
      <c r="BM1596" s="2">
        <v>14.26</v>
      </c>
      <c r="BN1596" s="2">
        <v>116.15</v>
      </c>
      <c r="BO1596" s="2">
        <v>116.15</v>
      </c>
      <c r="BP1596" s="2"/>
      <c r="BQ1596" s="2" t="s">
        <v>1832</v>
      </c>
      <c r="BR1596" s="2" t="s">
        <v>83</v>
      </c>
      <c r="BS1596" s="3">
        <v>42662</v>
      </c>
      <c r="BT1596" s="4">
        <v>0.3840277777777778</v>
      </c>
      <c r="BU1596" s="2" t="s">
        <v>431</v>
      </c>
      <c r="BV1596" s="2" t="s">
        <v>85</v>
      </c>
      <c r="BW1596" s="2"/>
      <c r="BX1596" s="2"/>
      <c r="BY1596" s="2">
        <v>24474.84</v>
      </c>
      <c r="BZ1596" s="2"/>
      <c r="CA1596" s="2"/>
      <c r="CB1596" s="2"/>
      <c r="CC1596" s="2" t="s">
        <v>99</v>
      </c>
      <c r="CD1596" s="2">
        <v>6045</v>
      </c>
      <c r="CE1596" s="2" t="s">
        <v>86</v>
      </c>
      <c r="CF1596" s="5">
        <v>42663</v>
      </c>
      <c r="CG1596" s="2"/>
      <c r="CH1596" s="2"/>
      <c r="CI1596" s="2">
        <v>1</v>
      </c>
      <c r="CJ1596" s="2">
        <v>1</v>
      </c>
      <c r="CK1596" s="2">
        <v>21</v>
      </c>
      <c r="CL1596" s="2" t="s">
        <v>88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"FES1162507442"</f>
        <v>FES1162507442</v>
      </c>
      <c r="F1597" s="3">
        <v>42661</v>
      </c>
      <c r="G1597" s="2">
        <v>201704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98</v>
      </c>
      <c r="M1597" s="2" t="s">
        <v>99</v>
      </c>
      <c r="N1597" s="2" t="s">
        <v>369</v>
      </c>
      <c r="O1597" s="2" t="s">
        <v>96</v>
      </c>
      <c r="P1597" s="2" t="str">
        <f>"2170530819                    "</f>
        <v xml:space="preserve">2170530819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9.9499999999999993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5.6</v>
      </c>
      <c r="BJ1597" s="2">
        <v>3.4</v>
      </c>
      <c r="BK1597" s="2">
        <v>6</v>
      </c>
      <c r="BL1597" s="2">
        <v>122.27</v>
      </c>
      <c r="BM1597" s="2">
        <v>17.12</v>
      </c>
      <c r="BN1597" s="2">
        <v>139.38999999999999</v>
      </c>
      <c r="BO1597" s="2">
        <v>139.38999999999999</v>
      </c>
      <c r="BP1597" s="2"/>
      <c r="BQ1597" s="2" t="s">
        <v>370</v>
      </c>
      <c r="BR1597" s="2" t="s">
        <v>83</v>
      </c>
      <c r="BS1597" s="3">
        <v>42662</v>
      </c>
      <c r="BT1597" s="4">
        <v>0.45069444444444445</v>
      </c>
      <c r="BU1597" s="2" t="s">
        <v>371</v>
      </c>
      <c r="BV1597" s="2" t="s">
        <v>85</v>
      </c>
      <c r="BW1597" s="2"/>
      <c r="BX1597" s="2"/>
      <c r="BY1597" s="2">
        <v>17038.080000000002</v>
      </c>
      <c r="BZ1597" s="2"/>
      <c r="CA1597" s="2" t="s">
        <v>107</v>
      </c>
      <c r="CB1597" s="2"/>
      <c r="CC1597" s="2" t="s">
        <v>99</v>
      </c>
      <c r="CD1597" s="2">
        <v>6001</v>
      </c>
      <c r="CE1597" s="2" t="s">
        <v>86</v>
      </c>
      <c r="CF1597" s="5">
        <v>42662</v>
      </c>
      <c r="CG1597" s="2"/>
      <c r="CH1597" s="2"/>
      <c r="CI1597" s="2">
        <v>1</v>
      </c>
      <c r="CJ1597" s="2">
        <v>1</v>
      </c>
      <c r="CK1597" s="2">
        <v>21</v>
      </c>
      <c r="CL1597" s="2" t="s">
        <v>88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"FES1162507372"</f>
        <v>FES1162507372</v>
      </c>
      <c r="F1598" s="3">
        <v>42661</v>
      </c>
      <c r="G1598" s="2">
        <v>201704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148</v>
      </c>
      <c r="M1598" s="2" t="s">
        <v>149</v>
      </c>
      <c r="N1598" s="2" t="s">
        <v>1833</v>
      </c>
      <c r="O1598" s="2" t="s">
        <v>96</v>
      </c>
      <c r="P1598" s="2" t="str">
        <f>"2170529899                    "</f>
        <v xml:space="preserve">2170529899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13.27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7.6</v>
      </c>
      <c r="BJ1598" s="2">
        <v>3.3</v>
      </c>
      <c r="BK1598" s="2">
        <v>8</v>
      </c>
      <c r="BL1598" s="2">
        <v>163.03</v>
      </c>
      <c r="BM1598" s="2">
        <v>22.82</v>
      </c>
      <c r="BN1598" s="2">
        <v>185.85</v>
      </c>
      <c r="BO1598" s="2">
        <v>185.85</v>
      </c>
      <c r="BP1598" s="2"/>
      <c r="BQ1598" s="2" t="s">
        <v>91</v>
      </c>
      <c r="BR1598" s="2" t="s">
        <v>83</v>
      </c>
      <c r="BS1598" s="3">
        <v>42662</v>
      </c>
      <c r="BT1598" s="4">
        <v>0.33333333333333331</v>
      </c>
      <c r="BU1598" s="2" t="s">
        <v>1503</v>
      </c>
      <c r="BV1598" s="2" t="s">
        <v>85</v>
      </c>
      <c r="BW1598" s="2"/>
      <c r="BX1598" s="2"/>
      <c r="BY1598" s="2">
        <v>16692.48</v>
      </c>
      <c r="BZ1598" s="2"/>
      <c r="CA1598" s="2"/>
      <c r="CB1598" s="2"/>
      <c r="CC1598" s="2" t="s">
        <v>149</v>
      </c>
      <c r="CD1598" s="2">
        <v>4052</v>
      </c>
      <c r="CE1598" s="2" t="s">
        <v>86</v>
      </c>
      <c r="CF1598" s="5">
        <v>42663</v>
      </c>
      <c r="CG1598" s="2"/>
      <c r="CH1598" s="2"/>
      <c r="CI1598" s="2">
        <v>1</v>
      </c>
      <c r="CJ1598" s="2">
        <v>1</v>
      </c>
      <c r="CK1598" s="2">
        <v>21</v>
      </c>
      <c r="CL1598" s="2" t="s">
        <v>88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"FES1162507393"</f>
        <v>FES1162507393</v>
      </c>
      <c r="F1599" s="3">
        <v>42661</v>
      </c>
      <c r="G1599" s="2">
        <v>201704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143</v>
      </c>
      <c r="M1599" s="2" t="s">
        <v>144</v>
      </c>
      <c r="N1599" s="2" t="s">
        <v>273</v>
      </c>
      <c r="O1599" s="2" t="s">
        <v>96</v>
      </c>
      <c r="P1599" s="2" t="str">
        <f>"2170530822                    "</f>
        <v xml:space="preserve">2170530822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5.81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0.3</v>
      </c>
      <c r="BJ1599" s="2">
        <v>3.3</v>
      </c>
      <c r="BK1599" s="2">
        <v>3.5</v>
      </c>
      <c r="BL1599" s="2">
        <v>71.33</v>
      </c>
      <c r="BM1599" s="2">
        <v>9.99</v>
      </c>
      <c r="BN1599" s="2">
        <v>81.319999999999993</v>
      </c>
      <c r="BO1599" s="2">
        <v>81.319999999999993</v>
      </c>
      <c r="BP1599" s="2"/>
      <c r="BQ1599" s="2" t="s">
        <v>274</v>
      </c>
      <c r="BR1599" s="2" t="s">
        <v>83</v>
      </c>
      <c r="BS1599" s="3">
        <v>42662</v>
      </c>
      <c r="BT1599" s="4">
        <v>0.4368055555555555</v>
      </c>
      <c r="BU1599" s="2" t="s">
        <v>1805</v>
      </c>
      <c r="BV1599" s="2" t="s">
        <v>85</v>
      </c>
      <c r="BW1599" s="2"/>
      <c r="BX1599" s="2"/>
      <c r="BY1599" s="2">
        <v>16642.080000000002</v>
      </c>
      <c r="BZ1599" s="2"/>
      <c r="CA1599" s="2" t="s">
        <v>129</v>
      </c>
      <c r="CB1599" s="2"/>
      <c r="CC1599" s="2" t="s">
        <v>144</v>
      </c>
      <c r="CD1599" s="2">
        <v>5201</v>
      </c>
      <c r="CE1599" s="2" t="s">
        <v>108</v>
      </c>
      <c r="CF1599" s="5">
        <v>42664</v>
      </c>
      <c r="CG1599" s="2"/>
      <c r="CH1599" s="2"/>
      <c r="CI1599" s="2">
        <v>1</v>
      </c>
      <c r="CJ1599" s="2">
        <v>1</v>
      </c>
      <c r="CK1599" s="2">
        <v>21</v>
      </c>
      <c r="CL1599" s="2" t="s">
        <v>88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"FES1162507306"</f>
        <v>FES1162507306</v>
      </c>
      <c r="F1600" s="3">
        <v>42661</v>
      </c>
      <c r="G1600" s="2">
        <v>201704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160</v>
      </c>
      <c r="M1600" s="2" t="s">
        <v>161</v>
      </c>
      <c r="N1600" s="2" t="s">
        <v>176</v>
      </c>
      <c r="O1600" s="2" t="s">
        <v>96</v>
      </c>
      <c r="P1600" s="2" t="str">
        <f>"2170528093                    "</f>
        <v xml:space="preserve">2170528093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3.32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1.3</v>
      </c>
      <c r="BJ1600" s="2">
        <v>1.8</v>
      </c>
      <c r="BK1600" s="2">
        <v>2</v>
      </c>
      <c r="BL1600" s="2">
        <v>40.76</v>
      </c>
      <c r="BM1600" s="2">
        <v>5.71</v>
      </c>
      <c r="BN1600" s="2">
        <v>46.47</v>
      </c>
      <c r="BO1600" s="2">
        <v>46.47</v>
      </c>
      <c r="BP1600" s="2"/>
      <c r="BQ1600" s="2" t="s">
        <v>258</v>
      </c>
      <c r="BR1600" s="2" t="s">
        <v>83</v>
      </c>
      <c r="BS1600" s="3">
        <v>42662</v>
      </c>
      <c r="BT1600" s="4">
        <v>0.41666666666666669</v>
      </c>
      <c r="BU1600" s="2" t="s">
        <v>1697</v>
      </c>
      <c r="BV1600" s="2" t="s">
        <v>85</v>
      </c>
      <c r="BW1600" s="2"/>
      <c r="BX1600" s="2"/>
      <c r="BY1600" s="2">
        <v>9023.48</v>
      </c>
      <c r="BZ1600" s="2"/>
      <c r="CA1600" s="2" t="s">
        <v>129</v>
      </c>
      <c r="CB1600" s="2"/>
      <c r="CC1600" s="2" t="s">
        <v>161</v>
      </c>
      <c r="CD1600" s="2">
        <v>7405</v>
      </c>
      <c r="CE1600" s="2" t="s">
        <v>86</v>
      </c>
      <c r="CF1600" s="5">
        <v>42663</v>
      </c>
      <c r="CG1600" s="2"/>
      <c r="CH1600" s="2"/>
      <c r="CI1600" s="2">
        <v>1</v>
      </c>
      <c r="CJ1600" s="2">
        <v>1</v>
      </c>
      <c r="CK1600" s="2">
        <v>21</v>
      </c>
      <c r="CL1600" s="2" t="s">
        <v>88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"FES1162507423"</f>
        <v>FES1162507423</v>
      </c>
      <c r="F1601" s="3">
        <v>42661</v>
      </c>
      <c r="G1601" s="2">
        <v>201704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93</v>
      </c>
      <c r="M1601" s="2" t="s">
        <v>94</v>
      </c>
      <c r="N1601" s="2" t="s">
        <v>536</v>
      </c>
      <c r="O1601" s="2" t="s">
        <v>96</v>
      </c>
      <c r="P1601" s="2" t="str">
        <f>"2170530852                    "</f>
        <v xml:space="preserve">2170530852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6.63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3.8</v>
      </c>
      <c r="BJ1601" s="2">
        <v>1.9</v>
      </c>
      <c r="BK1601" s="2">
        <v>4</v>
      </c>
      <c r="BL1601" s="2">
        <v>81.510000000000005</v>
      </c>
      <c r="BM1601" s="2">
        <v>11.41</v>
      </c>
      <c r="BN1601" s="2">
        <v>92.92</v>
      </c>
      <c r="BO1601" s="2">
        <v>92.92</v>
      </c>
      <c r="BP1601" s="2"/>
      <c r="BQ1601" s="2" t="s">
        <v>537</v>
      </c>
      <c r="BR1601" s="2" t="s">
        <v>83</v>
      </c>
      <c r="BS1601" s="3">
        <v>42662</v>
      </c>
      <c r="BT1601" s="4">
        <v>0.39583333333333331</v>
      </c>
      <c r="BU1601" s="2" t="s">
        <v>852</v>
      </c>
      <c r="BV1601" s="2" t="s">
        <v>85</v>
      </c>
      <c r="BW1601" s="2"/>
      <c r="BX1601" s="2"/>
      <c r="BY1601" s="2">
        <v>9378.14</v>
      </c>
      <c r="BZ1601" s="2"/>
      <c r="CA1601" s="2"/>
      <c r="CB1601" s="2"/>
      <c r="CC1601" s="2" t="s">
        <v>94</v>
      </c>
      <c r="CD1601" s="2">
        <v>4300</v>
      </c>
      <c r="CE1601" s="2" t="s">
        <v>86</v>
      </c>
      <c r="CF1601" s="5">
        <v>42663</v>
      </c>
      <c r="CG1601" s="2"/>
      <c r="CH1601" s="2"/>
      <c r="CI1601" s="2">
        <v>1</v>
      </c>
      <c r="CJ1601" s="2">
        <v>1</v>
      </c>
      <c r="CK1601" s="2">
        <v>21</v>
      </c>
      <c r="CL1601" s="2" t="s">
        <v>88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"FES1162507468"</f>
        <v>FES1162507468</v>
      </c>
      <c r="F1602" s="3">
        <v>42661</v>
      </c>
      <c r="G1602" s="2">
        <v>201704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148</v>
      </c>
      <c r="M1602" s="2" t="s">
        <v>149</v>
      </c>
      <c r="N1602" s="2" t="s">
        <v>1647</v>
      </c>
      <c r="O1602" s="2" t="s">
        <v>96</v>
      </c>
      <c r="P1602" s="2" t="str">
        <f>"2170528401                    "</f>
        <v xml:space="preserve">2170528401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5.81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1.5</v>
      </c>
      <c r="BJ1602" s="2">
        <v>3.3</v>
      </c>
      <c r="BK1602" s="2">
        <v>3.5</v>
      </c>
      <c r="BL1602" s="2">
        <v>71.33</v>
      </c>
      <c r="BM1602" s="2">
        <v>9.99</v>
      </c>
      <c r="BN1602" s="2">
        <v>81.319999999999993</v>
      </c>
      <c r="BO1602" s="2">
        <v>81.319999999999993</v>
      </c>
      <c r="BP1602" s="2"/>
      <c r="BQ1602" s="2" t="s">
        <v>1648</v>
      </c>
      <c r="BR1602" s="2" t="s">
        <v>83</v>
      </c>
      <c r="BS1602" s="3">
        <v>42662</v>
      </c>
      <c r="BT1602" s="4">
        <v>0.4375</v>
      </c>
      <c r="BU1602" s="2" t="s">
        <v>1760</v>
      </c>
      <c r="BV1602" s="2" t="s">
        <v>85</v>
      </c>
      <c r="BW1602" s="2"/>
      <c r="BX1602" s="2"/>
      <c r="BY1602" s="2">
        <v>16621.55</v>
      </c>
      <c r="BZ1602" s="2"/>
      <c r="CA1602" s="2"/>
      <c r="CB1602" s="2"/>
      <c r="CC1602" s="2" t="s">
        <v>149</v>
      </c>
      <c r="CD1602" s="2">
        <v>4001</v>
      </c>
      <c r="CE1602" s="2" t="s">
        <v>86</v>
      </c>
      <c r="CF1602" s="5">
        <v>42663</v>
      </c>
      <c r="CG1602" s="2"/>
      <c r="CH1602" s="2"/>
      <c r="CI1602" s="2">
        <v>1</v>
      </c>
      <c r="CJ1602" s="2">
        <v>1</v>
      </c>
      <c r="CK1602" s="2">
        <v>21</v>
      </c>
      <c r="CL1602" s="2" t="s">
        <v>88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"FES1162507471"</f>
        <v>FES1162507471</v>
      </c>
      <c r="F1603" s="3">
        <v>42661</v>
      </c>
      <c r="G1603" s="2">
        <v>201704</v>
      </c>
      <c r="H1603" s="2" t="s">
        <v>74</v>
      </c>
      <c r="I1603" s="2" t="s">
        <v>75</v>
      </c>
      <c r="J1603" s="2" t="s">
        <v>76</v>
      </c>
      <c r="K1603" s="2" t="s">
        <v>77</v>
      </c>
      <c r="L1603" s="2" t="s">
        <v>98</v>
      </c>
      <c r="M1603" s="2" t="s">
        <v>99</v>
      </c>
      <c r="N1603" s="2" t="s">
        <v>109</v>
      </c>
      <c r="O1603" s="2" t="s">
        <v>96</v>
      </c>
      <c r="P1603" s="2" t="str">
        <f>"2170528080                    "</f>
        <v xml:space="preserve">2170528080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37.32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2</v>
      </c>
      <c r="BI1603" s="2">
        <v>10.3</v>
      </c>
      <c r="BJ1603" s="2">
        <v>22.3</v>
      </c>
      <c r="BK1603" s="2">
        <v>22.5</v>
      </c>
      <c r="BL1603" s="2">
        <v>458.52</v>
      </c>
      <c r="BM1603" s="2">
        <v>64.19</v>
      </c>
      <c r="BN1603" s="2">
        <v>522.71</v>
      </c>
      <c r="BO1603" s="2">
        <v>522.71</v>
      </c>
      <c r="BP1603" s="2"/>
      <c r="BQ1603" s="2" t="s">
        <v>110</v>
      </c>
      <c r="BR1603" s="2" t="s">
        <v>83</v>
      </c>
      <c r="BS1603" s="3">
        <v>42662</v>
      </c>
      <c r="BT1603" s="4">
        <v>0.41666666666666669</v>
      </c>
      <c r="BU1603" s="2" t="s">
        <v>629</v>
      </c>
      <c r="BV1603" s="2" t="s">
        <v>85</v>
      </c>
      <c r="BW1603" s="2"/>
      <c r="BX1603" s="2"/>
      <c r="BY1603" s="2">
        <v>111497.04</v>
      </c>
      <c r="BZ1603" s="2"/>
      <c r="CA1603" s="2"/>
      <c r="CB1603" s="2"/>
      <c r="CC1603" s="2" t="s">
        <v>99</v>
      </c>
      <c r="CD1603" s="2">
        <v>6001</v>
      </c>
      <c r="CE1603" s="2" t="s">
        <v>108</v>
      </c>
      <c r="CF1603" s="5">
        <v>42662</v>
      </c>
      <c r="CG1603" s="2"/>
      <c r="CH1603" s="2"/>
      <c r="CI1603" s="2">
        <v>1</v>
      </c>
      <c r="CJ1603" s="2">
        <v>1</v>
      </c>
      <c r="CK1603" s="2">
        <v>21</v>
      </c>
      <c r="CL1603" s="2" t="s">
        <v>88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"FES1162507534"</f>
        <v>FES1162507534</v>
      </c>
      <c r="F1604" s="3">
        <v>42661</v>
      </c>
      <c r="G1604" s="2">
        <v>201704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98</v>
      </c>
      <c r="M1604" s="2" t="s">
        <v>99</v>
      </c>
      <c r="N1604" s="2" t="s">
        <v>133</v>
      </c>
      <c r="O1604" s="2" t="s">
        <v>96</v>
      </c>
      <c r="P1604" s="2" t="str">
        <f>"2170530635                    "</f>
        <v xml:space="preserve">2170530635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4.9800000000000004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2.8</v>
      </c>
      <c r="BJ1604" s="2">
        <v>1.7</v>
      </c>
      <c r="BK1604" s="2">
        <v>3</v>
      </c>
      <c r="BL1604" s="2">
        <v>61.14</v>
      </c>
      <c r="BM1604" s="2">
        <v>8.56</v>
      </c>
      <c r="BN1604" s="2">
        <v>69.7</v>
      </c>
      <c r="BO1604" s="2">
        <v>69.7</v>
      </c>
      <c r="BP1604" s="2"/>
      <c r="BQ1604" s="2" t="s">
        <v>134</v>
      </c>
      <c r="BR1604" s="2" t="s">
        <v>83</v>
      </c>
      <c r="BS1604" s="3">
        <v>42662</v>
      </c>
      <c r="BT1604" s="4">
        <v>0.41666666666666669</v>
      </c>
      <c r="BU1604" s="2" t="s">
        <v>1264</v>
      </c>
      <c r="BV1604" s="2" t="s">
        <v>85</v>
      </c>
      <c r="BW1604" s="2"/>
      <c r="BX1604" s="2"/>
      <c r="BY1604" s="2">
        <v>8321.77</v>
      </c>
      <c r="BZ1604" s="2"/>
      <c r="CA1604" s="2"/>
      <c r="CB1604" s="2"/>
      <c r="CC1604" s="2" t="s">
        <v>99</v>
      </c>
      <c r="CD1604" s="2">
        <v>6001</v>
      </c>
      <c r="CE1604" s="2" t="s">
        <v>108</v>
      </c>
      <c r="CF1604" s="5">
        <v>42663</v>
      </c>
      <c r="CG1604" s="2"/>
      <c r="CH1604" s="2"/>
      <c r="CI1604" s="2">
        <v>1</v>
      </c>
      <c r="CJ1604" s="2">
        <v>1</v>
      </c>
      <c r="CK1604" s="2">
        <v>21</v>
      </c>
      <c r="CL1604" s="2" t="s">
        <v>88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"FES1162507538"</f>
        <v>FES1162507538</v>
      </c>
      <c r="F1605" s="3">
        <v>42661</v>
      </c>
      <c r="G1605" s="2">
        <v>201704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143</v>
      </c>
      <c r="M1605" s="2" t="s">
        <v>144</v>
      </c>
      <c r="N1605" s="2" t="s">
        <v>273</v>
      </c>
      <c r="O1605" s="2" t="s">
        <v>96</v>
      </c>
      <c r="P1605" s="2" t="str">
        <f>"2170530751                    "</f>
        <v xml:space="preserve">2170530751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5.81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3.5</v>
      </c>
      <c r="BJ1605" s="2">
        <v>1.6</v>
      </c>
      <c r="BK1605" s="2">
        <v>3.5</v>
      </c>
      <c r="BL1605" s="2">
        <v>71.33</v>
      </c>
      <c r="BM1605" s="2">
        <v>9.99</v>
      </c>
      <c r="BN1605" s="2">
        <v>81.319999999999993</v>
      </c>
      <c r="BO1605" s="2">
        <v>81.319999999999993</v>
      </c>
      <c r="BP1605" s="2"/>
      <c r="BQ1605" s="2" t="s">
        <v>274</v>
      </c>
      <c r="BR1605" s="2" t="s">
        <v>83</v>
      </c>
      <c r="BS1605" s="3">
        <v>42662</v>
      </c>
      <c r="BT1605" s="4">
        <v>0.4368055555555555</v>
      </c>
      <c r="BU1605" s="2" t="s">
        <v>1805</v>
      </c>
      <c r="BV1605" s="2" t="s">
        <v>85</v>
      </c>
      <c r="BW1605" s="2"/>
      <c r="BX1605" s="2"/>
      <c r="BY1605" s="2">
        <v>8207.43</v>
      </c>
      <c r="BZ1605" s="2"/>
      <c r="CA1605" s="2" t="s">
        <v>129</v>
      </c>
      <c r="CB1605" s="2"/>
      <c r="CC1605" s="2" t="s">
        <v>144</v>
      </c>
      <c r="CD1605" s="2">
        <v>5201</v>
      </c>
      <c r="CE1605" s="2" t="s">
        <v>86</v>
      </c>
      <c r="CF1605" s="5">
        <v>42664</v>
      </c>
      <c r="CG1605" s="2"/>
      <c r="CH1605" s="2"/>
      <c r="CI1605" s="2">
        <v>1</v>
      </c>
      <c r="CJ1605" s="2">
        <v>1</v>
      </c>
      <c r="CK1605" s="2">
        <v>21</v>
      </c>
      <c r="CL1605" s="2" t="s">
        <v>88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"FES1162507504"</f>
        <v>FES1162507504</v>
      </c>
      <c r="F1606" s="3">
        <v>42661</v>
      </c>
      <c r="G1606" s="2">
        <v>201704</v>
      </c>
      <c r="H1606" s="2" t="s">
        <v>74</v>
      </c>
      <c r="I1606" s="2" t="s">
        <v>75</v>
      </c>
      <c r="J1606" s="2" t="s">
        <v>76</v>
      </c>
      <c r="K1606" s="2" t="s">
        <v>77</v>
      </c>
      <c r="L1606" s="2" t="s">
        <v>98</v>
      </c>
      <c r="M1606" s="2" t="s">
        <v>99</v>
      </c>
      <c r="N1606" s="2" t="s">
        <v>606</v>
      </c>
      <c r="O1606" s="2" t="s">
        <v>96</v>
      </c>
      <c r="P1606" s="2" t="str">
        <f>"2170530943                    "</f>
        <v xml:space="preserve">2170530943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8.2899999999999991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5</v>
      </c>
      <c r="BJ1606" s="2">
        <v>3.5</v>
      </c>
      <c r="BK1606" s="2">
        <v>5</v>
      </c>
      <c r="BL1606" s="2">
        <v>101.89</v>
      </c>
      <c r="BM1606" s="2">
        <v>14.26</v>
      </c>
      <c r="BN1606" s="2">
        <v>116.15</v>
      </c>
      <c r="BO1606" s="2">
        <v>116.15</v>
      </c>
      <c r="BP1606" s="2"/>
      <c r="BQ1606" s="2" t="s">
        <v>607</v>
      </c>
      <c r="BR1606" s="2" t="s">
        <v>83</v>
      </c>
      <c r="BS1606" s="3">
        <v>42662</v>
      </c>
      <c r="BT1606" s="4">
        <v>0.40972222222222227</v>
      </c>
      <c r="BU1606" s="2" t="s">
        <v>1785</v>
      </c>
      <c r="BV1606" s="2" t="s">
        <v>85</v>
      </c>
      <c r="BW1606" s="2"/>
      <c r="BX1606" s="2"/>
      <c r="BY1606" s="2">
        <v>17437.990000000002</v>
      </c>
      <c r="BZ1606" s="2"/>
      <c r="CA1606" s="2"/>
      <c r="CB1606" s="2"/>
      <c r="CC1606" s="2" t="s">
        <v>99</v>
      </c>
      <c r="CD1606" s="2">
        <v>6001</v>
      </c>
      <c r="CE1606" s="2" t="s">
        <v>86</v>
      </c>
      <c r="CF1606" s="5">
        <v>42663</v>
      </c>
      <c r="CG1606" s="2"/>
      <c r="CH1606" s="2"/>
      <c r="CI1606" s="2">
        <v>1</v>
      </c>
      <c r="CJ1606" s="2">
        <v>1</v>
      </c>
      <c r="CK1606" s="2">
        <v>21</v>
      </c>
      <c r="CL1606" s="2" t="s">
        <v>88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"FES1162507282"</f>
        <v>FES1162507282</v>
      </c>
      <c r="F1607" s="3">
        <v>42661</v>
      </c>
      <c r="G1607" s="2">
        <v>201704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160</v>
      </c>
      <c r="M1607" s="2" t="s">
        <v>161</v>
      </c>
      <c r="N1607" s="2" t="s">
        <v>452</v>
      </c>
      <c r="O1607" s="2" t="s">
        <v>96</v>
      </c>
      <c r="P1607" s="2" t="str">
        <f>"2170530812                    "</f>
        <v xml:space="preserve">2170530812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10.78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6.2</v>
      </c>
      <c r="BJ1607" s="2">
        <v>1.7</v>
      </c>
      <c r="BK1607" s="2">
        <v>6.5</v>
      </c>
      <c r="BL1607" s="2">
        <v>132.46</v>
      </c>
      <c r="BM1607" s="2">
        <v>18.54</v>
      </c>
      <c r="BN1607" s="2">
        <v>151</v>
      </c>
      <c r="BO1607" s="2">
        <v>151</v>
      </c>
      <c r="BP1607" s="2"/>
      <c r="BQ1607" s="2" t="s">
        <v>453</v>
      </c>
      <c r="BR1607" s="2" t="s">
        <v>83</v>
      </c>
      <c r="BS1607" s="3">
        <v>42662</v>
      </c>
      <c r="BT1607" s="4">
        <v>0.40763888888888888</v>
      </c>
      <c r="BU1607" s="2" t="s">
        <v>180</v>
      </c>
      <c r="BV1607" s="2" t="s">
        <v>85</v>
      </c>
      <c r="BW1607" s="2"/>
      <c r="BX1607" s="2"/>
      <c r="BY1607" s="2">
        <v>8542.1299999999992</v>
      </c>
      <c r="BZ1607" s="2"/>
      <c r="CA1607" s="2"/>
      <c r="CB1607" s="2"/>
      <c r="CC1607" s="2" t="s">
        <v>161</v>
      </c>
      <c r="CD1607" s="2">
        <v>7530</v>
      </c>
      <c r="CE1607" s="2" t="s">
        <v>86</v>
      </c>
      <c r="CF1607" s="5">
        <v>42663</v>
      </c>
      <c r="CG1607" s="2"/>
      <c r="CH1607" s="2"/>
      <c r="CI1607" s="2">
        <v>1</v>
      </c>
      <c r="CJ1607" s="2">
        <v>1</v>
      </c>
      <c r="CK1607" s="2">
        <v>21</v>
      </c>
      <c r="CL1607" s="2" t="s">
        <v>88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"FES1162507466"</f>
        <v>FES1162507466</v>
      </c>
      <c r="F1608" s="3">
        <v>42661</v>
      </c>
      <c r="G1608" s="2">
        <v>201704</v>
      </c>
      <c r="H1608" s="2" t="s">
        <v>74</v>
      </c>
      <c r="I1608" s="2" t="s">
        <v>75</v>
      </c>
      <c r="J1608" s="2" t="s">
        <v>76</v>
      </c>
      <c r="K1608" s="2" t="s">
        <v>77</v>
      </c>
      <c r="L1608" s="2" t="s">
        <v>160</v>
      </c>
      <c r="M1608" s="2" t="s">
        <v>161</v>
      </c>
      <c r="N1608" s="2" t="s">
        <v>184</v>
      </c>
      <c r="O1608" s="2" t="s">
        <v>96</v>
      </c>
      <c r="P1608" s="2" t="str">
        <f>"2170530906                    "</f>
        <v xml:space="preserve">2170530906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3.32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1.9</v>
      </c>
      <c r="BJ1608" s="2">
        <v>1.1000000000000001</v>
      </c>
      <c r="BK1608" s="2">
        <v>2</v>
      </c>
      <c r="BL1608" s="2">
        <v>40.76</v>
      </c>
      <c r="BM1608" s="2">
        <v>5.71</v>
      </c>
      <c r="BN1608" s="2">
        <v>46.47</v>
      </c>
      <c r="BO1608" s="2">
        <v>46.47</v>
      </c>
      <c r="BP1608" s="2"/>
      <c r="BQ1608" s="2" t="s">
        <v>117</v>
      </c>
      <c r="BR1608" s="2" t="s">
        <v>83</v>
      </c>
      <c r="BS1608" s="3">
        <v>42662</v>
      </c>
      <c r="BT1608" s="4">
        <v>0.41666666666666669</v>
      </c>
      <c r="BU1608" s="2" t="s">
        <v>431</v>
      </c>
      <c r="BV1608" s="2" t="s">
        <v>85</v>
      </c>
      <c r="BW1608" s="2"/>
      <c r="BX1608" s="2"/>
      <c r="BY1608" s="2">
        <v>5291</v>
      </c>
      <c r="BZ1608" s="2"/>
      <c r="CA1608" s="2"/>
      <c r="CB1608" s="2"/>
      <c r="CC1608" s="2" t="s">
        <v>161</v>
      </c>
      <c r="CD1608" s="2">
        <v>7441</v>
      </c>
      <c r="CE1608" s="2" t="s">
        <v>86</v>
      </c>
      <c r="CF1608" s="5">
        <v>42663</v>
      </c>
      <c r="CG1608" s="2"/>
      <c r="CH1608" s="2"/>
      <c r="CI1608" s="2">
        <v>1</v>
      </c>
      <c r="CJ1608" s="2">
        <v>1</v>
      </c>
      <c r="CK1608" s="2">
        <v>21</v>
      </c>
      <c r="CL1608" s="2" t="s">
        <v>88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"FES1162507328"</f>
        <v>FES1162507328</v>
      </c>
      <c r="F1609" s="3">
        <v>42661</v>
      </c>
      <c r="G1609" s="2">
        <v>201704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98</v>
      </c>
      <c r="M1609" s="2" t="s">
        <v>99</v>
      </c>
      <c r="N1609" s="2" t="s">
        <v>104</v>
      </c>
      <c r="O1609" s="2" t="s">
        <v>96</v>
      </c>
      <c r="P1609" s="2" t="str">
        <f>"2170528514                    "</f>
        <v xml:space="preserve">2170528514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6.63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4</v>
      </c>
      <c r="BJ1609" s="2">
        <v>3.4</v>
      </c>
      <c r="BK1609" s="2">
        <v>4</v>
      </c>
      <c r="BL1609" s="2">
        <v>81.510000000000005</v>
      </c>
      <c r="BM1609" s="2">
        <v>11.41</v>
      </c>
      <c r="BN1609" s="2">
        <v>92.92</v>
      </c>
      <c r="BO1609" s="2">
        <v>92.92</v>
      </c>
      <c r="BP1609" s="2"/>
      <c r="BQ1609" s="2" t="s">
        <v>105</v>
      </c>
      <c r="BR1609" s="2" t="s">
        <v>83</v>
      </c>
      <c r="BS1609" s="3">
        <v>42662</v>
      </c>
      <c r="BT1609" s="4">
        <v>0.43263888888888885</v>
      </c>
      <c r="BU1609" s="2" t="s">
        <v>105</v>
      </c>
      <c r="BV1609" s="2" t="s">
        <v>85</v>
      </c>
      <c r="BW1609" s="2"/>
      <c r="BX1609" s="2"/>
      <c r="BY1609" s="2">
        <v>16985.09</v>
      </c>
      <c r="BZ1609" s="2"/>
      <c r="CA1609" s="2"/>
      <c r="CB1609" s="2"/>
      <c r="CC1609" s="2" t="s">
        <v>99</v>
      </c>
      <c r="CD1609" s="2">
        <v>6001</v>
      </c>
      <c r="CE1609" s="2" t="s">
        <v>86</v>
      </c>
      <c r="CF1609" s="5">
        <v>42663</v>
      </c>
      <c r="CG1609" s="2"/>
      <c r="CH1609" s="2"/>
      <c r="CI1609" s="2">
        <v>1</v>
      </c>
      <c r="CJ1609" s="2">
        <v>1</v>
      </c>
      <c r="CK1609" s="2">
        <v>21</v>
      </c>
      <c r="CL1609" s="2" t="s">
        <v>88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"FES1162507469"</f>
        <v>FES1162507469</v>
      </c>
      <c r="F1610" s="3">
        <v>42661</v>
      </c>
      <c r="G1610" s="2">
        <v>201704</v>
      </c>
      <c r="H1610" s="2" t="s">
        <v>74</v>
      </c>
      <c r="I1610" s="2" t="s">
        <v>75</v>
      </c>
      <c r="J1610" s="2" t="s">
        <v>76</v>
      </c>
      <c r="K1610" s="2" t="s">
        <v>77</v>
      </c>
      <c r="L1610" s="2" t="s">
        <v>98</v>
      </c>
      <c r="M1610" s="2" t="s">
        <v>99</v>
      </c>
      <c r="N1610" s="2" t="s">
        <v>109</v>
      </c>
      <c r="O1610" s="2" t="s">
        <v>96</v>
      </c>
      <c r="P1610" s="2" t="str">
        <f>"2170528016                    "</f>
        <v xml:space="preserve">2170528016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37.32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11.5</v>
      </c>
      <c r="BJ1610" s="2">
        <v>22.5</v>
      </c>
      <c r="BK1610" s="2">
        <v>22.5</v>
      </c>
      <c r="BL1610" s="2">
        <v>458.52</v>
      </c>
      <c r="BM1610" s="2">
        <v>64.19</v>
      </c>
      <c r="BN1610" s="2">
        <v>522.71</v>
      </c>
      <c r="BO1610" s="2">
        <v>522.71</v>
      </c>
      <c r="BP1610" s="2"/>
      <c r="BQ1610" s="2" t="s">
        <v>110</v>
      </c>
      <c r="BR1610" s="2" t="s">
        <v>83</v>
      </c>
      <c r="BS1610" s="3">
        <v>42662</v>
      </c>
      <c r="BT1610" s="4">
        <v>0.41666666666666669</v>
      </c>
      <c r="BU1610" s="2" t="s">
        <v>629</v>
      </c>
      <c r="BV1610" s="2" t="s">
        <v>85</v>
      </c>
      <c r="BW1610" s="2"/>
      <c r="BX1610" s="2"/>
      <c r="BY1610" s="2">
        <v>112324.4</v>
      </c>
      <c r="BZ1610" s="2"/>
      <c r="CA1610" s="2"/>
      <c r="CB1610" s="2"/>
      <c r="CC1610" s="2" t="s">
        <v>99</v>
      </c>
      <c r="CD1610" s="2">
        <v>6001</v>
      </c>
      <c r="CE1610" s="2" t="s">
        <v>86</v>
      </c>
      <c r="CF1610" s="5">
        <v>42663</v>
      </c>
      <c r="CG1610" s="2"/>
      <c r="CH1610" s="2"/>
      <c r="CI1610" s="2">
        <v>1</v>
      </c>
      <c r="CJ1610" s="2">
        <v>1</v>
      </c>
      <c r="CK1610" s="2">
        <v>21</v>
      </c>
      <c r="CL1610" s="2" t="s">
        <v>88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"FES1162507475"</f>
        <v>FES1162507475</v>
      </c>
      <c r="F1611" s="3">
        <v>42661</v>
      </c>
      <c r="G1611" s="2">
        <v>201704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98</v>
      </c>
      <c r="M1611" s="2" t="s">
        <v>99</v>
      </c>
      <c r="N1611" s="2" t="s">
        <v>551</v>
      </c>
      <c r="O1611" s="2" t="s">
        <v>96</v>
      </c>
      <c r="P1611" s="2" t="str">
        <f>"2170523679                    "</f>
        <v xml:space="preserve">2170523679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3.32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1.1000000000000001</v>
      </c>
      <c r="BJ1611" s="2">
        <v>1.3</v>
      </c>
      <c r="BK1611" s="2">
        <v>1.5</v>
      </c>
      <c r="BL1611" s="2">
        <v>40.76</v>
      </c>
      <c r="BM1611" s="2">
        <v>5.71</v>
      </c>
      <c r="BN1611" s="2">
        <v>46.47</v>
      </c>
      <c r="BO1611" s="2">
        <v>46.47</v>
      </c>
      <c r="BP1611" s="2"/>
      <c r="BQ1611" s="2" t="s">
        <v>552</v>
      </c>
      <c r="BR1611" s="2" t="s">
        <v>83</v>
      </c>
      <c r="BS1611" s="3">
        <v>42662</v>
      </c>
      <c r="BT1611" s="4">
        <v>0.375</v>
      </c>
      <c r="BU1611" s="2" t="s">
        <v>1834</v>
      </c>
      <c r="BV1611" s="2" t="s">
        <v>85</v>
      </c>
      <c r="BW1611" s="2"/>
      <c r="BX1611" s="2"/>
      <c r="BY1611" s="2">
        <v>6534.84</v>
      </c>
      <c r="BZ1611" s="2"/>
      <c r="CA1611" s="2"/>
      <c r="CB1611" s="2"/>
      <c r="CC1611" s="2" t="s">
        <v>99</v>
      </c>
      <c r="CD1611" s="2">
        <v>6001</v>
      </c>
      <c r="CE1611" s="2" t="s">
        <v>86</v>
      </c>
      <c r="CF1611" s="5">
        <v>42663</v>
      </c>
      <c r="CG1611" s="2"/>
      <c r="CH1611" s="2"/>
      <c r="CI1611" s="2">
        <v>1</v>
      </c>
      <c r="CJ1611" s="2">
        <v>1</v>
      </c>
      <c r="CK1611" s="2">
        <v>21</v>
      </c>
      <c r="CL1611" s="2" t="s">
        <v>88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"FES1162507476"</f>
        <v>FES1162507476</v>
      </c>
      <c r="F1612" s="3">
        <v>42661</v>
      </c>
      <c r="G1612" s="2">
        <v>201704</v>
      </c>
      <c r="H1612" s="2" t="s">
        <v>74</v>
      </c>
      <c r="I1612" s="2" t="s">
        <v>75</v>
      </c>
      <c r="J1612" s="2" t="s">
        <v>76</v>
      </c>
      <c r="K1612" s="2" t="s">
        <v>77</v>
      </c>
      <c r="L1612" s="2" t="s">
        <v>93</v>
      </c>
      <c r="M1612" s="2" t="s">
        <v>94</v>
      </c>
      <c r="N1612" s="2" t="s">
        <v>536</v>
      </c>
      <c r="O1612" s="2" t="s">
        <v>96</v>
      </c>
      <c r="P1612" s="2" t="str">
        <f>"2170529078                    "</f>
        <v xml:space="preserve">2170529078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8.2899999999999991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4.7</v>
      </c>
      <c r="BJ1612" s="2">
        <v>2.9</v>
      </c>
      <c r="BK1612" s="2">
        <v>5</v>
      </c>
      <c r="BL1612" s="2">
        <v>101.89</v>
      </c>
      <c r="BM1612" s="2">
        <v>14.26</v>
      </c>
      <c r="BN1612" s="2">
        <v>116.15</v>
      </c>
      <c r="BO1612" s="2">
        <v>116.15</v>
      </c>
      <c r="BP1612" s="2"/>
      <c r="BQ1612" s="2" t="s">
        <v>537</v>
      </c>
      <c r="BR1612" s="2" t="s">
        <v>83</v>
      </c>
      <c r="BS1612" s="3">
        <v>42662</v>
      </c>
      <c r="BT1612" s="4">
        <v>0.4375</v>
      </c>
      <c r="BU1612" s="2" t="s">
        <v>1636</v>
      </c>
      <c r="BV1612" s="2" t="s">
        <v>85</v>
      </c>
      <c r="BW1612" s="2"/>
      <c r="BX1612" s="2"/>
      <c r="BY1612" s="2">
        <v>14686.85</v>
      </c>
      <c r="BZ1612" s="2"/>
      <c r="CA1612" s="2" t="s">
        <v>129</v>
      </c>
      <c r="CB1612" s="2"/>
      <c r="CC1612" s="2" t="s">
        <v>94</v>
      </c>
      <c r="CD1612" s="2">
        <v>4300</v>
      </c>
      <c r="CE1612" s="2" t="s">
        <v>86</v>
      </c>
      <c r="CF1612" s="5">
        <v>42663</v>
      </c>
      <c r="CG1612" s="2"/>
      <c r="CH1612" s="2"/>
      <c r="CI1612" s="2">
        <v>1</v>
      </c>
      <c r="CJ1612" s="2">
        <v>1</v>
      </c>
      <c r="CK1612" s="2">
        <v>21</v>
      </c>
      <c r="CL1612" s="2" t="s">
        <v>88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"FES1162507558"</f>
        <v>FES1162507558</v>
      </c>
      <c r="F1613" s="3">
        <v>42661</v>
      </c>
      <c r="G1613" s="2">
        <v>201704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143</v>
      </c>
      <c r="M1613" s="2" t="s">
        <v>144</v>
      </c>
      <c r="N1613" s="2" t="s">
        <v>317</v>
      </c>
      <c r="O1613" s="2" t="s">
        <v>81</v>
      </c>
      <c r="P1613" s="2" t="str">
        <f>"2170530994                    "</f>
        <v xml:space="preserve">2170530994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8.5299999999999994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2</v>
      </c>
      <c r="BI1613" s="2">
        <v>20.7</v>
      </c>
      <c r="BJ1613" s="2">
        <v>10.8</v>
      </c>
      <c r="BK1613" s="2">
        <v>21</v>
      </c>
      <c r="BL1613" s="2">
        <v>109.85</v>
      </c>
      <c r="BM1613" s="2">
        <v>15.38</v>
      </c>
      <c r="BN1613" s="2">
        <v>125.23</v>
      </c>
      <c r="BO1613" s="2">
        <v>125.23</v>
      </c>
      <c r="BP1613" s="2" t="s">
        <v>90</v>
      </c>
      <c r="BQ1613" s="2" t="s">
        <v>318</v>
      </c>
      <c r="BR1613" s="2" t="s">
        <v>83</v>
      </c>
      <c r="BS1613" s="3">
        <v>42662</v>
      </c>
      <c r="BT1613" s="4">
        <v>0.41666666666666669</v>
      </c>
      <c r="BU1613" s="2" t="s">
        <v>1835</v>
      </c>
      <c r="BV1613" s="2"/>
      <c r="BW1613" s="2"/>
      <c r="BX1613" s="2"/>
      <c r="BY1613" s="2">
        <v>54006.42</v>
      </c>
      <c r="BZ1613" s="2"/>
      <c r="CA1613" s="2"/>
      <c r="CB1613" s="2"/>
      <c r="CC1613" s="2" t="s">
        <v>144</v>
      </c>
      <c r="CD1613" s="2">
        <v>5200</v>
      </c>
      <c r="CE1613" s="2" t="s">
        <v>86</v>
      </c>
      <c r="CF1613" s="5">
        <v>42664</v>
      </c>
      <c r="CG1613" s="2"/>
      <c r="CH1613" s="2"/>
      <c r="CI1613" s="2">
        <v>0</v>
      </c>
      <c r="CJ1613" s="2">
        <v>0</v>
      </c>
      <c r="CK1613" s="2" t="s">
        <v>1061</v>
      </c>
      <c r="CL1613" s="2" t="s">
        <v>88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"FES1162507472"</f>
        <v>FES1162507472</v>
      </c>
      <c r="F1614" s="3">
        <v>42661</v>
      </c>
      <c r="G1614" s="2">
        <v>201704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153</v>
      </c>
      <c r="M1614" s="2" t="s">
        <v>153</v>
      </c>
      <c r="N1614" s="2" t="s">
        <v>200</v>
      </c>
      <c r="O1614" s="2" t="s">
        <v>81</v>
      </c>
      <c r="P1614" s="2" t="str">
        <f>"2170525592                    "</f>
        <v xml:space="preserve">2170525592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16.09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46.1</v>
      </c>
      <c r="BJ1614" s="2">
        <v>16.899999999999999</v>
      </c>
      <c r="BK1614" s="2">
        <v>47</v>
      </c>
      <c r="BL1614" s="2">
        <v>202.69</v>
      </c>
      <c r="BM1614" s="2">
        <v>28.38</v>
      </c>
      <c r="BN1614" s="2">
        <v>231.07</v>
      </c>
      <c r="BO1614" s="2">
        <v>231.07</v>
      </c>
      <c r="BP1614" s="2" t="s">
        <v>1836</v>
      </c>
      <c r="BQ1614" s="2" t="s">
        <v>201</v>
      </c>
      <c r="BR1614" s="2" t="s">
        <v>83</v>
      </c>
      <c r="BS1614" s="3">
        <v>42663</v>
      </c>
      <c r="BT1614" s="4">
        <v>0.61458333333333337</v>
      </c>
      <c r="BU1614" s="2" t="s">
        <v>1837</v>
      </c>
      <c r="BV1614" s="2" t="s">
        <v>85</v>
      </c>
      <c r="BW1614" s="2"/>
      <c r="BX1614" s="2"/>
      <c r="BY1614" s="2">
        <v>84642.62</v>
      </c>
      <c r="BZ1614" s="2"/>
      <c r="CA1614" s="2" t="s">
        <v>129</v>
      </c>
      <c r="CB1614" s="2"/>
      <c r="CC1614" s="2" t="s">
        <v>153</v>
      </c>
      <c r="CD1614" s="2">
        <v>7646</v>
      </c>
      <c r="CE1614" s="2" t="s">
        <v>86</v>
      </c>
      <c r="CF1614" s="5">
        <v>42664</v>
      </c>
      <c r="CG1614" s="2"/>
      <c r="CH1614" s="2"/>
      <c r="CI1614" s="2">
        <v>2</v>
      </c>
      <c r="CJ1614" s="2">
        <v>2</v>
      </c>
      <c r="CK1614" s="2" t="s">
        <v>1063</v>
      </c>
      <c r="CL1614" s="2" t="s">
        <v>88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"FES1162507329"</f>
        <v>FES1162507329</v>
      </c>
      <c r="F1615" s="3">
        <v>42661</v>
      </c>
      <c r="G1615" s="2">
        <v>201704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148</v>
      </c>
      <c r="M1615" s="2" t="s">
        <v>149</v>
      </c>
      <c r="N1615" s="2" t="s">
        <v>762</v>
      </c>
      <c r="O1615" s="2" t="s">
        <v>96</v>
      </c>
      <c r="P1615" s="2" t="str">
        <f>"2170528517                    "</f>
        <v xml:space="preserve">2170528517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3.32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0.5</v>
      </c>
      <c r="BJ1615" s="2">
        <v>0.2</v>
      </c>
      <c r="BK1615" s="2">
        <v>0.5</v>
      </c>
      <c r="BL1615" s="2">
        <v>40.76</v>
      </c>
      <c r="BM1615" s="2">
        <v>5.71</v>
      </c>
      <c r="BN1615" s="2">
        <v>46.47</v>
      </c>
      <c r="BO1615" s="2">
        <v>46.47</v>
      </c>
      <c r="BP1615" s="2"/>
      <c r="BQ1615" s="2" t="s">
        <v>91</v>
      </c>
      <c r="BR1615" s="2" t="s">
        <v>83</v>
      </c>
      <c r="BS1615" s="3">
        <v>42662</v>
      </c>
      <c r="BT1615" s="4">
        <v>0.43055555555555558</v>
      </c>
      <c r="BU1615" s="2" t="s">
        <v>1838</v>
      </c>
      <c r="BV1615" s="2" t="s">
        <v>85</v>
      </c>
      <c r="BW1615" s="2"/>
      <c r="BX1615" s="2"/>
      <c r="BY1615" s="2">
        <v>1200</v>
      </c>
      <c r="BZ1615" s="2"/>
      <c r="CA1615" s="2"/>
      <c r="CB1615" s="2"/>
      <c r="CC1615" s="2" t="s">
        <v>149</v>
      </c>
      <c r="CD1615" s="2">
        <v>4068</v>
      </c>
      <c r="CE1615" s="2" t="s">
        <v>108</v>
      </c>
      <c r="CF1615" s="5">
        <v>42663</v>
      </c>
      <c r="CG1615" s="2"/>
      <c r="CH1615" s="2"/>
      <c r="CI1615" s="2">
        <v>1</v>
      </c>
      <c r="CJ1615" s="2">
        <v>1</v>
      </c>
      <c r="CK1615" s="2">
        <v>21</v>
      </c>
      <c r="CL1615" s="2" t="s">
        <v>88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"FES1162507368"</f>
        <v>FES1162507368</v>
      </c>
      <c r="F1616" s="3">
        <v>42661</v>
      </c>
      <c r="G1616" s="2">
        <v>201704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269</v>
      </c>
      <c r="M1616" s="2" t="s">
        <v>270</v>
      </c>
      <c r="N1616" s="2" t="s">
        <v>1450</v>
      </c>
      <c r="O1616" s="2" t="s">
        <v>96</v>
      </c>
      <c r="P1616" s="2" t="str">
        <f>"2170529775                    "</f>
        <v xml:space="preserve">2170529775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3.32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0.5</v>
      </c>
      <c r="BJ1616" s="2">
        <v>0.2</v>
      </c>
      <c r="BK1616" s="2">
        <v>0.5</v>
      </c>
      <c r="BL1616" s="2">
        <v>40.76</v>
      </c>
      <c r="BM1616" s="2">
        <v>5.71</v>
      </c>
      <c r="BN1616" s="2">
        <v>46.47</v>
      </c>
      <c r="BO1616" s="2">
        <v>46.47</v>
      </c>
      <c r="BP1616" s="2"/>
      <c r="BQ1616" s="2" t="s">
        <v>1451</v>
      </c>
      <c r="BR1616" s="2" t="s">
        <v>83</v>
      </c>
      <c r="BS1616" s="3">
        <v>42662</v>
      </c>
      <c r="BT1616" s="4">
        <v>0.33680555555555558</v>
      </c>
      <c r="BU1616" s="2" t="s">
        <v>431</v>
      </c>
      <c r="BV1616" s="2" t="s">
        <v>85</v>
      </c>
      <c r="BW1616" s="2"/>
      <c r="BX1616" s="2"/>
      <c r="BY1616" s="2">
        <v>1200</v>
      </c>
      <c r="BZ1616" s="2"/>
      <c r="CA1616" s="2"/>
      <c r="CB1616" s="2"/>
      <c r="CC1616" s="2" t="s">
        <v>270</v>
      </c>
      <c r="CD1616" s="2">
        <v>3610</v>
      </c>
      <c r="CE1616" s="2" t="s">
        <v>108</v>
      </c>
      <c r="CF1616" s="5">
        <v>42663</v>
      </c>
      <c r="CG1616" s="2"/>
      <c r="CH1616" s="2"/>
      <c r="CI1616" s="2">
        <v>1</v>
      </c>
      <c r="CJ1616" s="2">
        <v>1</v>
      </c>
      <c r="CK1616" s="2">
        <v>21</v>
      </c>
      <c r="CL1616" s="2" t="s">
        <v>88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"FES1162507310"</f>
        <v>FES1162507310</v>
      </c>
      <c r="F1617" s="3">
        <v>42661</v>
      </c>
      <c r="G1617" s="2">
        <v>201704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98</v>
      </c>
      <c r="M1617" s="2" t="s">
        <v>99</v>
      </c>
      <c r="N1617" s="2" t="s">
        <v>350</v>
      </c>
      <c r="O1617" s="2" t="s">
        <v>96</v>
      </c>
      <c r="P1617" s="2" t="str">
        <f>"2170528246                    "</f>
        <v xml:space="preserve">2170528246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3.32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1.1000000000000001</v>
      </c>
      <c r="BJ1617" s="2">
        <v>1.9</v>
      </c>
      <c r="BK1617" s="2">
        <v>2</v>
      </c>
      <c r="BL1617" s="2">
        <v>40.76</v>
      </c>
      <c r="BM1617" s="2">
        <v>5.71</v>
      </c>
      <c r="BN1617" s="2">
        <v>46.47</v>
      </c>
      <c r="BO1617" s="2">
        <v>46.47</v>
      </c>
      <c r="BP1617" s="2"/>
      <c r="BQ1617" s="2" t="s">
        <v>351</v>
      </c>
      <c r="BR1617" s="2" t="s">
        <v>83</v>
      </c>
      <c r="BS1617" s="3">
        <v>42662</v>
      </c>
      <c r="BT1617" s="4">
        <v>0.40138888888888885</v>
      </c>
      <c r="BU1617" s="2" t="s">
        <v>600</v>
      </c>
      <c r="BV1617" s="2" t="s">
        <v>85</v>
      </c>
      <c r="BW1617" s="2"/>
      <c r="BX1617" s="2"/>
      <c r="BY1617" s="2">
        <v>9590.2000000000007</v>
      </c>
      <c r="BZ1617" s="2"/>
      <c r="CA1617" s="2"/>
      <c r="CB1617" s="2"/>
      <c r="CC1617" s="2" t="s">
        <v>99</v>
      </c>
      <c r="CD1617" s="2">
        <v>6001</v>
      </c>
      <c r="CE1617" s="2" t="s">
        <v>108</v>
      </c>
      <c r="CF1617" s="5">
        <v>42662</v>
      </c>
      <c r="CG1617" s="2"/>
      <c r="CH1617" s="2"/>
      <c r="CI1617" s="2">
        <v>1</v>
      </c>
      <c r="CJ1617" s="2">
        <v>1</v>
      </c>
      <c r="CK1617" s="2">
        <v>21</v>
      </c>
      <c r="CL1617" s="2" t="s">
        <v>88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"FES1162507359"</f>
        <v>FES1162507359</v>
      </c>
      <c r="F1618" s="3">
        <v>42661</v>
      </c>
      <c r="G1618" s="2">
        <v>201704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1676</v>
      </c>
      <c r="M1618" s="2" t="s">
        <v>1677</v>
      </c>
      <c r="N1618" s="2" t="s">
        <v>1678</v>
      </c>
      <c r="O1618" s="2" t="s">
        <v>96</v>
      </c>
      <c r="P1618" s="2" t="str">
        <f>"2170529554                    "</f>
        <v xml:space="preserve">2170529554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6.43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0.5</v>
      </c>
      <c r="BJ1618" s="2">
        <v>0.2</v>
      </c>
      <c r="BK1618" s="2">
        <v>0.5</v>
      </c>
      <c r="BL1618" s="2">
        <v>78.97</v>
      </c>
      <c r="BM1618" s="2">
        <v>11.06</v>
      </c>
      <c r="BN1618" s="2">
        <v>90.03</v>
      </c>
      <c r="BO1618" s="2">
        <v>90.03</v>
      </c>
      <c r="BP1618" s="2"/>
      <c r="BQ1618" s="2" t="s">
        <v>168</v>
      </c>
      <c r="BR1618" s="2" t="s">
        <v>83</v>
      </c>
      <c r="BS1618" s="3">
        <v>42662</v>
      </c>
      <c r="BT1618" s="4">
        <v>0.4375</v>
      </c>
      <c r="BU1618" s="2" t="s">
        <v>1839</v>
      </c>
      <c r="BV1618" s="2" t="s">
        <v>85</v>
      </c>
      <c r="BW1618" s="2"/>
      <c r="BX1618" s="2"/>
      <c r="BY1618" s="2">
        <v>1200</v>
      </c>
      <c r="BZ1618" s="2"/>
      <c r="CA1618" s="2"/>
      <c r="CB1618" s="2"/>
      <c r="CC1618" s="2" t="s">
        <v>1677</v>
      </c>
      <c r="CD1618" s="2">
        <v>2531</v>
      </c>
      <c r="CE1618" s="2" t="s">
        <v>108</v>
      </c>
      <c r="CF1618" s="5">
        <v>42664</v>
      </c>
      <c r="CG1618" s="2"/>
      <c r="CH1618" s="2"/>
      <c r="CI1618" s="2">
        <v>1</v>
      </c>
      <c r="CJ1618" s="2">
        <v>1</v>
      </c>
      <c r="CK1618" s="2">
        <v>23</v>
      </c>
      <c r="CL1618" s="2" t="s">
        <v>88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"FES1162507074"</f>
        <v>FES1162507074</v>
      </c>
      <c r="F1619" s="3">
        <v>42660</v>
      </c>
      <c r="G1619" s="2">
        <v>201704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148</v>
      </c>
      <c r="M1619" s="2" t="s">
        <v>149</v>
      </c>
      <c r="N1619" s="2" t="s">
        <v>432</v>
      </c>
      <c r="O1619" s="2" t="s">
        <v>96</v>
      </c>
      <c r="P1619" s="2" t="str">
        <f>"2170530557                    "</f>
        <v xml:space="preserve">2170530557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3.32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0.5</v>
      </c>
      <c r="BJ1619" s="2">
        <v>0.2</v>
      </c>
      <c r="BK1619" s="2">
        <v>0.5</v>
      </c>
      <c r="BL1619" s="2">
        <v>40.76</v>
      </c>
      <c r="BM1619" s="2">
        <v>5.71</v>
      </c>
      <c r="BN1619" s="2">
        <v>46.47</v>
      </c>
      <c r="BO1619" s="2">
        <v>46.47</v>
      </c>
      <c r="BP1619" s="2"/>
      <c r="BQ1619" s="2" t="s">
        <v>91</v>
      </c>
      <c r="BR1619" s="2" t="s">
        <v>83</v>
      </c>
      <c r="BS1619" s="3">
        <v>42662</v>
      </c>
      <c r="BT1619" s="4">
        <v>0.2986111111111111</v>
      </c>
      <c r="BU1619" s="2" t="s">
        <v>1840</v>
      </c>
      <c r="BV1619" s="2" t="s">
        <v>85</v>
      </c>
      <c r="BW1619" s="2"/>
      <c r="BX1619" s="2"/>
      <c r="BY1619" s="2">
        <v>1200</v>
      </c>
      <c r="BZ1619" s="2"/>
      <c r="CA1619" s="2"/>
      <c r="CB1619" s="2"/>
      <c r="CC1619" s="2" t="s">
        <v>149</v>
      </c>
      <c r="CD1619" s="2">
        <v>4052</v>
      </c>
      <c r="CE1619" s="2" t="s">
        <v>108</v>
      </c>
      <c r="CF1619" s="5">
        <v>42663</v>
      </c>
      <c r="CG1619" s="2"/>
      <c r="CH1619" s="2"/>
      <c r="CI1619" s="2">
        <v>1</v>
      </c>
      <c r="CJ1619" s="2">
        <v>1</v>
      </c>
      <c r="CK1619" s="2">
        <v>21</v>
      </c>
      <c r="CL1619" s="2" t="s">
        <v>88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"FES1162507349"</f>
        <v>FES1162507349</v>
      </c>
      <c r="F1620" s="3">
        <v>42661</v>
      </c>
      <c r="G1620" s="2">
        <v>201704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253</v>
      </c>
      <c r="M1620" s="2" t="s">
        <v>254</v>
      </c>
      <c r="N1620" s="2" t="s">
        <v>255</v>
      </c>
      <c r="O1620" s="2" t="s">
        <v>96</v>
      </c>
      <c r="P1620" s="2" t="str">
        <f>"2170529124                    "</f>
        <v xml:space="preserve">2170529124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6.43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0.5</v>
      </c>
      <c r="BJ1620" s="2">
        <v>0.2</v>
      </c>
      <c r="BK1620" s="2">
        <v>0.5</v>
      </c>
      <c r="BL1620" s="2">
        <v>78.97</v>
      </c>
      <c r="BM1620" s="2">
        <v>11.06</v>
      </c>
      <c r="BN1620" s="2">
        <v>90.03</v>
      </c>
      <c r="BO1620" s="2">
        <v>90.03</v>
      </c>
      <c r="BP1620" s="2"/>
      <c r="BQ1620" s="2" t="s">
        <v>117</v>
      </c>
      <c r="BR1620" s="2" t="s">
        <v>83</v>
      </c>
      <c r="BS1620" s="3">
        <v>42662</v>
      </c>
      <c r="BT1620" s="4">
        <v>0.59722222222222221</v>
      </c>
      <c r="BU1620" s="2" t="s">
        <v>974</v>
      </c>
      <c r="BV1620" s="2" t="s">
        <v>85</v>
      </c>
      <c r="BW1620" s="2"/>
      <c r="BX1620" s="2"/>
      <c r="BY1620" s="2">
        <v>1200</v>
      </c>
      <c r="BZ1620" s="2"/>
      <c r="CA1620" s="2"/>
      <c r="CB1620" s="2"/>
      <c r="CC1620" s="2" t="s">
        <v>254</v>
      </c>
      <c r="CD1620" s="2">
        <v>3370</v>
      </c>
      <c r="CE1620" s="2" t="s">
        <v>108</v>
      </c>
      <c r="CF1620" s="5">
        <v>42664</v>
      </c>
      <c r="CG1620" s="2"/>
      <c r="CH1620" s="2"/>
      <c r="CI1620" s="2">
        <v>3</v>
      </c>
      <c r="CJ1620" s="2">
        <v>1</v>
      </c>
      <c r="CK1620" s="2">
        <v>23</v>
      </c>
      <c r="CL1620" s="2" t="s">
        <v>88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"FES1162507421"</f>
        <v>FES1162507421</v>
      </c>
      <c r="F1621" s="3">
        <v>42661</v>
      </c>
      <c r="G1621" s="2">
        <v>201704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160</v>
      </c>
      <c r="M1621" s="2" t="s">
        <v>161</v>
      </c>
      <c r="N1621" s="2" t="s">
        <v>622</v>
      </c>
      <c r="O1621" s="2" t="s">
        <v>96</v>
      </c>
      <c r="P1621" s="2" t="str">
        <f>"2170530850                    "</f>
        <v xml:space="preserve">2170530850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3.32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0.3</v>
      </c>
      <c r="BJ1621" s="2">
        <v>0.9</v>
      </c>
      <c r="BK1621" s="2">
        <v>1</v>
      </c>
      <c r="BL1621" s="2">
        <v>40.76</v>
      </c>
      <c r="BM1621" s="2">
        <v>5.71</v>
      </c>
      <c r="BN1621" s="2">
        <v>46.47</v>
      </c>
      <c r="BO1621" s="2">
        <v>46.47</v>
      </c>
      <c r="BP1621" s="2"/>
      <c r="BQ1621" s="2" t="s">
        <v>623</v>
      </c>
      <c r="BR1621" s="2" t="s">
        <v>83</v>
      </c>
      <c r="BS1621" s="3">
        <v>42662</v>
      </c>
      <c r="BT1621" s="4">
        <v>0.44305555555555554</v>
      </c>
      <c r="BU1621" s="2" t="s">
        <v>1788</v>
      </c>
      <c r="BV1621" s="2" t="s">
        <v>85</v>
      </c>
      <c r="BW1621" s="2"/>
      <c r="BX1621" s="2"/>
      <c r="BY1621" s="2">
        <v>4701.2700000000004</v>
      </c>
      <c r="BZ1621" s="2"/>
      <c r="CA1621" s="2"/>
      <c r="CB1621" s="2"/>
      <c r="CC1621" s="2" t="s">
        <v>161</v>
      </c>
      <c r="CD1621" s="2">
        <v>7490</v>
      </c>
      <c r="CE1621" s="2" t="s">
        <v>108</v>
      </c>
      <c r="CF1621" s="5">
        <v>42663</v>
      </c>
      <c r="CG1621" s="2"/>
      <c r="CH1621" s="2"/>
      <c r="CI1621" s="2">
        <v>1</v>
      </c>
      <c r="CJ1621" s="2">
        <v>1</v>
      </c>
      <c r="CK1621" s="2">
        <v>21</v>
      </c>
      <c r="CL1621" s="2" t="s">
        <v>88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"FES1162507356"</f>
        <v>FES1162507356</v>
      </c>
      <c r="F1622" s="3">
        <v>42661</v>
      </c>
      <c r="G1622" s="2">
        <v>201704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160</v>
      </c>
      <c r="M1622" s="2" t="s">
        <v>161</v>
      </c>
      <c r="N1622" s="2" t="s">
        <v>1238</v>
      </c>
      <c r="O1622" s="2" t="s">
        <v>96</v>
      </c>
      <c r="P1622" s="2" t="str">
        <f>"2170529475                    "</f>
        <v xml:space="preserve">2170529475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3.32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0.5</v>
      </c>
      <c r="BJ1622" s="2">
        <v>0.2</v>
      </c>
      <c r="BK1622" s="2">
        <v>0.5</v>
      </c>
      <c r="BL1622" s="2">
        <v>40.76</v>
      </c>
      <c r="BM1622" s="2">
        <v>5.71</v>
      </c>
      <c r="BN1622" s="2">
        <v>46.47</v>
      </c>
      <c r="BO1622" s="2">
        <v>46.47</v>
      </c>
      <c r="BP1622" s="2"/>
      <c r="BQ1622" s="2" t="s">
        <v>91</v>
      </c>
      <c r="BR1622" s="2" t="s">
        <v>83</v>
      </c>
      <c r="BS1622" s="3">
        <v>42662</v>
      </c>
      <c r="BT1622" s="4">
        <v>0.41666666666666669</v>
      </c>
      <c r="BU1622" s="2" t="s">
        <v>1787</v>
      </c>
      <c r="BV1622" s="2" t="s">
        <v>85</v>
      </c>
      <c r="BW1622" s="2"/>
      <c r="BX1622" s="2"/>
      <c r="BY1622" s="2">
        <v>1200</v>
      </c>
      <c r="BZ1622" s="2"/>
      <c r="CA1622" s="2"/>
      <c r="CB1622" s="2"/>
      <c r="CC1622" s="2" t="s">
        <v>161</v>
      </c>
      <c r="CD1622" s="2">
        <v>7405</v>
      </c>
      <c r="CE1622" s="2" t="s">
        <v>108</v>
      </c>
      <c r="CF1622" s="5">
        <v>42663</v>
      </c>
      <c r="CG1622" s="2"/>
      <c r="CH1622" s="2"/>
      <c r="CI1622" s="2">
        <v>1</v>
      </c>
      <c r="CJ1622" s="2">
        <v>1</v>
      </c>
      <c r="CK1622" s="2">
        <v>21</v>
      </c>
      <c r="CL1622" s="2" t="s">
        <v>88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"FES1162507370"</f>
        <v>FES1162507370</v>
      </c>
      <c r="F1623" s="3">
        <v>42661</v>
      </c>
      <c r="G1623" s="2">
        <v>201704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160</v>
      </c>
      <c r="M1623" s="2" t="s">
        <v>161</v>
      </c>
      <c r="N1623" s="2" t="s">
        <v>1436</v>
      </c>
      <c r="O1623" s="2" t="s">
        <v>96</v>
      </c>
      <c r="P1623" s="2" t="str">
        <f>"2170529885                    "</f>
        <v xml:space="preserve">2170529885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3.32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0.5</v>
      </c>
      <c r="BJ1623" s="2">
        <v>0.2</v>
      </c>
      <c r="BK1623" s="2">
        <v>0.5</v>
      </c>
      <c r="BL1623" s="2">
        <v>40.76</v>
      </c>
      <c r="BM1623" s="2">
        <v>5.71</v>
      </c>
      <c r="BN1623" s="2">
        <v>46.47</v>
      </c>
      <c r="BO1623" s="2">
        <v>46.47</v>
      </c>
      <c r="BP1623" s="2"/>
      <c r="BQ1623" s="2" t="s">
        <v>1437</v>
      </c>
      <c r="BR1623" s="2" t="s">
        <v>83</v>
      </c>
      <c r="BS1623" s="3">
        <v>42662</v>
      </c>
      <c r="BT1623" s="4">
        <v>0.41666666666666669</v>
      </c>
      <c r="BU1623" s="2" t="s">
        <v>378</v>
      </c>
      <c r="BV1623" s="2" t="s">
        <v>85</v>
      </c>
      <c r="BW1623" s="2"/>
      <c r="BX1623" s="2"/>
      <c r="BY1623" s="2">
        <v>1200</v>
      </c>
      <c r="BZ1623" s="2"/>
      <c r="CA1623" s="2"/>
      <c r="CB1623" s="2"/>
      <c r="CC1623" s="2" t="s">
        <v>161</v>
      </c>
      <c r="CD1623" s="2">
        <v>7460</v>
      </c>
      <c r="CE1623" s="2" t="s">
        <v>108</v>
      </c>
      <c r="CF1623" s="5">
        <v>42663</v>
      </c>
      <c r="CG1623" s="2"/>
      <c r="CH1623" s="2"/>
      <c r="CI1623" s="2">
        <v>1</v>
      </c>
      <c r="CJ1623" s="2">
        <v>1</v>
      </c>
      <c r="CK1623" s="2">
        <v>21</v>
      </c>
      <c r="CL1623" s="2" t="s">
        <v>88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"FES1162507293"</f>
        <v>FES1162507293</v>
      </c>
      <c r="F1624" s="3">
        <v>42661</v>
      </c>
      <c r="G1624" s="2">
        <v>201704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160</v>
      </c>
      <c r="M1624" s="2" t="s">
        <v>161</v>
      </c>
      <c r="N1624" s="2" t="s">
        <v>622</v>
      </c>
      <c r="O1624" s="2" t="s">
        <v>96</v>
      </c>
      <c r="P1624" s="2" t="str">
        <f>"2170527212                    "</f>
        <v xml:space="preserve">2170527212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3.32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0.5</v>
      </c>
      <c r="BJ1624" s="2">
        <v>0.2</v>
      </c>
      <c r="BK1624" s="2">
        <v>0.5</v>
      </c>
      <c r="BL1624" s="2">
        <v>40.76</v>
      </c>
      <c r="BM1624" s="2">
        <v>5.71</v>
      </c>
      <c r="BN1624" s="2">
        <v>46.47</v>
      </c>
      <c r="BO1624" s="2">
        <v>46.47</v>
      </c>
      <c r="BP1624" s="2"/>
      <c r="BQ1624" s="2" t="s">
        <v>623</v>
      </c>
      <c r="BR1624" s="2" t="s">
        <v>83</v>
      </c>
      <c r="BS1624" s="3">
        <v>42662</v>
      </c>
      <c r="BT1624" s="4">
        <v>0.44305555555555554</v>
      </c>
      <c r="BU1624" s="2" t="s">
        <v>1788</v>
      </c>
      <c r="BV1624" s="2" t="s">
        <v>85</v>
      </c>
      <c r="BW1624" s="2"/>
      <c r="BX1624" s="2"/>
      <c r="BY1624" s="2">
        <v>1200</v>
      </c>
      <c r="BZ1624" s="2"/>
      <c r="CA1624" s="2"/>
      <c r="CB1624" s="2"/>
      <c r="CC1624" s="2" t="s">
        <v>161</v>
      </c>
      <c r="CD1624" s="2">
        <v>7490</v>
      </c>
      <c r="CE1624" s="2" t="s">
        <v>108</v>
      </c>
      <c r="CF1624" s="5">
        <v>42663</v>
      </c>
      <c r="CG1624" s="2"/>
      <c r="CH1624" s="2"/>
      <c r="CI1624" s="2">
        <v>1</v>
      </c>
      <c r="CJ1624" s="2">
        <v>1</v>
      </c>
      <c r="CK1624" s="2">
        <v>21</v>
      </c>
      <c r="CL1624" s="2" t="s">
        <v>88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"FES1162507291"</f>
        <v>FES1162507291</v>
      </c>
      <c r="F1625" s="3">
        <v>42661</v>
      </c>
      <c r="G1625" s="2">
        <v>201704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160</v>
      </c>
      <c r="M1625" s="2" t="s">
        <v>161</v>
      </c>
      <c r="N1625" s="2" t="s">
        <v>622</v>
      </c>
      <c r="O1625" s="2" t="s">
        <v>96</v>
      </c>
      <c r="P1625" s="2" t="str">
        <f>"2170527054                    "</f>
        <v xml:space="preserve">2170527054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3.32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0.5</v>
      </c>
      <c r="BJ1625" s="2">
        <v>0.2</v>
      </c>
      <c r="BK1625" s="2">
        <v>0.5</v>
      </c>
      <c r="BL1625" s="2">
        <v>40.76</v>
      </c>
      <c r="BM1625" s="2">
        <v>5.71</v>
      </c>
      <c r="BN1625" s="2">
        <v>46.47</v>
      </c>
      <c r="BO1625" s="2">
        <v>46.47</v>
      </c>
      <c r="BP1625" s="2"/>
      <c r="BQ1625" s="2" t="s">
        <v>623</v>
      </c>
      <c r="BR1625" s="2" t="s">
        <v>83</v>
      </c>
      <c r="BS1625" s="3">
        <v>42662</v>
      </c>
      <c r="BT1625" s="4">
        <v>0.44305555555555554</v>
      </c>
      <c r="BU1625" s="2" t="s">
        <v>1788</v>
      </c>
      <c r="BV1625" s="2" t="s">
        <v>85</v>
      </c>
      <c r="BW1625" s="2"/>
      <c r="BX1625" s="2"/>
      <c r="BY1625" s="2">
        <v>1200</v>
      </c>
      <c r="BZ1625" s="2"/>
      <c r="CA1625" s="2"/>
      <c r="CB1625" s="2"/>
      <c r="CC1625" s="2" t="s">
        <v>161</v>
      </c>
      <c r="CD1625" s="2">
        <v>7490</v>
      </c>
      <c r="CE1625" s="2" t="s">
        <v>108</v>
      </c>
      <c r="CF1625" s="5">
        <v>42663</v>
      </c>
      <c r="CG1625" s="2"/>
      <c r="CH1625" s="2"/>
      <c r="CI1625" s="2">
        <v>1</v>
      </c>
      <c r="CJ1625" s="2">
        <v>1</v>
      </c>
      <c r="CK1625" s="2">
        <v>21</v>
      </c>
      <c r="CL1625" s="2" t="s">
        <v>88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"FES1162507379"</f>
        <v>FES1162507379</v>
      </c>
      <c r="F1626" s="3">
        <v>42661</v>
      </c>
      <c r="G1626" s="2">
        <v>201704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491</v>
      </c>
      <c r="M1626" s="2" t="s">
        <v>492</v>
      </c>
      <c r="N1626" s="2" t="s">
        <v>688</v>
      </c>
      <c r="O1626" s="2" t="s">
        <v>96</v>
      </c>
      <c r="P1626" s="2" t="str">
        <f>"2170530274                    "</f>
        <v xml:space="preserve">2170530274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3.32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0.5</v>
      </c>
      <c r="BJ1626" s="2">
        <v>0.2</v>
      </c>
      <c r="BK1626" s="2">
        <v>0.5</v>
      </c>
      <c r="BL1626" s="2">
        <v>40.76</v>
      </c>
      <c r="BM1626" s="2">
        <v>5.71</v>
      </c>
      <c r="BN1626" s="2">
        <v>46.47</v>
      </c>
      <c r="BO1626" s="2">
        <v>46.47</v>
      </c>
      <c r="BP1626" s="2"/>
      <c r="BQ1626" s="2" t="s">
        <v>689</v>
      </c>
      <c r="BR1626" s="2" t="s">
        <v>83</v>
      </c>
      <c r="BS1626" s="3">
        <v>42662</v>
      </c>
      <c r="BT1626" s="4">
        <v>0.41666666666666669</v>
      </c>
      <c r="BU1626" s="2" t="s">
        <v>1841</v>
      </c>
      <c r="BV1626" s="2" t="s">
        <v>85</v>
      </c>
      <c r="BW1626" s="2"/>
      <c r="BX1626" s="2"/>
      <c r="BY1626" s="2">
        <v>1200</v>
      </c>
      <c r="BZ1626" s="2"/>
      <c r="CA1626" s="2"/>
      <c r="CB1626" s="2"/>
      <c r="CC1626" s="2" t="s">
        <v>492</v>
      </c>
      <c r="CD1626" s="2">
        <v>3699</v>
      </c>
      <c r="CE1626" s="2" t="s">
        <v>108</v>
      </c>
      <c r="CF1626" s="2"/>
      <c r="CG1626" s="2"/>
      <c r="CH1626" s="2"/>
      <c r="CI1626" s="2">
        <v>1</v>
      </c>
      <c r="CJ1626" s="2">
        <v>1</v>
      </c>
      <c r="CK1626" s="2">
        <v>21</v>
      </c>
      <c r="CL1626" s="2" t="s">
        <v>88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"FES1162507319"</f>
        <v>FES1162507319</v>
      </c>
      <c r="F1627" s="3">
        <v>42661</v>
      </c>
      <c r="G1627" s="2">
        <v>201704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98</v>
      </c>
      <c r="M1627" s="2" t="s">
        <v>99</v>
      </c>
      <c r="N1627" s="2" t="s">
        <v>330</v>
      </c>
      <c r="O1627" s="2" t="s">
        <v>96</v>
      </c>
      <c r="P1627" s="2" t="str">
        <f>"2170528398                    "</f>
        <v xml:space="preserve">2170528398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3.32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0.5</v>
      </c>
      <c r="BJ1627" s="2">
        <v>0.2</v>
      </c>
      <c r="BK1627" s="2">
        <v>0.5</v>
      </c>
      <c r="BL1627" s="2">
        <v>40.76</v>
      </c>
      <c r="BM1627" s="2">
        <v>5.71</v>
      </c>
      <c r="BN1627" s="2">
        <v>46.47</v>
      </c>
      <c r="BO1627" s="2">
        <v>46.47</v>
      </c>
      <c r="BP1627" s="2"/>
      <c r="BQ1627" s="2" t="s">
        <v>331</v>
      </c>
      <c r="BR1627" s="2" t="s">
        <v>83</v>
      </c>
      <c r="BS1627" s="3">
        <v>42662</v>
      </c>
      <c r="BT1627" s="4">
        <v>0.41736111111111113</v>
      </c>
      <c r="BU1627" s="2" t="s">
        <v>467</v>
      </c>
      <c r="BV1627" s="2" t="s">
        <v>85</v>
      </c>
      <c r="BW1627" s="2"/>
      <c r="BX1627" s="2"/>
      <c r="BY1627" s="2">
        <v>1200</v>
      </c>
      <c r="BZ1627" s="2"/>
      <c r="CA1627" s="2" t="s">
        <v>468</v>
      </c>
      <c r="CB1627" s="2"/>
      <c r="CC1627" s="2" t="s">
        <v>99</v>
      </c>
      <c r="CD1627" s="2">
        <v>6070</v>
      </c>
      <c r="CE1627" s="2" t="s">
        <v>108</v>
      </c>
      <c r="CF1627" s="5">
        <v>42663</v>
      </c>
      <c r="CG1627" s="2"/>
      <c r="CH1627" s="2"/>
      <c r="CI1627" s="2">
        <v>1</v>
      </c>
      <c r="CJ1627" s="2">
        <v>1</v>
      </c>
      <c r="CK1627" s="2">
        <v>21</v>
      </c>
      <c r="CL1627" s="2" t="s">
        <v>88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"FES1162507345"</f>
        <v>FES1162507345</v>
      </c>
      <c r="F1628" s="3">
        <v>42661</v>
      </c>
      <c r="G1628" s="2">
        <v>201704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153</v>
      </c>
      <c r="M1628" s="2" t="s">
        <v>153</v>
      </c>
      <c r="N1628" s="2" t="s">
        <v>343</v>
      </c>
      <c r="O1628" s="2" t="s">
        <v>96</v>
      </c>
      <c r="P1628" s="2" t="str">
        <f>"2170528972                    "</f>
        <v xml:space="preserve">2170528972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3.32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0.4</v>
      </c>
      <c r="BJ1628" s="2">
        <v>0.9</v>
      </c>
      <c r="BK1628" s="2">
        <v>1</v>
      </c>
      <c r="BL1628" s="2">
        <v>40.76</v>
      </c>
      <c r="BM1628" s="2">
        <v>5.71</v>
      </c>
      <c r="BN1628" s="2">
        <v>46.47</v>
      </c>
      <c r="BO1628" s="2">
        <v>46.47</v>
      </c>
      <c r="BP1628" s="2"/>
      <c r="BQ1628" s="2" t="s">
        <v>344</v>
      </c>
      <c r="BR1628" s="2" t="s">
        <v>83</v>
      </c>
      <c r="BS1628" s="3">
        <v>42662</v>
      </c>
      <c r="BT1628" s="4">
        <v>0.5</v>
      </c>
      <c r="BU1628" s="2" t="s">
        <v>630</v>
      </c>
      <c r="BV1628" s="2" t="s">
        <v>85</v>
      </c>
      <c r="BW1628" s="2"/>
      <c r="BX1628" s="2"/>
      <c r="BY1628" s="2">
        <v>4582.08</v>
      </c>
      <c r="BZ1628" s="2"/>
      <c r="CA1628" s="2" t="s">
        <v>129</v>
      </c>
      <c r="CB1628" s="2"/>
      <c r="CC1628" s="2" t="s">
        <v>153</v>
      </c>
      <c r="CD1628" s="2">
        <v>7646</v>
      </c>
      <c r="CE1628" s="2" t="s">
        <v>108</v>
      </c>
      <c r="CF1628" s="5">
        <v>42663</v>
      </c>
      <c r="CG1628" s="2"/>
      <c r="CH1628" s="2"/>
      <c r="CI1628" s="2">
        <v>1</v>
      </c>
      <c r="CJ1628" s="2">
        <v>1</v>
      </c>
      <c r="CK1628" s="2">
        <v>21</v>
      </c>
      <c r="CL1628" s="2" t="s">
        <v>88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"FES1162507438"</f>
        <v>FES1162507438</v>
      </c>
      <c r="F1629" s="3">
        <v>42661</v>
      </c>
      <c r="G1629" s="2">
        <v>201704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171</v>
      </c>
      <c r="M1629" s="2" t="s">
        <v>172</v>
      </c>
      <c r="N1629" s="2" t="s">
        <v>429</v>
      </c>
      <c r="O1629" s="2" t="s">
        <v>96</v>
      </c>
      <c r="P1629" s="2" t="str">
        <f>"2170530818                    "</f>
        <v xml:space="preserve">2170530818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3.32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0.4</v>
      </c>
      <c r="BJ1629" s="2">
        <v>1.2</v>
      </c>
      <c r="BK1629" s="2">
        <v>1.5</v>
      </c>
      <c r="BL1629" s="2">
        <v>40.76</v>
      </c>
      <c r="BM1629" s="2">
        <v>5.71</v>
      </c>
      <c r="BN1629" s="2">
        <v>46.47</v>
      </c>
      <c r="BO1629" s="2">
        <v>46.47</v>
      </c>
      <c r="BP1629" s="2"/>
      <c r="BQ1629" s="2" t="s">
        <v>430</v>
      </c>
      <c r="BR1629" s="2" t="s">
        <v>83</v>
      </c>
      <c r="BS1629" s="3">
        <v>42662</v>
      </c>
      <c r="BT1629" s="4">
        <v>0.3833333333333333</v>
      </c>
      <c r="BU1629" s="2" t="s">
        <v>1266</v>
      </c>
      <c r="BV1629" s="2" t="s">
        <v>85</v>
      </c>
      <c r="BW1629" s="2"/>
      <c r="BX1629" s="2"/>
      <c r="BY1629" s="2">
        <v>5997.73</v>
      </c>
      <c r="BZ1629" s="2"/>
      <c r="CA1629" s="2"/>
      <c r="CB1629" s="2"/>
      <c r="CC1629" s="2" t="s">
        <v>172</v>
      </c>
      <c r="CD1629" s="2">
        <v>6220</v>
      </c>
      <c r="CE1629" s="2" t="s">
        <v>108</v>
      </c>
      <c r="CF1629" s="5">
        <v>42663</v>
      </c>
      <c r="CG1629" s="2"/>
      <c r="CH1629" s="2"/>
      <c r="CI1629" s="2">
        <v>1</v>
      </c>
      <c r="CJ1629" s="2">
        <v>1</v>
      </c>
      <c r="CK1629" s="2">
        <v>21</v>
      </c>
      <c r="CL1629" s="2" t="s">
        <v>88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"FES1162507355"</f>
        <v>FES1162507355</v>
      </c>
      <c r="F1630" s="3">
        <v>42661</v>
      </c>
      <c r="G1630" s="2">
        <v>201704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269</v>
      </c>
      <c r="M1630" s="2" t="s">
        <v>270</v>
      </c>
      <c r="N1630" s="2" t="s">
        <v>299</v>
      </c>
      <c r="O1630" s="2" t="s">
        <v>96</v>
      </c>
      <c r="P1630" s="2" t="str">
        <f>"2170529462                    "</f>
        <v xml:space="preserve">2170529462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3.32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0.5</v>
      </c>
      <c r="BJ1630" s="2">
        <v>0.2</v>
      </c>
      <c r="BK1630" s="2">
        <v>0.5</v>
      </c>
      <c r="BL1630" s="2">
        <v>40.76</v>
      </c>
      <c r="BM1630" s="2">
        <v>5.71</v>
      </c>
      <c r="BN1630" s="2">
        <v>46.47</v>
      </c>
      <c r="BO1630" s="2">
        <v>46.47</v>
      </c>
      <c r="BP1630" s="2"/>
      <c r="BQ1630" s="2" t="s">
        <v>300</v>
      </c>
      <c r="BR1630" s="2" t="s">
        <v>83</v>
      </c>
      <c r="BS1630" s="3">
        <v>42662</v>
      </c>
      <c r="BT1630" s="4">
        <v>0.35416666666666669</v>
      </c>
      <c r="BU1630" s="2" t="s">
        <v>301</v>
      </c>
      <c r="BV1630" s="2" t="s">
        <v>85</v>
      </c>
      <c r="BW1630" s="2"/>
      <c r="BX1630" s="2"/>
      <c r="BY1630" s="2">
        <v>1200</v>
      </c>
      <c r="BZ1630" s="2"/>
      <c r="CA1630" s="2"/>
      <c r="CB1630" s="2"/>
      <c r="CC1630" s="2" t="s">
        <v>270</v>
      </c>
      <c r="CD1630" s="2">
        <v>3610</v>
      </c>
      <c r="CE1630" s="2" t="s">
        <v>108</v>
      </c>
      <c r="CF1630" s="5">
        <v>42663</v>
      </c>
      <c r="CG1630" s="2"/>
      <c r="CH1630" s="2"/>
      <c r="CI1630" s="2">
        <v>1</v>
      </c>
      <c r="CJ1630" s="2">
        <v>1</v>
      </c>
      <c r="CK1630" s="2">
        <v>21</v>
      </c>
      <c r="CL1630" s="2" t="s">
        <v>88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"FES1162507434"</f>
        <v>FES1162507434</v>
      </c>
      <c r="F1631" s="3">
        <v>42661</v>
      </c>
      <c r="G1631" s="2">
        <v>201704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93</v>
      </c>
      <c r="M1631" s="2" t="s">
        <v>94</v>
      </c>
      <c r="N1631" s="2" t="s">
        <v>536</v>
      </c>
      <c r="O1631" s="2" t="s">
        <v>96</v>
      </c>
      <c r="P1631" s="2" t="str">
        <f>"2170530866                    "</f>
        <v xml:space="preserve">2170530866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3.32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0.5</v>
      </c>
      <c r="BJ1631" s="2">
        <v>0.2</v>
      </c>
      <c r="BK1631" s="2">
        <v>0.5</v>
      </c>
      <c r="BL1631" s="2">
        <v>40.76</v>
      </c>
      <c r="BM1631" s="2">
        <v>5.71</v>
      </c>
      <c r="BN1631" s="2">
        <v>46.47</v>
      </c>
      <c r="BO1631" s="2">
        <v>46.47</v>
      </c>
      <c r="BP1631" s="2"/>
      <c r="BQ1631" s="2" t="s">
        <v>537</v>
      </c>
      <c r="BR1631" s="2" t="s">
        <v>83</v>
      </c>
      <c r="BS1631" s="3">
        <v>42662</v>
      </c>
      <c r="BT1631" s="4">
        <v>0.4375</v>
      </c>
      <c r="BU1631" s="2" t="s">
        <v>852</v>
      </c>
      <c r="BV1631" s="2" t="s">
        <v>85</v>
      </c>
      <c r="BW1631" s="2"/>
      <c r="BX1631" s="2"/>
      <c r="BY1631" s="2">
        <v>1200</v>
      </c>
      <c r="BZ1631" s="2"/>
      <c r="CA1631" s="2"/>
      <c r="CB1631" s="2"/>
      <c r="CC1631" s="2" t="s">
        <v>94</v>
      </c>
      <c r="CD1631" s="2">
        <v>4300</v>
      </c>
      <c r="CE1631" s="2" t="s">
        <v>108</v>
      </c>
      <c r="CF1631" s="5">
        <v>42663</v>
      </c>
      <c r="CG1631" s="2"/>
      <c r="CH1631" s="2"/>
      <c r="CI1631" s="2">
        <v>1</v>
      </c>
      <c r="CJ1631" s="2">
        <v>1</v>
      </c>
      <c r="CK1631" s="2">
        <v>21</v>
      </c>
      <c r="CL1631" s="2" t="s">
        <v>88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"FES1162507389"</f>
        <v>FES1162507389</v>
      </c>
      <c r="F1632" s="3">
        <v>42661</v>
      </c>
      <c r="G1632" s="2">
        <v>201704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93</v>
      </c>
      <c r="M1632" s="2" t="s">
        <v>94</v>
      </c>
      <c r="N1632" s="2" t="s">
        <v>95</v>
      </c>
      <c r="O1632" s="2" t="s">
        <v>96</v>
      </c>
      <c r="P1632" s="2" t="str">
        <f>"2170530630                    "</f>
        <v xml:space="preserve">2170530630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4.1500000000000004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0.6</v>
      </c>
      <c r="BJ1632" s="2">
        <v>2.1</v>
      </c>
      <c r="BK1632" s="2">
        <v>2.5</v>
      </c>
      <c r="BL1632" s="2">
        <v>50.95</v>
      </c>
      <c r="BM1632" s="2">
        <v>7.13</v>
      </c>
      <c r="BN1632" s="2">
        <v>58.08</v>
      </c>
      <c r="BO1632" s="2">
        <v>58.08</v>
      </c>
      <c r="BP1632" s="2"/>
      <c r="BQ1632" s="2" t="s">
        <v>82</v>
      </c>
      <c r="BR1632" s="2" t="s">
        <v>83</v>
      </c>
      <c r="BS1632" s="3">
        <v>42662</v>
      </c>
      <c r="BT1632" s="4">
        <v>0.4375</v>
      </c>
      <c r="BU1632" s="2" t="s">
        <v>431</v>
      </c>
      <c r="BV1632" s="2" t="s">
        <v>85</v>
      </c>
      <c r="BW1632" s="2"/>
      <c r="BX1632" s="2"/>
      <c r="BY1632" s="2">
        <v>10338.48</v>
      </c>
      <c r="BZ1632" s="2"/>
      <c r="CA1632" s="2"/>
      <c r="CB1632" s="2"/>
      <c r="CC1632" s="2" t="s">
        <v>94</v>
      </c>
      <c r="CD1632" s="2">
        <v>4302</v>
      </c>
      <c r="CE1632" s="2" t="s">
        <v>108</v>
      </c>
      <c r="CF1632" s="5">
        <v>42663</v>
      </c>
      <c r="CG1632" s="2"/>
      <c r="CH1632" s="2"/>
      <c r="CI1632" s="2">
        <v>1</v>
      </c>
      <c r="CJ1632" s="2">
        <v>1</v>
      </c>
      <c r="CK1632" s="2">
        <v>21</v>
      </c>
      <c r="CL1632" s="2" t="s">
        <v>88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"FES1162507325"</f>
        <v>FES1162507325</v>
      </c>
      <c r="F1633" s="3">
        <v>42661</v>
      </c>
      <c r="G1633" s="2">
        <v>201704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153</v>
      </c>
      <c r="M1633" s="2" t="s">
        <v>153</v>
      </c>
      <c r="N1633" s="2" t="s">
        <v>343</v>
      </c>
      <c r="O1633" s="2" t="s">
        <v>96</v>
      </c>
      <c r="P1633" s="2" t="str">
        <f>"2170528452                    "</f>
        <v xml:space="preserve">2170528452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3.32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0.5</v>
      </c>
      <c r="BJ1633" s="2">
        <v>0.2</v>
      </c>
      <c r="BK1633" s="2">
        <v>0.5</v>
      </c>
      <c r="BL1633" s="2">
        <v>40.76</v>
      </c>
      <c r="BM1633" s="2">
        <v>5.71</v>
      </c>
      <c r="BN1633" s="2">
        <v>46.47</v>
      </c>
      <c r="BO1633" s="2">
        <v>46.47</v>
      </c>
      <c r="BP1633" s="2"/>
      <c r="BQ1633" s="2" t="s">
        <v>344</v>
      </c>
      <c r="BR1633" s="2" t="s">
        <v>83</v>
      </c>
      <c r="BS1633" s="3">
        <v>42662</v>
      </c>
      <c r="BT1633" s="4">
        <v>0.5</v>
      </c>
      <c r="BU1633" s="2" t="s">
        <v>1842</v>
      </c>
      <c r="BV1633" s="2" t="s">
        <v>85</v>
      </c>
      <c r="BW1633" s="2"/>
      <c r="BX1633" s="2"/>
      <c r="BY1633" s="2">
        <v>1200</v>
      </c>
      <c r="BZ1633" s="2"/>
      <c r="CA1633" s="2" t="s">
        <v>129</v>
      </c>
      <c r="CB1633" s="2"/>
      <c r="CC1633" s="2" t="s">
        <v>153</v>
      </c>
      <c r="CD1633" s="2">
        <v>7646</v>
      </c>
      <c r="CE1633" s="2" t="s">
        <v>108</v>
      </c>
      <c r="CF1633" s="5">
        <v>42663</v>
      </c>
      <c r="CG1633" s="2"/>
      <c r="CH1633" s="2"/>
      <c r="CI1633" s="2">
        <v>1</v>
      </c>
      <c r="CJ1633" s="2">
        <v>1</v>
      </c>
      <c r="CK1633" s="2">
        <v>21</v>
      </c>
      <c r="CL1633" s="2" t="s">
        <v>88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"FES1162507439"</f>
        <v>FES1162507439</v>
      </c>
      <c r="F1634" s="3">
        <v>42661</v>
      </c>
      <c r="G1634" s="2">
        <v>201704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98</v>
      </c>
      <c r="M1634" s="2" t="s">
        <v>99</v>
      </c>
      <c r="N1634" s="2" t="s">
        <v>1687</v>
      </c>
      <c r="O1634" s="2" t="s">
        <v>96</v>
      </c>
      <c r="P1634" s="2" t="str">
        <f>"2170530874                    "</f>
        <v xml:space="preserve">2170530874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3.32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0.5</v>
      </c>
      <c r="BJ1634" s="2">
        <v>0.2</v>
      </c>
      <c r="BK1634" s="2">
        <v>0.5</v>
      </c>
      <c r="BL1634" s="2">
        <v>40.76</v>
      </c>
      <c r="BM1634" s="2">
        <v>5.71</v>
      </c>
      <c r="BN1634" s="2">
        <v>46.47</v>
      </c>
      <c r="BO1634" s="2">
        <v>46.47</v>
      </c>
      <c r="BP1634" s="2"/>
      <c r="BQ1634" s="2" t="s">
        <v>1688</v>
      </c>
      <c r="BR1634" s="2" t="s">
        <v>83</v>
      </c>
      <c r="BS1634" s="3">
        <v>42662</v>
      </c>
      <c r="BT1634" s="4">
        <v>0.3576388888888889</v>
      </c>
      <c r="BU1634" s="2" t="s">
        <v>1843</v>
      </c>
      <c r="BV1634" s="2" t="s">
        <v>85</v>
      </c>
      <c r="BW1634" s="2"/>
      <c r="BX1634" s="2"/>
      <c r="BY1634" s="2">
        <v>1200</v>
      </c>
      <c r="BZ1634" s="2"/>
      <c r="CA1634" s="2"/>
      <c r="CB1634" s="2"/>
      <c r="CC1634" s="2" t="s">
        <v>99</v>
      </c>
      <c r="CD1634" s="2">
        <v>6001</v>
      </c>
      <c r="CE1634" s="2" t="s">
        <v>108</v>
      </c>
      <c r="CF1634" s="5">
        <v>42663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88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"FES1162507391"</f>
        <v>FES1162507391</v>
      </c>
      <c r="F1635" s="3">
        <v>42661</v>
      </c>
      <c r="G1635" s="2">
        <v>201704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160</v>
      </c>
      <c r="M1635" s="2" t="s">
        <v>161</v>
      </c>
      <c r="N1635" s="2" t="s">
        <v>1844</v>
      </c>
      <c r="O1635" s="2" t="s">
        <v>96</v>
      </c>
      <c r="P1635" s="2" t="str">
        <f>"2170530757                    "</f>
        <v xml:space="preserve">2170530757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3.32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0.5</v>
      </c>
      <c r="BJ1635" s="2">
        <v>0.2</v>
      </c>
      <c r="BK1635" s="2">
        <v>0.5</v>
      </c>
      <c r="BL1635" s="2">
        <v>40.76</v>
      </c>
      <c r="BM1635" s="2">
        <v>5.71</v>
      </c>
      <c r="BN1635" s="2">
        <v>46.47</v>
      </c>
      <c r="BO1635" s="2">
        <v>46.47</v>
      </c>
      <c r="BP1635" s="2"/>
      <c r="BQ1635" s="2" t="s">
        <v>1845</v>
      </c>
      <c r="BR1635" s="2" t="s">
        <v>83</v>
      </c>
      <c r="BS1635" s="3">
        <v>42662</v>
      </c>
      <c r="BT1635" s="4">
        <v>0.39027777777777778</v>
      </c>
      <c r="BU1635" s="2" t="s">
        <v>1846</v>
      </c>
      <c r="BV1635" s="2" t="s">
        <v>85</v>
      </c>
      <c r="BW1635" s="2"/>
      <c r="BX1635" s="2"/>
      <c r="BY1635" s="2">
        <v>1200</v>
      </c>
      <c r="BZ1635" s="2"/>
      <c r="CA1635" s="2"/>
      <c r="CB1635" s="2"/>
      <c r="CC1635" s="2" t="s">
        <v>161</v>
      </c>
      <c r="CD1635" s="2">
        <v>7530</v>
      </c>
      <c r="CE1635" s="2" t="s">
        <v>108</v>
      </c>
      <c r="CF1635" s="5">
        <v>42663</v>
      </c>
      <c r="CG1635" s="2"/>
      <c r="CH1635" s="2"/>
      <c r="CI1635" s="2">
        <v>1</v>
      </c>
      <c r="CJ1635" s="2">
        <v>1</v>
      </c>
      <c r="CK1635" s="2">
        <v>21</v>
      </c>
      <c r="CL1635" s="2" t="s">
        <v>88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"FES1162507491"</f>
        <v>FES1162507491</v>
      </c>
      <c r="F1636" s="3">
        <v>42661</v>
      </c>
      <c r="G1636" s="2">
        <v>201704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160</v>
      </c>
      <c r="M1636" s="2" t="s">
        <v>161</v>
      </c>
      <c r="N1636" s="2" t="s">
        <v>179</v>
      </c>
      <c r="O1636" s="2" t="s">
        <v>96</v>
      </c>
      <c r="P1636" s="2" t="str">
        <f>"2170530923                    "</f>
        <v xml:space="preserve">2170530923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3.32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0.5</v>
      </c>
      <c r="BJ1636" s="2">
        <v>0.2</v>
      </c>
      <c r="BK1636" s="2">
        <v>0.5</v>
      </c>
      <c r="BL1636" s="2">
        <v>40.76</v>
      </c>
      <c r="BM1636" s="2">
        <v>5.71</v>
      </c>
      <c r="BN1636" s="2">
        <v>46.47</v>
      </c>
      <c r="BO1636" s="2">
        <v>46.47</v>
      </c>
      <c r="BP1636" s="2"/>
      <c r="BQ1636" s="2" t="s">
        <v>180</v>
      </c>
      <c r="BR1636" s="2" t="s">
        <v>83</v>
      </c>
      <c r="BS1636" s="3">
        <v>42662</v>
      </c>
      <c r="BT1636" s="4">
        <v>0.41666666666666669</v>
      </c>
      <c r="BU1636" s="2" t="s">
        <v>1780</v>
      </c>
      <c r="BV1636" s="2" t="s">
        <v>85</v>
      </c>
      <c r="BW1636" s="2"/>
      <c r="BX1636" s="2"/>
      <c r="BY1636" s="2">
        <v>1200</v>
      </c>
      <c r="BZ1636" s="2"/>
      <c r="CA1636" s="2" t="s">
        <v>129</v>
      </c>
      <c r="CB1636" s="2"/>
      <c r="CC1636" s="2" t="s">
        <v>161</v>
      </c>
      <c r="CD1636" s="2">
        <v>7405</v>
      </c>
      <c r="CE1636" s="2" t="s">
        <v>108</v>
      </c>
      <c r="CF1636" s="5">
        <v>42663</v>
      </c>
      <c r="CG1636" s="2"/>
      <c r="CH1636" s="2"/>
      <c r="CI1636" s="2">
        <v>1</v>
      </c>
      <c r="CJ1636" s="2">
        <v>1</v>
      </c>
      <c r="CK1636" s="2">
        <v>21</v>
      </c>
      <c r="CL1636" s="2" t="s">
        <v>88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"FES1162507551"</f>
        <v>FES1162507551</v>
      </c>
      <c r="F1637" s="3">
        <v>42661</v>
      </c>
      <c r="G1637" s="2">
        <v>201704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269</v>
      </c>
      <c r="M1637" s="2" t="s">
        <v>270</v>
      </c>
      <c r="N1637" s="2" t="s">
        <v>455</v>
      </c>
      <c r="O1637" s="2" t="s">
        <v>96</v>
      </c>
      <c r="P1637" s="2" t="str">
        <f>"2170530983                    "</f>
        <v xml:space="preserve">2170530983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3.32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0.5</v>
      </c>
      <c r="BJ1637" s="2">
        <v>0.2</v>
      </c>
      <c r="BK1637" s="2">
        <v>0.5</v>
      </c>
      <c r="BL1637" s="2">
        <v>40.76</v>
      </c>
      <c r="BM1637" s="2">
        <v>5.71</v>
      </c>
      <c r="BN1637" s="2">
        <v>46.47</v>
      </c>
      <c r="BO1637" s="2">
        <v>46.47</v>
      </c>
      <c r="BP1637" s="2"/>
      <c r="BQ1637" s="2" t="s">
        <v>1793</v>
      </c>
      <c r="BR1637" s="2" t="s">
        <v>83</v>
      </c>
      <c r="BS1637" s="3">
        <v>42662</v>
      </c>
      <c r="BT1637" s="4">
        <v>0.3611111111111111</v>
      </c>
      <c r="BU1637" s="2" t="s">
        <v>1847</v>
      </c>
      <c r="BV1637" s="2" t="s">
        <v>85</v>
      </c>
      <c r="BW1637" s="2"/>
      <c r="BX1637" s="2"/>
      <c r="BY1637" s="2">
        <v>1200</v>
      </c>
      <c r="BZ1637" s="2"/>
      <c r="CA1637" s="2"/>
      <c r="CB1637" s="2"/>
      <c r="CC1637" s="2" t="s">
        <v>270</v>
      </c>
      <c r="CD1637" s="2">
        <v>3610</v>
      </c>
      <c r="CE1637" s="2" t="s">
        <v>108</v>
      </c>
      <c r="CF1637" s="5">
        <v>42663</v>
      </c>
      <c r="CG1637" s="2"/>
      <c r="CH1637" s="2"/>
      <c r="CI1637" s="2">
        <v>1</v>
      </c>
      <c r="CJ1637" s="2">
        <v>1</v>
      </c>
      <c r="CK1637" s="2">
        <v>21</v>
      </c>
      <c r="CL1637" s="2" t="s">
        <v>88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"FES1162507533"</f>
        <v>FES1162507533</v>
      </c>
      <c r="F1638" s="3">
        <v>42661</v>
      </c>
      <c r="G1638" s="2">
        <v>201704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171</v>
      </c>
      <c r="M1638" s="2" t="s">
        <v>172</v>
      </c>
      <c r="N1638" s="2" t="s">
        <v>429</v>
      </c>
      <c r="O1638" s="2" t="s">
        <v>96</v>
      </c>
      <c r="P1638" s="2" t="str">
        <f>"2170529737                    "</f>
        <v xml:space="preserve">2170529737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10.78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0.7</v>
      </c>
      <c r="BJ1638" s="2">
        <v>6.5</v>
      </c>
      <c r="BK1638" s="2">
        <v>6.5</v>
      </c>
      <c r="BL1638" s="2">
        <v>132.46</v>
      </c>
      <c r="BM1638" s="2">
        <v>18.54</v>
      </c>
      <c r="BN1638" s="2">
        <v>151</v>
      </c>
      <c r="BO1638" s="2">
        <v>151</v>
      </c>
      <c r="BP1638" s="2"/>
      <c r="BQ1638" s="2" t="s">
        <v>430</v>
      </c>
      <c r="BR1638" s="2" t="s">
        <v>83</v>
      </c>
      <c r="BS1638" s="3">
        <v>42662</v>
      </c>
      <c r="BT1638" s="4">
        <v>0.3833333333333333</v>
      </c>
      <c r="BU1638" s="2" t="s">
        <v>1266</v>
      </c>
      <c r="BV1638" s="2" t="s">
        <v>85</v>
      </c>
      <c r="BW1638" s="2"/>
      <c r="BX1638" s="2"/>
      <c r="BY1638" s="2">
        <v>32501.9</v>
      </c>
      <c r="BZ1638" s="2"/>
      <c r="CA1638" s="2"/>
      <c r="CB1638" s="2"/>
      <c r="CC1638" s="2" t="s">
        <v>172</v>
      </c>
      <c r="CD1638" s="2">
        <v>6220</v>
      </c>
      <c r="CE1638" s="2" t="s">
        <v>108</v>
      </c>
      <c r="CF1638" s="5">
        <v>42663</v>
      </c>
      <c r="CG1638" s="2"/>
      <c r="CH1638" s="2"/>
      <c r="CI1638" s="2">
        <v>1</v>
      </c>
      <c r="CJ1638" s="2">
        <v>1</v>
      </c>
      <c r="CK1638" s="2">
        <v>21</v>
      </c>
      <c r="CL1638" s="2" t="s">
        <v>88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"FES1162507535"</f>
        <v>FES1162507535</v>
      </c>
      <c r="F1639" s="3">
        <v>42661</v>
      </c>
      <c r="G1639" s="2">
        <v>201704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98</v>
      </c>
      <c r="M1639" s="2" t="s">
        <v>99</v>
      </c>
      <c r="N1639" s="2" t="s">
        <v>104</v>
      </c>
      <c r="O1639" s="2" t="s">
        <v>96</v>
      </c>
      <c r="P1639" s="2" t="str">
        <f>"2170530679                    "</f>
        <v xml:space="preserve">2170530679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9.1199999999999992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2.9</v>
      </c>
      <c r="BJ1639" s="2">
        <v>5.4</v>
      </c>
      <c r="BK1639" s="2">
        <v>5.5</v>
      </c>
      <c r="BL1639" s="2">
        <v>112.08</v>
      </c>
      <c r="BM1639" s="2">
        <v>15.69</v>
      </c>
      <c r="BN1639" s="2">
        <v>127.77</v>
      </c>
      <c r="BO1639" s="2">
        <v>127.77</v>
      </c>
      <c r="BP1639" s="2"/>
      <c r="BQ1639" s="2" t="s">
        <v>105</v>
      </c>
      <c r="BR1639" s="2" t="s">
        <v>83</v>
      </c>
      <c r="BS1639" s="3">
        <v>42662</v>
      </c>
      <c r="BT1639" s="4">
        <v>0.43263888888888885</v>
      </c>
      <c r="BU1639" s="2" t="s">
        <v>105</v>
      </c>
      <c r="BV1639" s="2" t="s">
        <v>85</v>
      </c>
      <c r="BW1639" s="2"/>
      <c r="BX1639" s="2"/>
      <c r="BY1639" s="2">
        <v>26814.78</v>
      </c>
      <c r="BZ1639" s="2"/>
      <c r="CA1639" s="2"/>
      <c r="CB1639" s="2"/>
      <c r="CC1639" s="2" t="s">
        <v>99</v>
      </c>
      <c r="CD1639" s="2">
        <v>6001</v>
      </c>
      <c r="CE1639" s="2" t="s">
        <v>108</v>
      </c>
      <c r="CF1639" s="5">
        <v>42662</v>
      </c>
      <c r="CG1639" s="2"/>
      <c r="CH1639" s="2"/>
      <c r="CI1639" s="2">
        <v>1</v>
      </c>
      <c r="CJ1639" s="2">
        <v>1</v>
      </c>
      <c r="CK1639" s="2">
        <v>21</v>
      </c>
      <c r="CL1639" s="2" t="s">
        <v>88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"FES1162507388"</f>
        <v>FES1162507388</v>
      </c>
      <c r="F1640" s="3">
        <v>42661</v>
      </c>
      <c r="G1640" s="2">
        <v>201704</v>
      </c>
      <c r="H1640" s="2" t="s">
        <v>74</v>
      </c>
      <c r="I1640" s="2" t="s">
        <v>75</v>
      </c>
      <c r="J1640" s="2" t="s">
        <v>76</v>
      </c>
      <c r="K1640" s="2" t="s">
        <v>77</v>
      </c>
      <c r="L1640" s="2" t="s">
        <v>160</v>
      </c>
      <c r="M1640" s="2" t="s">
        <v>161</v>
      </c>
      <c r="N1640" s="2" t="s">
        <v>179</v>
      </c>
      <c r="O1640" s="2" t="s">
        <v>96</v>
      </c>
      <c r="P1640" s="2" t="str">
        <f>"2170530610                    "</f>
        <v xml:space="preserve">2170530610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3.32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0.5</v>
      </c>
      <c r="BJ1640" s="2">
        <v>0.2</v>
      </c>
      <c r="BK1640" s="2">
        <v>0.5</v>
      </c>
      <c r="BL1640" s="2">
        <v>40.76</v>
      </c>
      <c r="BM1640" s="2">
        <v>5.71</v>
      </c>
      <c r="BN1640" s="2">
        <v>46.47</v>
      </c>
      <c r="BO1640" s="2">
        <v>46.47</v>
      </c>
      <c r="BP1640" s="2"/>
      <c r="BQ1640" s="2" t="s">
        <v>180</v>
      </c>
      <c r="BR1640" s="2" t="s">
        <v>83</v>
      </c>
      <c r="BS1640" s="3">
        <v>42662</v>
      </c>
      <c r="BT1640" s="4">
        <v>0.41666666666666669</v>
      </c>
      <c r="BU1640" s="2" t="s">
        <v>1848</v>
      </c>
      <c r="BV1640" s="2" t="s">
        <v>85</v>
      </c>
      <c r="BW1640" s="2"/>
      <c r="BX1640" s="2"/>
      <c r="BY1640" s="2">
        <v>1200</v>
      </c>
      <c r="BZ1640" s="2"/>
      <c r="CA1640" s="2" t="s">
        <v>129</v>
      </c>
      <c r="CB1640" s="2"/>
      <c r="CC1640" s="2" t="s">
        <v>161</v>
      </c>
      <c r="CD1640" s="2">
        <v>7405</v>
      </c>
      <c r="CE1640" s="2" t="s">
        <v>108</v>
      </c>
      <c r="CF1640" s="5">
        <v>42663</v>
      </c>
      <c r="CG1640" s="2"/>
      <c r="CH1640" s="2"/>
      <c r="CI1640" s="2">
        <v>1</v>
      </c>
      <c r="CJ1640" s="2">
        <v>1</v>
      </c>
      <c r="CK1640" s="2">
        <v>21</v>
      </c>
      <c r="CL1640" s="2" t="s">
        <v>88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"FES1162507419"</f>
        <v>FES1162507419</v>
      </c>
      <c r="F1641" s="3">
        <v>42661</v>
      </c>
      <c r="G1641" s="2">
        <v>201704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269</v>
      </c>
      <c r="M1641" s="2" t="s">
        <v>270</v>
      </c>
      <c r="N1641" s="2" t="s">
        <v>417</v>
      </c>
      <c r="O1641" s="2" t="s">
        <v>96</v>
      </c>
      <c r="P1641" s="2" t="str">
        <f>"2170530847                    "</f>
        <v xml:space="preserve">2170530847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3.32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1</v>
      </c>
      <c r="BJ1641" s="2">
        <v>1.9</v>
      </c>
      <c r="BK1641" s="2">
        <v>2</v>
      </c>
      <c r="BL1641" s="2">
        <v>40.76</v>
      </c>
      <c r="BM1641" s="2">
        <v>5.71</v>
      </c>
      <c r="BN1641" s="2">
        <v>46.47</v>
      </c>
      <c r="BO1641" s="2">
        <v>46.47</v>
      </c>
      <c r="BP1641" s="2"/>
      <c r="BQ1641" s="2" t="s">
        <v>418</v>
      </c>
      <c r="BR1641" s="2" t="s">
        <v>83</v>
      </c>
      <c r="BS1641" s="3">
        <v>42662</v>
      </c>
      <c r="BT1641" s="4">
        <v>0.3444444444444445</v>
      </c>
      <c r="BU1641" s="2" t="s">
        <v>1849</v>
      </c>
      <c r="BV1641" s="2" t="s">
        <v>85</v>
      </c>
      <c r="BW1641" s="2"/>
      <c r="BX1641" s="2"/>
      <c r="BY1641" s="2">
        <v>9538.7800000000007</v>
      </c>
      <c r="BZ1641" s="2"/>
      <c r="CA1641" s="2">
        <v>69907747113</v>
      </c>
      <c r="CB1641" s="2"/>
      <c r="CC1641" s="2" t="s">
        <v>270</v>
      </c>
      <c r="CD1641" s="2">
        <v>3610</v>
      </c>
      <c r="CE1641" s="2" t="s">
        <v>108</v>
      </c>
      <c r="CF1641" s="5">
        <v>42662</v>
      </c>
      <c r="CG1641" s="2"/>
      <c r="CH1641" s="2"/>
      <c r="CI1641" s="2">
        <v>1</v>
      </c>
      <c r="CJ1641" s="2">
        <v>1</v>
      </c>
      <c r="CK1641" s="2">
        <v>21</v>
      </c>
      <c r="CL1641" s="2" t="s">
        <v>88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"FES1162507517"</f>
        <v>FES1162507517</v>
      </c>
      <c r="F1642" s="3">
        <v>42661</v>
      </c>
      <c r="G1642" s="2">
        <v>201704</v>
      </c>
      <c r="H1642" s="2" t="s">
        <v>74</v>
      </c>
      <c r="I1642" s="2" t="s">
        <v>75</v>
      </c>
      <c r="J1642" s="2" t="s">
        <v>76</v>
      </c>
      <c r="K1642" s="2" t="s">
        <v>77</v>
      </c>
      <c r="L1642" s="2" t="s">
        <v>119</v>
      </c>
      <c r="M1642" s="2" t="s">
        <v>120</v>
      </c>
      <c r="N1642" s="2" t="s">
        <v>1632</v>
      </c>
      <c r="O1642" s="2" t="s">
        <v>96</v>
      </c>
      <c r="P1642" s="2" t="str">
        <f>"2170530953                    "</f>
        <v xml:space="preserve">2170530953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3.32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0.5</v>
      </c>
      <c r="BJ1642" s="2">
        <v>0.2</v>
      </c>
      <c r="BK1642" s="2">
        <v>0.5</v>
      </c>
      <c r="BL1642" s="2">
        <v>40.76</v>
      </c>
      <c r="BM1642" s="2">
        <v>5.71</v>
      </c>
      <c r="BN1642" s="2">
        <v>46.47</v>
      </c>
      <c r="BO1642" s="2">
        <v>46.47</v>
      </c>
      <c r="BP1642" s="2"/>
      <c r="BQ1642" s="2" t="s">
        <v>1633</v>
      </c>
      <c r="BR1642" s="2" t="s">
        <v>83</v>
      </c>
      <c r="BS1642" s="3">
        <v>42662</v>
      </c>
      <c r="BT1642" s="4">
        <v>0.41041666666666665</v>
      </c>
      <c r="BU1642" s="2" t="s">
        <v>1850</v>
      </c>
      <c r="BV1642" s="2" t="s">
        <v>85</v>
      </c>
      <c r="BW1642" s="2"/>
      <c r="BX1642" s="2"/>
      <c r="BY1642" s="2">
        <v>1200</v>
      </c>
      <c r="BZ1642" s="2"/>
      <c r="CA1642" s="2"/>
      <c r="CB1642" s="2"/>
      <c r="CC1642" s="2" t="s">
        <v>120</v>
      </c>
      <c r="CD1642" s="2">
        <v>6229</v>
      </c>
      <c r="CE1642" s="2" t="s">
        <v>108</v>
      </c>
      <c r="CF1642" s="5">
        <v>42663</v>
      </c>
      <c r="CG1642" s="2"/>
      <c r="CH1642" s="2"/>
      <c r="CI1642" s="2">
        <v>1</v>
      </c>
      <c r="CJ1642" s="2">
        <v>1</v>
      </c>
      <c r="CK1642" s="2">
        <v>21</v>
      </c>
      <c r="CL1642" s="2" t="s">
        <v>88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"FES1162507340"</f>
        <v>FES1162507340</v>
      </c>
      <c r="F1643" s="3">
        <v>42661</v>
      </c>
      <c r="G1643" s="2">
        <v>201704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160</v>
      </c>
      <c r="M1643" s="2" t="s">
        <v>161</v>
      </c>
      <c r="N1643" s="2" t="s">
        <v>184</v>
      </c>
      <c r="O1643" s="2" t="s">
        <v>96</v>
      </c>
      <c r="P1643" s="2" t="str">
        <f>"2170528784                    "</f>
        <v xml:space="preserve">2170528784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3.32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0.5</v>
      </c>
      <c r="BJ1643" s="2">
        <v>0.2</v>
      </c>
      <c r="BK1643" s="2">
        <v>0.5</v>
      </c>
      <c r="BL1643" s="2">
        <v>40.76</v>
      </c>
      <c r="BM1643" s="2">
        <v>5.71</v>
      </c>
      <c r="BN1643" s="2">
        <v>46.47</v>
      </c>
      <c r="BO1643" s="2">
        <v>46.47</v>
      </c>
      <c r="BP1643" s="2"/>
      <c r="BQ1643" s="2" t="s">
        <v>117</v>
      </c>
      <c r="BR1643" s="2" t="s">
        <v>83</v>
      </c>
      <c r="BS1643" s="3">
        <v>42662</v>
      </c>
      <c r="BT1643" s="4">
        <v>0.41666666666666669</v>
      </c>
      <c r="BU1643" s="2" t="s">
        <v>1851</v>
      </c>
      <c r="BV1643" s="2" t="s">
        <v>85</v>
      </c>
      <c r="BW1643" s="2"/>
      <c r="BX1643" s="2"/>
      <c r="BY1643" s="2">
        <v>1200</v>
      </c>
      <c r="BZ1643" s="2"/>
      <c r="CA1643" s="2"/>
      <c r="CB1643" s="2"/>
      <c r="CC1643" s="2" t="s">
        <v>161</v>
      </c>
      <c r="CD1643" s="2">
        <v>7441</v>
      </c>
      <c r="CE1643" s="2" t="s">
        <v>108</v>
      </c>
      <c r="CF1643" s="5">
        <v>42663</v>
      </c>
      <c r="CG1643" s="2"/>
      <c r="CH1643" s="2"/>
      <c r="CI1643" s="2">
        <v>1</v>
      </c>
      <c r="CJ1643" s="2">
        <v>1</v>
      </c>
      <c r="CK1643" s="2">
        <v>21</v>
      </c>
      <c r="CL1643" s="2" t="s">
        <v>88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"FES1162507312"</f>
        <v>FES1162507312</v>
      </c>
      <c r="F1644" s="3">
        <v>42661</v>
      </c>
      <c r="G1644" s="2">
        <v>201704</v>
      </c>
      <c r="H1644" s="2" t="s">
        <v>74</v>
      </c>
      <c r="I1644" s="2" t="s">
        <v>75</v>
      </c>
      <c r="J1644" s="2" t="s">
        <v>76</v>
      </c>
      <c r="K1644" s="2" t="s">
        <v>77</v>
      </c>
      <c r="L1644" s="2" t="s">
        <v>137</v>
      </c>
      <c r="M1644" s="2" t="s">
        <v>138</v>
      </c>
      <c r="N1644" s="2" t="s">
        <v>203</v>
      </c>
      <c r="O1644" s="2" t="s">
        <v>96</v>
      </c>
      <c r="P1644" s="2" t="str">
        <f>"2170528271                    "</f>
        <v xml:space="preserve">2170528271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3.32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0.5</v>
      </c>
      <c r="BJ1644" s="2">
        <v>0.2</v>
      </c>
      <c r="BK1644" s="2">
        <v>0.5</v>
      </c>
      <c r="BL1644" s="2">
        <v>40.76</v>
      </c>
      <c r="BM1644" s="2">
        <v>5.71</v>
      </c>
      <c r="BN1644" s="2">
        <v>46.47</v>
      </c>
      <c r="BO1644" s="2">
        <v>46.47</v>
      </c>
      <c r="BP1644" s="2"/>
      <c r="BQ1644" s="2" t="s">
        <v>168</v>
      </c>
      <c r="BR1644" s="2" t="s">
        <v>83</v>
      </c>
      <c r="BS1644" s="3">
        <v>42662</v>
      </c>
      <c r="BT1644" s="4">
        <v>0.39583333333333331</v>
      </c>
      <c r="BU1644" s="2" t="s">
        <v>768</v>
      </c>
      <c r="BV1644" s="2"/>
      <c r="BW1644" s="2"/>
      <c r="BX1644" s="2"/>
      <c r="BY1644" s="2">
        <v>1200</v>
      </c>
      <c r="BZ1644" s="2"/>
      <c r="CA1644" s="2"/>
      <c r="CB1644" s="2"/>
      <c r="CC1644" s="2" t="s">
        <v>138</v>
      </c>
      <c r="CD1644" s="2">
        <v>3201</v>
      </c>
      <c r="CE1644" s="2" t="s">
        <v>108</v>
      </c>
      <c r="CF1644" s="5">
        <v>42663</v>
      </c>
      <c r="CG1644" s="2"/>
      <c r="CH1644" s="2"/>
      <c r="CI1644" s="2">
        <v>0</v>
      </c>
      <c r="CJ1644" s="2">
        <v>0</v>
      </c>
      <c r="CK1644" s="2">
        <v>21</v>
      </c>
      <c r="CL1644" s="2" t="s">
        <v>88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"FES1162507449"</f>
        <v>FES1162507449</v>
      </c>
      <c r="F1645" s="3">
        <v>42661</v>
      </c>
      <c r="G1645" s="2">
        <v>201704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148</v>
      </c>
      <c r="M1645" s="2" t="s">
        <v>149</v>
      </c>
      <c r="N1645" s="2" t="s">
        <v>882</v>
      </c>
      <c r="O1645" s="2" t="s">
        <v>96</v>
      </c>
      <c r="P1645" s="2" t="str">
        <f>"2170530891                    "</f>
        <v xml:space="preserve">2170530891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3.32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0.5</v>
      </c>
      <c r="BJ1645" s="2">
        <v>0.2</v>
      </c>
      <c r="BK1645" s="2">
        <v>0.5</v>
      </c>
      <c r="BL1645" s="2">
        <v>40.76</v>
      </c>
      <c r="BM1645" s="2">
        <v>5.71</v>
      </c>
      <c r="BN1645" s="2">
        <v>46.47</v>
      </c>
      <c r="BO1645" s="2">
        <v>46.47</v>
      </c>
      <c r="BP1645" s="2"/>
      <c r="BQ1645" s="2" t="s">
        <v>168</v>
      </c>
      <c r="BR1645" s="2" t="s">
        <v>83</v>
      </c>
      <c r="BS1645" s="3">
        <v>42662</v>
      </c>
      <c r="BT1645" s="4">
        <v>0.34375</v>
      </c>
      <c r="BU1645" s="2" t="s">
        <v>1852</v>
      </c>
      <c r="BV1645" s="2" t="s">
        <v>85</v>
      </c>
      <c r="BW1645" s="2"/>
      <c r="BX1645" s="2"/>
      <c r="BY1645" s="2">
        <v>1200</v>
      </c>
      <c r="BZ1645" s="2"/>
      <c r="CA1645" s="2"/>
      <c r="CB1645" s="2"/>
      <c r="CC1645" s="2" t="s">
        <v>149</v>
      </c>
      <c r="CD1645" s="2">
        <v>4052</v>
      </c>
      <c r="CE1645" s="2" t="s">
        <v>108</v>
      </c>
      <c r="CF1645" s="5">
        <v>42663</v>
      </c>
      <c r="CG1645" s="2"/>
      <c r="CH1645" s="2"/>
      <c r="CI1645" s="2">
        <v>1</v>
      </c>
      <c r="CJ1645" s="2">
        <v>1</v>
      </c>
      <c r="CK1645" s="2">
        <v>21</v>
      </c>
      <c r="CL1645" s="2" t="s">
        <v>88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"FES1162507337"</f>
        <v>FES1162507337</v>
      </c>
      <c r="F1646" s="3">
        <v>42661</v>
      </c>
      <c r="G1646" s="2">
        <v>201704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98</v>
      </c>
      <c r="M1646" s="2" t="s">
        <v>99</v>
      </c>
      <c r="N1646" s="2" t="s">
        <v>224</v>
      </c>
      <c r="O1646" s="2" t="s">
        <v>96</v>
      </c>
      <c r="P1646" s="2" t="str">
        <f>"2170528740                    "</f>
        <v xml:space="preserve">2170528740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3.32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0.5</v>
      </c>
      <c r="BJ1646" s="2">
        <v>0.2</v>
      </c>
      <c r="BK1646" s="2">
        <v>0.5</v>
      </c>
      <c r="BL1646" s="2">
        <v>40.76</v>
      </c>
      <c r="BM1646" s="2">
        <v>5.71</v>
      </c>
      <c r="BN1646" s="2">
        <v>46.47</v>
      </c>
      <c r="BO1646" s="2">
        <v>46.47</v>
      </c>
      <c r="BP1646" s="2"/>
      <c r="BQ1646" s="2" t="s">
        <v>1403</v>
      </c>
      <c r="BR1646" s="2" t="s">
        <v>83</v>
      </c>
      <c r="BS1646" s="3">
        <v>42662</v>
      </c>
      <c r="BT1646" s="4">
        <v>0.35416666666666669</v>
      </c>
      <c r="BU1646" s="2" t="s">
        <v>1853</v>
      </c>
      <c r="BV1646" s="2" t="s">
        <v>85</v>
      </c>
      <c r="BW1646" s="2"/>
      <c r="BX1646" s="2"/>
      <c r="BY1646" s="2">
        <v>1200</v>
      </c>
      <c r="BZ1646" s="2"/>
      <c r="CA1646" s="2" t="s">
        <v>437</v>
      </c>
      <c r="CB1646" s="2"/>
      <c r="CC1646" s="2" t="s">
        <v>99</v>
      </c>
      <c r="CD1646" s="2">
        <v>6001</v>
      </c>
      <c r="CE1646" s="2" t="s">
        <v>108</v>
      </c>
      <c r="CF1646" s="5">
        <v>42662</v>
      </c>
      <c r="CG1646" s="2"/>
      <c r="CH1646" s="2"/>
      <c r="CI1646" s="2">
        <v>1</v>
      </c>
      <c r="CJ1646" s="2">
        <v>1</v>
      </c>
      <c r="CK1646" s="2">
        <v>21</v>
      </c>
      <c r="CL1646" s="2" t="s">
        <v>88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"FES1162507321"</f>
        <v>FES1162507321</v>
      </c>
      <c r="F1647" s="3">
        <v>42661</v>
      </c>
      <c r="G1647" s="2">
        <v>201704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98</v>
      </c>
      <c r="M1647" s="2" t="s">
        <v>99</v>
      </c>
      <c r="N1647" s="2" t="s">
        <v>330</v>
      </c>
      <c r="O1647" s="2" t="s">
        <v>96</v>
      </c>
      <c r="P1647" s="2" t="str">
        <f>"2170528408                    "</f>
        <v xml:space="preserve">2170528408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3.32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0.5</v>
      </c>
      <c r="BJ1647" s="2">
        <v>0.2</v>
      </c>
      <c r="BK1647" s="2">
        <v>0.5</v>
      </c>
      <c r="BL1647" s="2">
        <v>40.76</v>
      </c>
      <c r="BM1647" s="2">
        <v>5.71</v>
      </c>
      <c r="BN1647" s="2">
        <v>46.47</v>
      </c>
      <c r="BO1647" s="2">
        <v>46.47</v>
      </c>
      <c r="BP1647" s="2"/>
      <c r="BQ1647" s="2" t="s">
        <v>331</v>
      </c>
      <c r="BR1647" s="2" t="s">
        <v>83</v>
      </c>
      <c r="BS1647" s="3">
        <v>42662</v>
      </c>
      <c r="BT1647" s="4">
        <v>0.41666666666666669</v>
      </c>
      <c r="BU1647" s="2" t="s">
        <v>467</v>
      </c>
      <c r="BV1647" s="2" t="s">
        <v>85</v>
      </c>
      <c r="BW1647" s="2"/>
      <c r="BX1647" s="2"/>
      <c r="BY1647" s="2">
        <v>1200</v>
      </c>
      <c r="BZ1647" s="2"/>
      <c r="CA1647" s="2" t="s">
        <v>468</v>
      </c>
      <c r="CB1647" s="2"/>
      <c r="CC1647" s="2" t="s">
        <v>99</v>
      </c>
      <c r="CD1647" s="2">
        <v>6070</v>
      </c>
      <c r="CE1647" s="2" t="s">
        <v>108</v>
      </c>
      <c r="CF1647" s="5">
        <v>42663</v>
      </c>
      <c r="CG1647" s="2"/>
      <c r="CH1647" s="2"/>
      <c r="CI1647" s="2">
        <v>1</v>
      </c>
      <c r="CJ1647" s="2">
        <v>1</v>
      </c>
      <c r="CK1647" s="2">
        <v>21</v>
      </c>
      <c r="CL1647" s="2" t="s">
        <v>88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"FES1162507410"</f>
        <v>FES1162507410</v>
      </c>
      <c r="F1648" s="3">
        <v>42661</v>
      </c>
      <c r="G1648" s="2">
        <v>201704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153</v>
      </c>
      <c r="M1648" s="2" t="s">
        <v>153</v>
      </c>
      <c r="N1648" s="2" t="s">
        <v>200</v>
      </c>
      <c r="O1648" s="2" t="s">
        <v>96</v>
      </c>
      <c r="P1648" s="2" t="str">
        <f>"2170530834                    "</f>
        <v xml:space="preserve">2170530834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3.32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0.5</v>
      </c>
      <c r="BJ1648" s="2">
        <v>0.2</v>
      </c>
      <c r="BK1648" s="2">
        <v>0.5</v>
      </c>
      <c r="BL1648" s="2">
        <v>40.76</v>
      </c>
      <c r="BM1648" s="2">
        <v>5.71</v>
      </c>
      <c r="BN1648" s="2">
        <v>46.47</v>
      </c>
      <c r="BO1648" s="2">
        <v>46.47</v>
      </c>
      <c r="BP1648" s="2"/>
      <c r="BQ1648" s="2" t="s">
        <v>201</v>
      </c>
      <c r="BR1648" s="2" t="s">
        <v>83</v>
      </c>
      <c r="BS1648" s="3">
        <v>42662</v>
      </c>
      <c r="BT1648" s="4">
        <v>0.51944444444444449</v>
      </c>
      <c r="BU1648" s="2" t="s">
        <v>1795</v>
      </c>
      <c r="BV1648" s="2" t="s">
        <v>85</v>
      </c>
      <c r="BW1648" s="2"/>
      <c r="BX1648" s="2"/>
      <c r="BY1648" s="2">
        <v>1200</v>
      </c>
      <c r="BZ1648" s="2"/>
      <c r="CA1648" s="2" t="s">
        <v>129</v>
      </c>
      <c r="CB1648" s="2"/>
      <c r="CC1648" s="2" t="s">
        <v>153</v>
      </c>
      <c r="CD1648" s="2">
        <v>7646</v>
      </c>
      <c r="CE1648" s="2" t="s">
        <v>108</v>
      </c>
      <c r="CF1648" s="5">
        <v>42663</v>
      </c>
      <c r="CG1648" s="2"/>
      <c r="CH1648" s="2"/>
      <c r="CI1648" s="2">
        <v>1</v>
      </c>
      <c r="CJ1648" s="2">
        <v>1</v>
      </c>
      <c r="CK1648" s="2">
        <v>21</v>
      </c>
      <c r="CL1648" s="2" t="s">
        <v>88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"FES1162507364"</f>
        <v>FES1162507364</v>
      </c>
      <c r="F1649" s="3">
        <v>42661</v>
      </c>
      <c r="G1649" s="2">
        <v>201704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269</v>
      </c>
      <c r="M1649" s="2" t="s">
        <v>270</v>
      </c>
      <c r="N1649" s="2" t="s">
        <v>299</v>
      </c>
      <c r="O1649" s="2" t="s">
        <v>96</v>
      </c>
      <c r="P1649" s="2" t="str">
        <f>"2170529669                    "</f>
        <v xml:space="preserve">2170529669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3.32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0.5</v>
      </c>
      <c r="BJ1649" s="2">
        <v>0.2</v>
      </c>
      <c r="BK1649" s="2">
        <v>0.5</v>
      </c>
      <c r="BL1649" s="2">
        <v>40.76</v>
      </c>
      <c r="BM1649" s="2">
        <v>5.71</v>
      </c>
      <c r="BN1649" s="2">
        <v>46.47</v>
      </c>
      <c r="BO1649" s="2">
        <v>46.47</v>
      </c>
      <c r="BP1649" s="2"/>
      <c r="BQ1649" s="2" t="s">
        <v>300</v>
      </c>
      <c r="BR1649" s="2" t="s">
        <v>83</v>
      </c>
      <c r="BS1649" s="3">
        <v>42662</v>
      </c>
      <c r="BT1649" s="4">
        <v>0.35416666666666669</v>
      </c>
      <c r="BU1649" s="2" t="s">
        <v>301</v>
      </c>
      <c r="BV1649" s="2" t="s">
        <v>85</v>
      </c>
      <c r="BW1649" s="2"/>
      <c r="BX1649" s="2"/>
      <c r="BY1649" s="2">
        <v>1200</v>
      </c>
      <c r="BZ1649" s="2"/>
      <c r="CA1649" s="2"/>
      <c r="CB1649" s="2"/>
      <c r="CC1649" s="2" t="s">
        <v>270</v>
      </c>
      <c r="CD1649" s="2">
        <v>3610</v>
      </c>
      <c r="CE1649" s="2" t="s">
        <v>108</v>
      </c>
      <c r="CF1649" s="5">
        <v>42663</v>
      </c>
      <c r="CG1649" s="2"/>
      <c r="CH1649" s="2"/>
      <c r="CI1649" s="2">
        <v>1</v>
      </c>
      <c r="CJ1649" s="2">
        <v>1</v>
      </c>
      <c r="CK1649" s="2">
        <v>21</v>
      </c>
      <c r="CL1649" s="2" t="s">
        <v>88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"FES1162507365"</f>
        <v>FES1162507365</v>
      </c>
      <c r="F1650" s="3">
        <v>42661</v>
      </c>
      <c r="G1650" s="2">
        <v>201704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269</v>
      </c>
      <c r="M1650" s="2" t="s">
        <v>270</v>
      </c>
      <c r="N1650" s="2" t="s">
        <v>299</v>
      </c>
      <c r="O1650" s="2" t="s">
        <v>96</v>
      </c>
      <c r="P1650" s="2" t="str">
        <f>"2170529673                    "</f>
        <v xml:space="preserve">2170529673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3.32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0.5</v>
      </c>
      <c r="BJ1650" s="2">
        <v>0.2</v>
      </c>
      <c r="BK1650" s="2">
        <v>0.5</v>
      </c>
      <c r="BL1650" s="2">
        <v>40.76</v>
      </c>
      <c r="BM1650" s="2">
        <v>5.71</v>
      </c>
      <c r="BN1650" s="2">
        <v>46.47</v>
      </c>
      <c r="BO1650" s="2">
        <v>46.47</v>
      </c>
      <c r="BP1650" s="2"/>
      <c r="BQ1650" s="2" t="s">
        <v>300</v>
      </c>
      <c r="BR1650" s="2" t="s">
        <v>83</v>
      </c>
      <c r="BS1650" s="3">
        <v>42662</v>
      </c>
      <c r="BT1650" s="4">
        <v>0.35416666666666669</v>
      </c>
      <c r="BU1650" s="2" t="s">
        <v>301</v>
      </c>
      <c r="BV1650" s="2" t="s">
        <v>85</v>
      </c>
      <c r="BW1650" s="2"/>
      <c r="BX1650" s="2"/>
      <c r="BY1650" s="2">
        <v>1200</v>
      </c>
      <c r="BZ1650" s="2"/>
      <c r="CA1650" s="2"/>
      <c r="CB1650" s="2"/>
      <c r="CC1650" s="2" t="s">
        <v>270</v>
      </c>
      <c r="CD1650" s="2">
        <v>3610</v>
      </c>
      <c r="CE1650" s="2" t="s">
        <v>108</v>
      </c>
      <c r="CF1650" s="5">
        <v>42663</v>
      </c>
      <c r="CG1650" s="2"/>
      <c r="CH1650" s="2"/>
      <c r="CI1650" s="2">
        <v>1</v>
      </c>
      <c r="CJ1650" s="2">
        <v>1</v>
      </c>
      <c r="CK1650" s="2">
        <v>21</v>
      </c>
      <c r="CL1650" s="2" t="s">
        <v>88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"FES1162507363"</f>
        <v>FES1162507363</v>
      </c>
      <c r="F1651" s="3">
        <v>42661</v>
      </c>
      <c r="G1651" s="2">
        <v>201704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269</v>
      </c>
      <c r="M1651" s="2" t="s">
        <v>270</v>
      </c>
      <c r="N1651" s="2" t="s">
        <v>299</v>
      </c>
      <c r="O1651" s="2" t="s">
        <v>96</v>
      </c>
      <c r="P1651" s="2" t="str">
        <f>"2170529664                    "</f>
        <v xml:space="preserve">2170529664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3.32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0.5</v>
      </c>
      <c r="BJ1651" s="2">
        <v>0.2</v>
      </c>
      <c r="BK1651" s="2">
        <v>0.5</v>
      </c>
      <c r="BL1651" s="2">
        <v>40.76</v>
      </c>
      <c r="BM1651" s="2">
        <v>5.71</v>
      </c>
      <c r="BN1651" s="2">
        <v>46.47</v>
      </c>
      <c r="BO1651" s="2">
        <v>46.47</v>
      </c>
      <c r="BP1651" s="2"/>
      <c r="BQ1651" s="2" t="s">
        <v>300</v>
      </c>
      <c r="BR1651" s="2" t="s">
        <v>83</v>
      </c>
      <c r="BS1651" s="3">
        <v>42662</v>
      </c>
      <c r="BT1651" s="4">
        <v>0.35416666666666669</v>
      </c>
      <c r="BU1651" s="2" t="s">
        <v>301</v>
      </c>
      <c r="BV1651" s="2" t="s">
        <v>85</v>
      </c>
      <c r="BW1651" s="2"/>
      <c r="BX1651" s="2"/>
      <c r="BY1651" s="2">
        <v>1200</v>
      </c>
      <c r="BZ1651" s="2"/>
      <c r="CA1651" s="2"/>
      <c r="CB1651" s="2"/>
      <c r="CC1651" s="2" t="s">
        <v>270</v>
      </c>
      <c r="CD1651" s="2">
        <v>3610</v>
      </c>
      <c r="CE1651" s="2" t="s">
        <v>108</v>
      </c>
      <c r="CF1651" s="5">
        <v>42663</v>
      </c>
      <c r="CG1651" s="2"/>
      <c r="CH1651" s="2"/>
      <c r="CI1651" s="2">
        <v>1</v>
      </c>
      <c r="CJ1651" s="2">
        <v>1</v>
      </c>
      <c r="CK1651" s="2">
        <v>21</v>
      </c>
      <c r="CL1651" s="2" t="s">
        <v>88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"FES1162507381"</f>
        <v>FES1162507381</v>
      </c>
      <c r="F1652" s="3">
        <v>42661</v>
      </c>
      <c r="G1652" s="2">
        <v>201704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98</v>
      </c>
      <c r="M1652" s="2" t="s">
        <v>99</v>
      </c>
      <c r="N1652" s="2" t="s">
        <v>1011</v>
      </c>
      <c r="O1652" s="2" t="s">
        <v>96</v>
      </c>
      <c r="P1652" s="2" t="str">
        <f>"2170530290                    "</f>
        <v xml:space="preserve">2170530290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3.32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0.5</v>
      </c>
      <c r="BJ1652" s="2">
        <v>0.5</v>
      </c>
      <c r="BK1652" s="2">
        <v>0.5</v>
      </c>
      <c r="BL1652" s="2">
        <v>40.76</v>
      </c>
      <c r="BM1652" s="2">
        <v>5.71</v>
      </c>
      <c r="BN1652" s="2">
        <v>46.47</v>
      </c>
      <c r="BO1652" s="2">
        <v>46.47</v>
      </c>
      <c r="BP1652" s="2"/>
      <c r="BQ1652" s="2" t="s">
        <v>117</v>
      </c>
      <c r="BR1652" s="2" t="s">
        <v>83</v>
      </c>
      <c r="BS1652" s="3">
        <v>42662</v>
      </c>
      <c r="BT1652" s="4">
        <v>0.38194444444444442</v>
      </c>
      <c r="BU1652" s="2" t="s">
        <v>1266</v>
      </c>
      <c r="BV1652" s="2" t="s">
        <v>85</v>
      </c>
      <c r="BW1652" s="2"/>
      <c r="BX1652" s="2"/>
      <c r="BY1652" s="2">
        <v>2478.5300000000002</v>
      </c>
      <c r="BZ1652" s="2"/>
      <c r="CA1652" s="2"/>
      <c r="CB1652" s="2"/>
      <c r="CC1652" s="2" t="s">
        <v>99</v>
      </c>
      <c r="CD1652" s="2">
        <v>6001</v>
      </c>
      <c r="CE1652" s="2" t="s">
        <v>108</v>
      </c>
      <c r="CF1652" s="5">
        <v>42663</v>
      </c>
      <c r="CG1652" s="2"/>
      <c r="CH1652" s="2"/>
      <c r="CI1652" s="2">
        <v>1</v>
      </c>
      <c r="CJ1652" s="2">
        <v>1</v>
      </c>
      <c r="CK1652" s="2">
        <v>21</v>
      </c>
      <c r="CL1652" s="2" t="s">
        <v>88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"FES1162507350"</f>
        <v>FES1162507350</v>
      </c>
      <c r="F1653" s="3">
        <v>42661</v>
      </c>
      <c r="G1653" s="2">
        <v>201704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119</v>
      </c>
      <c r="M1653" s="2" t="s">
        <v>120</v>
      </c>
      <c r="N1653" s="2" t="s">
        <v>186</v>
      </c>
      <c r="O1653" s="2" t="s">
        <v>96</v>
      </c>
      <c r="P1653" s="2" t="str">
        <f>"2170529177                    "</f>
        <v xml:space="preserve">2170529177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5.81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0.9</v>
      </c>
      <c r="BJ1653" s="2">
        <v>3.4</v>
      </c>
      <c r="BK1653" s="2">
        <v>3.5</v>
      </c>
      <c r="BL1653" s="2">
        <v>71.33</v>
      </c>
      <c r="BM1653" s="2">
        <v>9.99</v>
      </c>
      <c r="BN1653" s="2">
        <v>81.319999999999993</v>
      </c>
      <c r="BO1653" s="2">
        <v>81.319999999999993</v>
      </c>
      <c r="BP1653" s="2"/>
      <c r="BQ1653" s="2" t="s">
        <v>187</v>
      </c>
      <c r="BR1653" s="2" t="s">
        <v>83</v>
      </c>
      <c r="BS1653" s="3">
        <v>42662</v>
      </c>
      <c r="BT1653" s="4">
        <v>0.31527777777777777</v>
      </c>
      <c r="BU1653" s="2" t="s">
        <v>627</v>
      </c>
      <c r="BV1653" s="2" t="s">
        <v>85</v>
      </c>
      <c r="BW1653" s="2"/>
      <c r="BX1653" s="2"/>
      <c r="BY1653" s="2">
        <v>17123.22</v>
      </c>
      <c r="BZ1653" s="2"/>
      <c r="CA1653" s="2"/>
      <c r="CB1653" s="2"/>
      <c r="CC1653" s="2" t="s">
        <v>120</v>
      </c>
      <c r="CD1653" s="2">
        <v>6229</v>
      </c>
      <c r="CE1653" s="2" t="s">
        <v>108</v>
      </c>
      <c r="CF1653" s="5">
        <v>42663</v>
      </c>
      <c r="CG1653" s="2"/>
      <c r="CH1653" s="2"/>
      <c r="CI1653" s="2">
        <v>1</v>
      </c>
      <c r="CJ1653" s="2">
        <v>1</v>
      </c>
      <c r="CK1653" s="2">
        <v>21</v>
      </c>
      <c r="CL1653" s="2" t="s">
        <v>88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"FES1162507374"</f>
        <v>FES1162507374</v>
      </c>
      <c r="F1654" s="3">
        <v>42661</v>
      </c>
      <c r="G1654" s="2">
        <v>201704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98</v>
      </c>
      <c r="M1654" s="2" t="s">
        <v>99</v>
      </c>
      <c r="N1654" s="2" t="s">
        <v>1098</v>
      </c>
      <c r="O1654" s="2" t="s">
        <v>96</v>
      </c>
      <c r="P1654" s="2" t="str">
        <f>"2170530013                    "</f>
        <v xml:space="preserve">2170530013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3.32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0.3</v>
      </c>
      <c r="BJ1654" s="2">
        <v>1.9</v>
      </c>
      <c r="BK1654" s="2">
        <v>2</v>
      </c>
      <c r="BL1654" s="2">
        <v>40.76</v>
      </c>
      <c r="BM1654" s="2">
        <v>5.71</v>
      </c>
      <c r="BN1654" s="2">
        <v>46.47</v>
      </c>
      <c r="BO1654" s="2">
        <v>46.47</v>
      </c>
      <c r="BP1654" s="2"/>
      <c r="BQ1654" s="2" t="s">
        <v>1099</v>
      </c>
      <c r="BR1654" s="2" t="s">
        <v>83</v>
      </c>
      <c r="BS1654" s="3">
        <v>42662</v>
      </c>
      <c r="BT1654" s="4">
        <v>0.31944444444444448</v>
      </c>
      <c r="BU1654" s="2" t="s">
        <v>603</v>
      </c>
      <c r="BV1654" s="2" t="s">
        <v>85</v>
      </c>
      <c r="BW1654" s="2"/>
      <c r="BX1654" s="2"/>
      <c r="BY1654" s="2">
        <v>9387.2199999999993</v>
      </c>
      <c r="BZ1654" s="2"/>
      <c r="CA1654" s="2" t="s">
        <v>107</v>
      </c>
      <c r="CB1654" s="2"/>
      <c r="CC1654" s="2" t="s">
        <v>99</v>
      </c>
      <c r="CD1654" s="2">
        <v>6012</v>
      </c>
      <c r="CE1654" s="2" t="s">
        <v>108</v>
      </c>
      <c r="CF1654" s="5">
        <v>42663</v>
      </c>
      <c r="CG1654" s="2"/>
      <c r="CH1654" s="2"/>
      <c r="CI1654" s="2">
        <v>1</v>
      </c>
      <c r="CJ1654" s="2">
        <v>1</v>
      </c>
      <c r="CK1654" s="2">
        <v>21</v>
      </c>
      <c r="CL1654" s="2" t="s">
        <v>88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"FES1162507392"</f>
        <v>FES1162507392</v>
      </c>
      <c r="F1655" s="3">
        <v>42661</v>
      </c>
      <c r="G1655" s="2">
        <v>201704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143</v>
      </c>
      <c r="M1655" s="2" t="s">
        <v>144</v>
      </c>
      <c r="N1655" s="2" t="s">
        <v>273</v>
      </c>
      <c r="O1655" s="2" t="s">
        <v>96</v>
      </c>
      <c r="P1655" s="2" t="str">
        <f>"2170530821                    "</f>
        <v xml:space="preserve">2170530821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3.32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0.2</v>
      </c>
      <c r="BJ1655" s="2">
        <v>1.1000000000000001</v>
      </c>
      <c r="BK1655" s="2">
        <v>1.5</v>
      </c>
      <c r="BL1655" s="2">
        <v>40.76</v>
      </c>
      <c r="BM1655" s="2">
        <v>5.71</v>
      </c>
      <c r="BN1655" s="2">
        <v>46.47</v>
      </c>
      <c r="BO1655" s="2">
        <v>46.47</v>
      </c>
      <c r="BP1655" s="2"/>
      <c r="BQ1655" s="2" t="s">
        <v>274</v>
      </c>
      <c r="BR1655" s="2" t="s">
        <v>83</v>
      </c>
      <c r="BS1655" s="3">
        <v>42662</v>
      </c>
      <c r="BT1655" s="4">
        <v>0.4368055555555555</v>
      </c>
      <c r="BU1655" s="2" t="s">
        <v>1805</v>
      </c>
      <c r="BV1655" s="2" t="s">
        <v>85</v>
      </c>
      <c r="BW1655" s="2"/>
      <c r="BX1655" s="2"/>
      <c r="BY1655" s="2">
        <v>5617.52</v>
      </c>
      <c r="BZ1655" s="2"/>
      <c r="CA1655" s="2" t="s">
        <v>129</v>
      </c>
      <c r="CB1655" s="2"/>
      <c r="CC1655" s="2" t="s">
        <v>144</v>
      </c>
      <c r="CD1655" s="2">
        <v>5201</v>
      </c>
      <c r="CE1655" s="2" t="s">
        <v>108</v>
      </c>
      <c r="CF1655" s="5">
        <v>42664</v>
      </c>
      <c r="CG1655" s="2"/>
      <c r="CH1655" s="2"/>
      <c r="CI1655" s="2">
        <v>1</v>
      </c>
      <c r="CJ1655" s="2">
        <v>1</v>
      </c>
      <c r="CK1655" s="2">
        <v>21</v>
      </c>
      <c r="CL1655" s="2" t="s">
        <v>88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"FES1162507353"</f>
        <v>FES1162507353</v>
      </c>
      <c r="F1656" s="3">
        <v>42661</v>
      </c>
      <c r="G1656" s="2">
        <v>201704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98</v>
      </c>
      <c r="M1656" s="2" t="s">
        <v>99</v>
      </c>
      <c r="N1656" s="2" t="s">
        <v>104</v>
      </c>
      <c r="O1656" s="2" t="s">
        <v>96</v>
      </c>
      <c r="P1656" s="2" t="str">
        <f>"2170529438                    "</f>
        <v xml:space="preserve">2170529438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3.32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0.5</v>
      </c>
      <c r="BJ1656" s="2">
        <v>0.2</v>
      </c>
      <c r="BK1656" s="2">
        <v>0.5</v>
      </c>
      <c r="BL1656" s="2">
        <v>40.76</v>
      </c>
      <c r="BM1656" s="2">
        <v>5.71</v>
      </c>
      <c r="BN1656" s="2">
        <v>46.47</v>
      </c>
      <c r="BO1656" s="2">
        <v>46.47</v>
      </c>
      <c r="BP1656" s="2"/>
      <c r="BQ1656" s="2" t="s">
        <v>105</v>
      </c>
      <c r="BR1656" s="2" t="s">
        <v>83</v>
      </c>
      <c r="BS1656" s="3">
        <v>42662</v>
      </c>
      <c r="BT1656" s="4">
        <v>0.43263888888888885</v>
      </c>
      <c r="BU1656" s="2" t="s">
        <v>106</v>
      </c>
      <c r="BV1656" s="2" t="s">
        <v>85</v>
      </c>
      <c r="BW1656" s="2"/>
      <c r="BX1656" s="2"/>
      <c r="BY1656" s="2">
        <v>1200</v>
      </c>
      <c r="BZ1656" s="2"/>
      <c r="CA1656" s="2" t="s">
        <v>107</v>
      </c>
      <c r="CB1656" s="2"/>
      <c r="CC1656" s="2" t="s">
        <v>99</v>
      </c>
      <c r="CD1656" s="2">
        <v>6001</v>
      </c>
      <c r="CE1656" s="2" t="s">
        <v>108</v>
      </c>
      <c r="CF1656" s="5">
        <v>42662</v>
      </c>
      <c r="CG1656" s="2"/>
      <c r="CH1656" s="2"/>
      <c r="CI1656" s="2">
        <v>1</v>
      </c>
      <c r="CJ1656" s="2">
        <v>1</v>
      </c>
      <c r="CK1656" s="2">
        <v>21</v>
      </c>
      <c r="CL1656" s="2" t="s">
        <v>88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"FES1162507382"</f>
        <v>FES1162507382</v>
      </c>
      <c r="F1657" s="3">
        <v>42661</v>
      </c>
      <c r="G1657" s="2">
        <v>201704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98</v>
      </c>
      <c r="M1657" s="2" t="s">
        <v>99</v>
      </c>
      <c r="N1657" s="2" t="s">
        <v>1854</v>
      </c>
      <c r="O1657" s="2" t="s">
        <v>96</v>
      </c>
      <c r="P1657" s="2" t="str">
        <f>"2170530306                    "</f>
        <v xml:space="preserve">2170530306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3.32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0.6</v>
      </c>
      <c r="BJ1657" s="2">
        <v>1.5</v>
      </c>
      <c r="BK1657" s="2">
        <v>1.5</v>
      </c>
      <c r="BL1657" s="2">
        <v>40.76</v>
      </c>
      <c r="BM1657" s="2">
        <v>5.71</v>
      </c>
      <c r="BN1657" s="2">
        <v>46.47</v>
      </c>
      <c r="BO1657" s="2">
        <v>46.47</v>
      </c>
      <c r="BP1657" s="2"/>
      <c r="BQ1657" s="2" t="s">
        <v>1855</v>
      </c>
      <c r="BR1657" s="2" t="s">
        <v>83</v>
      </c>
      <c r="BS1657" s="3">
        <v>42662</v>
      </c>
      <c r="BT1657" s="4">
        <v>0.34375</v>
      </c>
      <c r="BU1657" s="2" t="s">
        <v>1266</v>
      </c>
      <c r="BV1657" s="2" t="s">
        <v>85</v>
      </c>
      <c r="BW1657" s="2"/>
      <c r="BX1657" s="2"/>
      <c r="BY1657" s="2">
        <v>7516.21</v>
      </c>
      <c r="BZ1657" s="2"/>
      <c r="CA1657" s="2"/>
      <c r="CB1657" s="2"/>
      <c r="CC1657" s="2" t="s">
        <v>99</v>
      </c>
      <c r="CD1657" s="2">
        <v>6001</v>
      </c>
      <c r="CE1657" s="2" t="s">
        <v>108</v>
      </c>
      <c r="CF1657" s="5">
        <v>42663</v>
      </c>
      <c r="CG1657" s="2"/>
      <c r="CH1657" s="2"/>
      <c r="CI1657" s="2">
        <v>1</v>
      </c>
      <c r="CJ1657" s="2">
        <v>1</v>
      </c>
      <c r="CK1657" s="2">
        <v>21</v>
      </c>
      <c r="CL1657" s="2" t="s">
        <v>88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"FES1162507394"</f>
        <v>FES1162507394</v>
      </c>
      <c r="F1658" s="3">
        <v>42661</v>
      </c>
      <c r="G1658" s="2">
        <v>201704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143</v>
      </c>
      <c r="M1658" s="2" t="s">
        <v>144</v>
      </c>
      <c r="N1658" s="2" t="s">
        <v>273</v>
      </c>
      <c r="O1658" s="2" t="s">
        <v>96</v>
      </c>
      <c r="P1658" s="2" t="str">
        <f>"2170530823                    "</f>
        <v xml:space="preserve">2170530823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3.32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0.5</v>
      </c>
      <c r="BJ1658" s="2">
        <v>0.2</v>
      </c>
      <c r="BK1658" s="2">
        <v>0.5</v>
      </c>
      <c r="BL1658" s="2">
        <v>40.76</v>
      </c>
      <c r="BM1658" s="2">
        <v>5.71</v>
      </c>
      <c r="BN1658" s="2">
        <v>46.47</v>
      </c>
      <c r="BO1658" s="2">
        <v>46.47</v>
      </c>
      <c r="BP1658" s="2"/>
      <c r="BQ1658" s="2" t="s">
        <v>274</v>
      </c>
      <c r="BR1658" s="2" t="s">
        <v>83</v>
      </c>
      <c r="BS1658" s="3">
        <v>42662</v>
      </c>
      <c r="BT1658" s="4">
        <v>0.4368055555555555</v>
      </c>
      <c r="BU1658" s="2" t="s">
        <v>1805</v>
      </c>
      <c r="BV1658" s="2" t="s">
        <v>85</v>
      </c>
      <c r="BW1658" s="2"/>
      <c r="BX1658" s="2"/>
      <c r="BY1658" s="2">
        <v>1200</v>
      </c>
      <c r="BZ1658" s="2"/>
      <c r="CA1658" s="2" t="s">
        <v>129</v>
      </c>
      <c r="CB1658" s="2"/>
      <c r="CC1658" s="2" t="s">
        <v>144</v>
      </c>
      <c r="CD1658" s="2">
        <v>5201</v>
      </c>
      <c r="CE1658" s="2" t="s">
        <v>108</v>
      </c>
      <c r="CF1658" s="5">
        <v>42664</v>
      </c>
      <c r="CG1658" s="2"/>
      <c r="CH1658" s="2"/>
      <c r="CI1658" s="2">
        <v>1</v>
      </c>
      <c r="CJ1658" s="2">
        <v>1</v>
      </c>
      <c r="CK1658" s="2">
        <v>21</v>
      </c>
      <c r="CL1658" s="2" t="s">
        <v>88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"FES1162507286"</f>
        <v>FES1162507286</v>
      </c>
      <c r="F1659" s="3">
        <v>42661</v>
      </c>
      <c r="G1659" s="2">
        <v>201704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98</v>
      </c>
      <c r="M1659" s="2" t="s">
        <v>99</v>
      </c>
      <c r="N1659" s="2" t="s">
        <v>109</v>
      </c>
      <c r="O1659" s="2" t="s">
        <v>96</v>
      </c>
      <c r="P1659" s="2" t="str">
        <f>"2170525464                    "</f>
        <v xml:space="preserve">2170525464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3.32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0.5</v>
      </c>
      <c r="BJ1659" s="2">
        <v>0.2</v>
      </c>
      <c r="BK1659" s="2">
        <v>0.5</v>
      </c>
      <c r="BL1659" s="2">
        <v>40.76</v>
      </c>
      <c r="BM1659" s="2">
        <v>5.71</v>
      </c>
      <c r="BN1659" s="2">
        <v>46.47</v>
      </c>
      <c r="BO1659" s="2">
        <v>46.47</v>
      </c>
      <c r="BP1659" s="2"/>
      <c r="BQ1659" s="2" t="s">
        <v>110</v>
      </c>
      <c r="BR1659" s="2" t="s">
        <v>83</v>
      </c>
      <c r="BS1659" s="3">
        <v>42662</v>
      </c>
      <c r="BT1659" s="4">
        <v>0.41666666666666669</v>
      </c>
      <c r="BU1659" s="2" t="s">
        <v>1613</v>
      </c>
      <c r="BV1659" s="2" t="s">
        <v>85</v>
      </c>
      <c r="BW1659" s="2"/>
      <c r="BX1659" s="2"/>
      <c r="BY1659" s="2">
        <v>1200</v>
      </c>
      <c r="BZ1659" s="2"/>
      <c r="CA1659" s="2" t="s">
        <v>107</v>
      </c>
      <c r="CB1659" s="2"/>
      <c r="CC1659" s="2" t="s">
        <v>99</v>
      </c>
      <c r="CD1659" s="2">
        <v>6001</v>
      </c>
      <c r="CE1659" s="2" t="s">
        <v>108</v>
      </c>
      <c r="CF1659" s="5">
        <v>42662</v>
      </c>
      <c r="CG1659" s="2"/>
      <c r="CH1659" s="2"/>
      <c r="CI1659" s="2">
        <v>1</v>
      </c>
      <c r="CJ1659" s="2">
        <v>1</v>
      </c>
      <c r="CK1659" s="2">
        <v>21</v>
      </c>
      <c r="CL1659" s="2" t="s">
        <v>88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"FES1162507412"</f>
        <v>FES1162507412</v>
      </c>
      <c r="F1660" s="3">
        <v>42661</v>
      </c>
      <c r="G1660" s="2">
        <v>201704</v>
      </c>
      <c r="H1660" s="2" t="s">
        <v>74</v>
      </c>
      <c r="I1660" s="2" t="s">
        <v>75</v>
      </c>
      <c r="J1660" s="2" t="s">
        <v>76</v>
      </c>
      <c r="K1660" s="2" t="s">
        <v>77</v>
      </c>
      <c r="L1660" s="2" t="s">
        <v>143</v>
      </c>
      <c r="M1660" s="2" t="s">
        <v>144</v>
      </c>
      <c r="N1660" s="2" t="s">
        <v>273</v>
      </c>
      <c r="O1660" s="2" t="s">
        <v>96</v>
      </c>
      <c r="P1660" s="2" t="str">
        <f>"2170530837                    "</f>
        <v xml:space="preserve">2170530837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3.32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0.5</v>
      </c>
      <c r="BJ1660" s="2">
        <v>0.2</v>
      </c>
      <c r="BK1660" s="2">
        <v>0.5</v>
      </c>
      <c r="BL1660" s="2">
        <v>40.76</v>
      </c>
      <c r="BM1660" s="2">
        <v>5.71</v>
      </c>
      <c r="BN1660" s="2">
        <v>46.47</v>
      </c>
      <c r="BO1660" s="2">
        <v>46.47</v>
      </c>
      <c r="BP1660" s="2"/>
      <c r="BQ1660" s="2" t="s">
        <v>274</v>
      </c>
      <c r="BR1660" s="2" t="s">
        <v>83</v>
      </c>
      <c r="BS1660" s="3">
        <v>42662</v>
      </c>
      <c r="BT1660" s="4">
        <v>0.4368055555555555</v>
      </c>
      <c r="BU1660" s="2" t="s">
        <v>1805</v>
      </c>
      <c r="BV1660" s="2" t="s">
        <v>85</v>
      </c>
      <c r="BW1660" s="2"/>
      <c r="BX1660" s="2"/>
      <c r="BY1660" s="2">
        <v>1200</v>
      </c>
      <c r="BZ1660" s="2"/>
      <c r="CA1660" s="2" t="s">
        <v>129</v>
      </c>
      <c r="CB1660" s="2"/>
      <c r="CC1660" s="2" t="s">
        <v>144</v>
      </c>
      <c r="CD1660" s="2">
        <v>5201</v>
      </c>
      <c r="CE1660" s="2" t="s">
        <v>108</v>
      </c>
      <c r="CF1660" s="5">
        <v>42664</v>
      </c>
      <c r="CG1660" s="2"/>
      <c r="CH1660" s="2"/>
      <c r="CI1660" s="2">
        <v>1</v>
      </c>
      <c r="CJ1660" s="2">
        <v>1</v>
      </c>
      <c r="CK1660" s="2">
        <v>21</v>
      </c>
      <c r="CL1660" s="2" t="s">
        <v>88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"FES1162507458"</f>
        <v>FES1162507458</v>
      </c>
      <c r="F1661" s="3">
        <v>42661</v>
      </c>
      <c r="G1661" s="2">
        <v>201704</v>
      </c>
      <c r="H1661" s="2" t="s">
        <v>74</v>
      </c>
      <c r="I1661" s="2" t="s">
        <v>75</v>
      </c>
      <c r="J1661" s="2" t="s">
        <v>76</v>
      </c>
      <c r="K1661" s="2" t="s">
        <v>77</v>
      </c>
      <c r="L1661" s="2" t="s">
        <v>78</v>
      </c>
      <c r="M1661" s="2" t="s">
        <v>79</v>
      </c>
      <c r="N1661" s="2" t="s">
        <v>89</v>
      </c>
      <c r="O1661" s="2" t="s">
        <v>96</v>
      </c>
      <c r="P1661" s="2" t="str">
        <f>"2170530882                    "</f>
        <v xml:space="preserve">2170530882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3.32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0.5</v>
      </c>
      <c r="BJ1661" s="2">
        <v>0.2</v>
      </c>
      <c r="BK1661" s="2">
        <v>0.5</v>
      </c>
      <c r="BL1661" s="2">
        <v>40.76</v>
      </c>
      <c r="BM1661" s="2">
        <v>5.71</v>
      </c>
      <c r="BN1661" s="2">
        <v>46.47</v>
      </c>
      <c r="BO1661" s="2">
        <v>46.47</v>
      </c>
      <c r="BP1661" s="2"/>
      <c r="BQ1661" s="2" t="s">
        <v>91</v>
      </c>
      <c r="BR1661" s="2" t="s">
        <v>83</v>
      </c>
      <c r="BS1661" s="3">
        <v>42662</v>
      </c>
      <c r="BT1661" s="4">
        <v>0.41666666666666669</v>
      </c>
      <c r="BU1661" s="2" t="s">
        <v>84</v>
      </c>
      <c r="BV1661" s="2" t="s">
        <v>85</v>
      </c>
      <c r="BW1661" s="2"/>
      <c r="BX1661" s="2"/>
      <c r="BY1661" s="2">
        <v>1200</v>
      </c>
      <c r="BZ1661" s="2"/>
      <c r="CA1661" s="2"/>
      <c r="CB1661" s="2"/>
      <c r="CC1661" s="2" t="s">
        <v>79</v>
      </c>
      <c r="CD1661" s="2">
        <v>1873</v>
      </c>
      <c r="CE1661" s="2" t="s">
        <v>108</v>
      </c>
      <c r="CF1661" s="5">
        <v>42664</v>
      </c>
      <c r="CG1661" s="2"/>
      <c r="CH1661" s="2"/>
      <c r="CI1661" s="2">
        <v>1</v>
      </c>
      <c r="CJ1661" s="2">
        <v>1</v>
      </c>
      <c r="CK1661" s="2">
        <v>21</v>
      </c>
      <c r="CL1661" s="2" t="s">
        <v>88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"FES1162507302"</f>
        <v>FES1162507302</v>
      </c>
      <c r="F1662" s="3">
        <v>42661</v>
      </c>
      <c r="G1662" s="2">
        <v>201704</v>
      </c>
      <c r="H1662" s="2" t="s">
        <v>74</v>
      </c>
      <c r="I1662" s="2" t="s">
        <v>75</v>
      </c>
      <c r="J1662" s="2" t="s">
        <v>76</v>
      </c>
      <c r="K1662" s="2" t="s">
        <v>77</v>
      </c>
      <c r="L1662" s="2" t="s">
        <v>137</v>
      </c>
      <c r="M1662" s="2" t="s">
        <v>138</v>
      </c>
      <c r="N1662" s="2" t="s">
        <v>849</v>
      </c>
      <c r="O1662" s="2" t="s">
        <v>96</v>
      </c>
      <c r="P1662" s="2" t="str">
        <f>"2170527977                    "</f>
        <v xml:space="preserve">2170527977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3.32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1</v>
      </c>
      <c r="BI1662" s="2">
        <v>0.3</v>
      </c>
      <c r="BJ1662" s="2">
        <v>1.2</v>
      </c>
      <c r="BK1662" s="2">
        <v>1.5</v>
      </c>
      <c r="BL1662" s="2">
        <v>40.76</v>
      </c>
      <c r="BM1662" s="2">
        <v>5.71</v>
      </c>
      <c r="BN1662" s="2">
        <v>46.47</v>
      </c>
      <c r="BO1662" s="2">
        <v>46.47</v>
      </c>
      <c r="BP1662" s="2"/>
      <c r="BQ1662" s="2" t="s">
        <v>850</v>
      </c>
      <c r="BR1662" s="2" t="s">
        <v>83</v>
      </c>
      <c r="BS1662" s="3">
        <v>42662</v>
      </c>
      <c r="BT1662" s="4">
        <v>0.40763888888888888</v>
      </c>
      <c r="BU1662" s="2" t="s">
        <v>1856</v>
      </c>
      <c r="BV1662" s="2" t="s">
        <v>85</v>
      </c>
      <c r="BW1662" s="2"/>
      <c r="BX1662" s="2"/>
      <c r="BY1662" s="2">
        <v>6085.8</v>
      </c>
      <c r="BZ1662" s="2"/>
      <c r="CA1662" s="2" t="s">
        <v>170</v>
      </c>
      <c r="CB1662" s="2"/>
      <c r="CC1662" s="2" t="s">
        <v>138</v>
      </c>
      <c r="CD1662" s="2">
        <v>3201</v>
      </c>
      <c r="CE1662" s="2" t="s">
        <v>108</v>
      </c>
      <c r="CF1662" s="5">
        <v>42662</v>
      </c>
      <c r="CG1662" s="2"/>
      <c r="CH1662" s="2"/>
      <c r="CI1662" s="2">
        <v>1</v>
      </c>
      <c r="CJ1662" s="2">
        <v>1</v>
      </c>
      <c r="CK1662" s="2">
        <v>21</v>
      </c>
      <c r="CL1662" s="2" t="s">
        <v>88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"FES1162507525"</f>
        <v>FES1162507525</v>
      </c>
      <c r="F1663" s="3">
        <v>42661</v>
      </c>
      <c r="G1663" s="2">
        <v>201704</v>
      </c>
      <c r="H1663" s="2" t="s">
        <v>74</v>
      </c>
      <c r="I1663" s="2" t="s">
        <v>75</v>
      </c>
      <c r="J1663" s="2" t="s">
        <v>76</v>
      </c>
      <c r="K1663" s="2" t="s">
        <v>77</v>
      </c>
      <c r="L1663" s="2" t="s">
        <v>269</v>
      </c>
      <c r="M1663" s="2" t="s">
        <v>270</v>
      </c>
      <c r="N1663" s="2" t="s">
        <v>804</v>
      </c>
      <c r="O1663" s="2" t="s">
        <v>96</v>
      </c>
      <c r="P1663" s="2" t="str">
        <f>"2170530962                    "</f>
        <v xml:space="preserve">2170530962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6.63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3.1</v>
      </c>
      <c r="BJ1663" s="2">
        <v>3.9</v>
      </c>
      <c r="BK1663" s="2">
        <v>4</v>
      </c>
      <c r="BL1663" s="2">
        <v>81.510000000000005</v>
      </c>
      <c r="BM1663" s="2">
        <v>11.41</v>
      </c>
      <c r="BN1663" s="2">
        <v>92.92</v>
      </c>
      <c r="BO1663" s="2">
        <v>92.92</v>
      </c>
      <c r="BP1663" s="2"/>
      <c r="BQ1663" s="2" t="s">
        <v>805</v>
      </c>
      <c r="BR1663" s="2" t="s">
        <v>83</v>
      </c>
      <c r="BS1663" s="3">
        <v>42662</v>
      </c>
      <c r="BT1663" s="4">
        <v>0.31875000000000003</v>
      </c>
      <c r="BU1663" s="2" t="s">
        <v>806</v>
      </c>
      <c r="BV1663" s="2" t="s">
        <v>85</v>
      </c>
      <c r="BW1663" s="2"/>
      <c r="BX1663" s="2"/>
      <c r="BY1663" s="2">
        <v>19629.12</v>
      </c>
      <c r="BZ1663" s="2"/>
      <c r="CA1663" s="2"/>
      <c r="CB1663" s="2"/>
      <c r="CC1663" s="2" t="s">
        <v>270</v>
      </c>
      <c r="CD1663" s="2">
        <v>3610</v>
      </c>
      <c r="CE1663" s="2" t="s">
        <v>368</v>
      </c>
      <c r="CF1663" s="5">
        <v>42662</v>
      </c>
      <c r="CG1663" s="2"/>
      <c r="CH1663" s="2"/>
      <c r="CI1663" s="2">
        <v>1</v>
      </c>
      <c r="CJ1663" s="2">
        <v>1</v>
      </c>
      <c r="CK1663" s="2">
        <v>21</v>
      </c>
      <c r="CL1663" s="2" t="s">
        <v>88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"FES1162507568"</f>
        <v>FES1162507568</v>
      </c>
      <c r="F1664" s="3">
        <v>42661</v>
      </c>
      <c r="G1664" s="2">
        <v>201704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98</v>
      </c>
      <c r="M1664" s="2" t="s">
        <v>99</v>
      </c>
      <c r="N1664" s="2" t="s">
        <v>109</v>
      </c>
      <c r="O1664" s="2" t="s">
        <v>96</v>
      </c>
      <c r="P1664" s="2" t="str">
        <f>"2170528202                    "</f>
        <v xml:space="preserve">2170528202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22.39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13.3</v>
      </c>
      <c r="BJ1664" s="2">
        <v>9.6</v>
      </c>
      <c r="BK1664" s="2">
        <v>13.5</v>
      </c>
      <c r="BL1664" s="2">
        <v>275.11</v>
      </c>
      <c r="BM1664" s="2">
        <v>38.520000000000003</v>
      </c>
      <c r="BN1664" s="2">
        <v>313.63</v>
      </c>
      <c r="BO1664" s="2">
        <v>313.63</v>
      </c>
      <c r="BP1664" s="2"/>
      <c r="BQ1664" s="2" t="s">
        <v>110</v>
      </c>
      <c r="BR1664" s="2" t="s">
        <v>83</v>
      </c>
      <c r="BS1664" s="3">
        <v>42662</v>
      </c>
      <c r="BT1664" s="4">
        <v>0.41666666666666669</v>
      </c>
      <c r="BU1664" s="2" t="s">
        <v>1857</v>
      </c>
      <c r="BV1664" s="2" t="s">
        <v>85</v>
      </c>
      <c r="BW1664" s="2"/>
      <c r="BX1664" s="2"/>
      <c r="BY1664" s="2">
        <v>47878.8</v>
      </c>
      <c r="BZ1664" s="2"/>
      <c r="CA1664" s="2" t="s">
        <v>129</v>
      </c>
      <c r="CB1664" s="2"/>
      <c r="CC1664" s="2" t="s">
        <v>99</v>
      </c>
      <c r="CD1664" s="2">
        <v>6001</v>
      </c>
      <c r="CE1664" s="2" t="s">
        <v>368</v>
      </c>
      <c r="CF1664" s="5">
        <v>42662</v>
      </c>
      <c r="CG1664" s="2"/>
      <c r="CH1664" s="2"/>
      <c r="CI1664" s="2">
        <v>1</v>
      </c>
      <c r="CJ1664" s="2">
        <v>1</v>
      </c>
      <c r="CK1664" s="2">
        <v>21</v>
      </c>
      <c r="CL1664" s="2" t="s">
        <v>88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"FES1162507387"</f>
        <v>FES1162507387</v>
      </c>
      <c r="F1665" s="3">
        <v>42661</v>
      </c>
      <c r="G1665" s="2">
        <v>201704</v>
      </c>
      <c r="H1665" s="2" t="s">
        <v>74</v>
      </c>
      <c r="I1665" s="2" t="s">
        <v>75</v>
      </c>
      <c r="J1665" s="2" t="s">
        <v>76</v>
      </c>
      <c r="K1665" s="2" t="s">
        <v>77</v>
      </c>
      <c r="L1665" s="2" t="s">
        <v>160</v>
      </c>
      <c r="M1665" s="2" t="s">
        <v>161</v>
      </c>
      <c r="N1665" s="2" t="s">
        <v>1858</v>
      </c>
      <c r="O1665" s="2" t="s">
        <v>96</v>
      </c>
      <c r="P1665" s="2" t="str">
        <f>"2170530505                    "</f>
        <v xml:space="preserve">2170530505  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3.32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1</v>
      </c>
      <c r="BI1665" s="2">
        <v>0.5</v>
      </c>
      <c r="BJ1665" s="2">
        <v>0.2</v>
      </c>
      <c r="BK1665" s="2">
        <v>0.5</v>
      </c>
      <c r="BL1665" s="2">
        <v>40.76</v>
      </c>
      <c r="BM1665" s="2">
        <v>5.71</v>
      </c>
      <c r="BN1665" s="2">
        <v>46.47</v>
      </c>
      <c r="BO1665" s="2">
        <v>46.47</v>
      </c>
      <c r="BP1665" s="2"/>
      <c r="BQ1665" s="2"/>
      <c r="BR1665" s="2" t="s">
        <v>83</v>
      </c>
      <c r="BS1665" s="3">
        <v>42662</v>
      </c>
      <c r="BT1665" s="4">
        <v>0.41666666666666669</v>
      </c>
      <c r="BU1665" s="2" t="s">
        <v>1859</v>
      </c>
      <c r="BV1665" s="2" t="s">
        <v>85</v>
      </c>
      <c r="BW1665" s="2"/>
      <c r="BX1665" s="2"/>
      <c r="BY1665" s="2">
        <v>1200</v>
      </c>
      <c r="BZ1665" s="2"/>
      <c r="CA1665" s="2" t="s">
        <v>129</v>
      </c>
      <c r="CB1665" s="2"/>
      <c r="CC1665" s="2" t="s">
        <v>161</v>
      </c>
      <c r="CD1665" s="2">
        <v>7405</v>
      </c>
      <c r="CE1665" s="2" t="s">
        <v>108</v>
      </c>
      <c r="CF1665" s="5">
        <v>42663</v>
      </c>
      <c r="CG1665" s="2"/>
      <c r="CH1665" s="2"/>
      <c r="CI1665" s="2">
        <v>1</v>
      </c>
      <c r="CJ1665" s="2">
        <v>1</v>
      </c>
      <c r="CK1665" s="2">
        <v>21</v>
      </c>
      <c r="CL1665" s="2" t="s">
        <v>88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"FES1162507650"</f>
        <v>FES1162507650</v>
      </c>
      <c r="F1666" s="3">
        <v>42661</v>
      </c>
      <c r="G1666" s="2">
        <v>201704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160</v>
      </c>
      <c r="M1666" s="2" t="s">
        <v>161</v>
      </c>
      <c r="N1666" s="2" t="s">
        <v>302</v>
      </c>
      <c r="O1666" s="2" t="s">
        <v>96</v>
      </c>
      <c r="P1666" s="2" t="str">
        <f>"2170531114                    "</f>
        <v xml:space="preserve">2170531114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3.32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40.76</v>
      </c>
      <c r="BM1666" s="2">
        <v>5.71</v>
      </c>
      <c r="BN1666" s="2">
        <v>46.47</v>
      </c>
      <c r="BO1666" s="2">
        <v>46.47</v>
      </c>
      <c r="BP1666" s="2"/>
      <c r="BQ1666" s="2" t="s">
        <v>303</v>
      </c>
      <c r="BR1666" s="2" t="s">
        <v>83</v>
      </c>
      <c r="BS1666" s="3">
        <v>42662</v>
      </c>
      <c r="BT1666" s="4">
        <v>0.34375</v>
      </c>
      <c r="BU1666" s="2" t="s">
        <v>1860</v>
      </c>
      <c r="BV1666" s="2" t="s">
        <v>85</v>
      </c>
      <c r="BW1666" s="2"/>
      <c r="BX1666" s="2"/>
      <c r="BY1666" s="2">
        <v>1200</v>
      </c>
      <c r="BZ1666" s="2"/>
      <c r="CA1666" s="2"/>
      <c r="CB1666" s="2"/>
      <c r="CC1666" s="2" t="s">
        <v>161</v>
      </c>
      <c r="CD1666" s="2">
        <v>7530</v>
      </c>
      <c r="CE1666" s="2" t="s">
        <v>108</v>
      </c>
      <c r="CF1666" s="5">
        <v>42663</v>
      </c>
      <c r="CG1666" s="2"/>
      <c r="CH1666" s="2"/>
      <c r="CI1666" s="2">
        <v>1</v>
      </c>
      <c r="CJ1666" s="2">
        <v>1</v>
      </c>
      <c r="CK1666" s="2">
        <v>21</v>
      </c>
      <c r="CL1666" s="2" t="s">
        <v>88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"FES1162507309"</f>
        <v>FES1162507309</v>
      </c>
      <c r="F1667" s="3">
        <v>42661</v>
      </c>
      <c r="G1667" s="2">
        <v>201704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160</v>
      </c>
      <c r="M1667" s="2" t="s">
        <v>161</v>
      </c>
      <c r="N1667" s="2" t="s">
        <v>643</v>
      </c>
      <c r="O1667" s="2" t="s">
        <v>96</v>
      </c>
      <c r="P1667" s="2" t="str">
        <f>"2170528176                    "</f>
        <v xml:space="preserve">2170528176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4.9800000000000004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0.3</v>
      </c>
      <c r="BJ1667" s="2">
        <v>3</v>
      </c>
      <c r="BK1667" s="2">
        <v>3</v>
      </c>
      <c r="BL1667" s="2">
        <v>61.14</v>
      </c>
      <c r="BM1667" s="2">
        <v>8.56</v>
      </c>
      <c r="BN1667" s="2">
        <v>69.7</v>
      </c>
      <c r="BO1667" s="2">
        <v>69.7</v>
      </c>
      <c r="BP1667" s="2"/>
      <c r="BQ1667" s="2" t="s">
        <v>644</v>
      </c>
      <c r="BR1667" s="2" t="s">
        <v>83</v>
      </c>
      <c r="BS1667" s="3">
        <v>42662</v>
      </c>
      <c r="BT1667" s="4">
        <v>0.41666666666666669</v>
      </c>
      <c r="BU1667" s="2" t="s">
        <v>1700</v>
      </c>
      <c r="BV1667" s="2" t="s">
        <v>85</v>
      </c>
      <c r="BW1667" s="2"/>
      <c r="BX1667" s="2"/>
      <c r="BY1667" s="2">
        <v>14823.95</v>
      </c>
      <c r="BZ1667" s="2"/>
      <c r="CA1667" s="2"/>
      <c r="CB1667" s="2"/>
      <c r="CC1667" s="2" t="s">
        <v>161</v>
      </c>
      <c r="CD1667" s="2">
        <v>7925</v>
      </c>
      <c r="CE1667" s="2" t="s">
        <v>108</v>
      </c>
      <c r="CF1667" s="5">
        <v>42663</v>
      </c>
      <c r="CG1667" s="2"/>
      <c r="CH1667" s="2"/>
      <c r="CI1667" s="2">
        <v>1</v>
      </c>
      <c r="CJ1667" s="2">
        <v>1</v>
      </c>
      <c r="CK1667" s="2">
        <v>21</v>
      </c>
      <c r="CL1667" s="2" t="s">
        <v>88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"FES1162507550"</f>
        <v>FES1162507550</v>
      </c>
      <c r="F1668" s="3">
        <v>42661</v>
      </c>
      <c r="G1668" s="2">
        <v>201704</v>
      </c>
      <c r="H1668" s="2" t="s">
        <v>74</v>
      </c>
      <c r="I1668" s="2" t="s">
        <v>75</v>
      </c>
      <c r="J1668" s="2" t="s">
        <v>76</v>
      </c>
      <c r="K1668" s="2" t="s">
        <v>77</v>
      </c>
      <c r="L1668" s="2" t="s">
        <v>160</v>
      </c>
      <c r="M1668" s="2" t="s">
        <v>161</v>
      </c>
      <c r="N1668" s="2" t="s">
        <v>710</v>
      </c>
      <c r="O1668" s="2" t="s">
        <v>96</v>
      </c>
      <c r="P1668" s="2" t="str">
        <f>"2170530982                    "</f>
        <v xml:space="preserve">2170530982       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3.32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0.5</v>
      </c>
      <c r="BJ1668" s="2">
        <v>1.1000000000000001</v>
      </c>
      <c r="BK1668" s="2">
        <v>1.5</v>
      </c>
      <c r="BL1668" s="2">
        <v>40.76</v>
      </c>
      <c r="BM1668" s="2">
        <v>5.71</v>
      </c>
      <c r="BN1668" s="2">
        <v>46.47</v>
      </c>
      <c r="BO1668" s="2">
        <v>46.47</v>
      </c>
      <c r="BP1668" s="2"/>
      <c r="BQ1668" s="2" t="s">
        <v>711</v>
      </c>
      <c r="BR1668" s="2" t="s">
        <v>83</v>
      </c>
      <c r="BS1668" s="3">
        <v>42662</v>
      </c>
      <c r="BT1668" s="4">
        <v>0.41666666666666669</v>
      </c>
      <c r="BU1668" s="2" t="s">
        <v>1861</v>
      </c>
      <c r="BV1668" s="2" t="s">
        <v>85</v>
      </c>
      <c r="BW1668" s="2"/>
      <c r="BX1668" s="2"/>
      <c r="BY1668" s="2">
        <v>5499.74</v>
      </c>
      <c r="BZ1668" s="2"/>
      <c r="CA1668" s="2"/>
      <c r="CB1668" s="2"/>
      <c r="CC1668" s="2" t="s">
        <v>161</v>
      </c>
      <c r="CD1668" s="2">
        <v>7441</v>
      </c>
      <c r="CE1668" s="2" t="s">
        <v>108</v>
      </c>
      <c r="CF1668" s="5">
        <v>42663</v>
      </c>
      <c r="CG1668" s="2"/>
      <c r="CH1668" s="2"/>
      <c r="CI1668" s="2">
        <v>1</v>
      </c>
      <c r="CJ1668" s="2">
        <v>1</v>
      </c>
      <c r="CK1668" s="2">
        <v>21</v>
      </c>
      <c r="CL1668" s="2" t="s">
        <v>88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"FES1162507352"</f>
        <v>FES1162507352</v>
      </c>
      <c r="F1669" s="3">
        <v>42661</v>
      </c>
      <c r="G1669" s="2">
        <v>201704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503</v>
      </c>
      <c r="M1669" s="2" t="s">
        <v>504</v>
      </c>
      <c r="N1669" s="2" t="s">
        <v>905</v>
      </c>
      <c r="O1669" s="2" t="s">
        <v>96</v>
      </c>
      <c r="P1669" s="2" t="str">
        <f>"2170529334                    "</f>
        <v xml:space="preserve">2170529334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6.43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0.5</v>
      </c>
      <c r="BJ1669" s="2">
        <v>0.2</v>
      </c>
      <c r="BK1669" s="2">
        <v>0.5</v>
      </c>
      <c r="BL1669" s="2">
        <v>78.97</v>
      </c>
      <c r="BM1669" s="2">
        <v>11.06</v>
      </c>
      <c r="BN1669" s="2">
        <v>90.03</v>
      </c>
      <c r="BO1669" s="2">
        <v>90.03</v>
      </c>
      <c r="BP1669" s="2"/>
      <c r="BQ1669" s="2" t="s">
        <v>91</v>
      </c>
      <c r="BR1669" s="2" t="s">
        <v>83</v>
      </c>
      <c r="BS1669" s="3">
        <v>42662</v>
      </c>
      <c r="BT1669" s="4">
        <v>0.41666666666666669</v>
      </c>
      <c r="BU1669" s="2" t="s">
        <v>1862</v>
      </c>
      <c r="BV1669" s="2" t="s">
        <v>85</v>
      </c>
      <c r="BW1669" s="2"/>
      <c r="BX1669" s="2"/>
      <c r="BY1669" s="2">
        <v>1200</v>
      </c>
      <c r="BZ1669" s="2"/>
      <c r="CA1669" s="2" t="s">
        <v>129</v>
      </c>
      <c r="CB1669" s="2"/>
      <c r="CC1669" s="2" t="s">
        <v>504</v>
      </c>
      <c r="CD1669" s="2">
        <v>7349</v>
      </c>
      <c r="CE1669" s="2" t="s">
        <v>108</v>
      </c>
      <c r="CF1669" s="5">
        <v>42663</v>
      </c>
      <c r="CG1669" s="2"/>
      <c r="CH1669" s="2"/>
      <c r="CI1669" s="2">
        <v>1</v>
      </c>
      <c r="CJ1669" s="2">
        <v>1</v>
      </c>
      <c r="CK1669" s="2">
        <v>23</v>
      </c>
      <c r="CL1669" s="2" t="s">
        <v>88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"FES1162507324"</f>
        <v>FES1162507324</v>
      </c>
      <c r="F1670" s="3">
        <v>42661</v>
      </c>
      <c r="G1670" s="2">
        <v>201704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160</v>
      </c>
      <c r="M1670" s="2" t="s">
        <v>161</v>
      </c>
      <c r="N1670" s="2" t="s">
        <v>710</v>
      </c>
      <c r="O1670" s="2" t="s">
        <v>96</v>
      </c>
      <c r="P1670" s="2" t="str">
        <f>"2170528444                    "</f>
        <v xml:space="preserve">2170528444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3.32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</v>
      </c>
      <c r="BJ1670" s="2">
        <v>0.2</v>
      </c>
      <c r="BK1670" s="2">
        <v>1</v>
      </c>
      <c r="BL1670" s="2">
        <v>40.76</v>
      </c>
      <c r="BM1670" s="2">
        <v>5.71</v>
      </c>
      <c r="BN1670" s="2">
        <v>46.47</v>
      </c>
      <c r="BO1670" s="2">
        <v>46.47</v>
      </c>
      <c r="BP1670" s="2"/>
      <c r="BQ1670" s="2" t="s">
        <v>711</v>
      </c>
      <c r="BR1670" s="2" t="s">
        <v>83</v>
      </c>
      <c r="BS1670" s="3">
        <v>42662</v>
      </c>
      <c r="BT1670" s="4">
        <v>0.41666666666666669</v>
      </c>
      <c r="BU1670" s="2" t="s">
        <v>1861</v>
      </c>
      <c r="BV1670" s="2" t="s">
        <v>85</v>
      </c>
      <c r="BW1670" s="2"/>
      <c r="BX1670" s="2"/>
      <c r="BY1670" s="2">
        <v>1200</v>
      </c>
      <c r="BZ1670" s="2"/>
      <c r="CA1670" s="2"/>
      <c r="CB1670" s="2"/>
      <c r="CC1670" s="2" t="s">
        <v>161</v>
      </c>
      <c r="CD1670" s="2">
        <v>7441</v>
      </c>
      <c r="CE1670" s="2" t="s">
        <v>108</v>
      </c>
      <c r="CF1670" s="2"/>
      <c r="CG1670" s="2"/>
      <c r="CH1670" s="2"/>
      <c r="CI1670" s="2">
        <v>1</v>
      </c>
      <c r="CJ1670" s="2">
        <v>1</v>
      </c>
      <c r="CK1670" s="2">
        <v>21</v>
      </c>
      <c r="CL1670" s="2" t="s">
        <v>88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"FES1162507447"</f>
        <v>FES1162507447</v>
      </c>
      <c r="F1671" s="3">
        <v>42661</v>
      </c>
      <c r="G1671" s="2">
        <v>201704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260</v>
      </c>
      <c r="M1671" s="2" t="s">
        <v>261</v>
      </c>
      <c r="N1671" s="2" t="s">
        <v>347</v>
      </c>
      <c r="O1671" s="2" t="s">
        <v>96</v>
      </c>
      <c r="P1671" s="2" t="str">
        <f>"2170530881                    "</f>
        <v xml:space="preserve">2170530881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3.32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40.76</v>
      </c>
      <c r="BM1671" s="2">
        <v>5.71</v>
      </c>
      <c r="BN1671" s="2">
        <v>46.47</v>
      </c>
      <c r="BO1671" s="2">
        <v>46.47</v>
      </c>
      <c r="BP1671" s="2"/>
      <c r="BQ1671" s="2" t="s">
        <v>91</v>
      </c>
      <c r="BR1671" s="2" t="s">
        <v>83</v>
      </c>
      <c r="BS1671" s="3">
        <v>42662</v>
      </c>
      <c r="BT1671" s="4">
        <v>0.5708333333333333</v>
      </c>
      <c r="BU1671" s="2" t="s">
        <v>1863</v>
      </c>
      <c r="BV1671" s="2" t="s">
        <v>85</v>
      </c>
      <c r="BW1671" s="2"/>
      <c r="BX1671" s="2"/>
      <c r="BY1671" s="2">
        <v>1200</v>
      </c>
      <c r="BZ1671" s="2"/>
      <c r="CA1671" s="2" t="s">
        <v>264</v>
      </c>
      <c r="CB1671" s="2"/>
      <c r="CC1671" s="2" t="s">
        <v>261</v>
      </c>
      <c r="CD1671" s="2">
        <v>6850</v>
      </c>
      <c r="CE1671" s="2" t="s">
        <v>108</v>
      </c>
      <c r="CF1671" s="5">
        <v>42663</v>
      </c>
      <c r="CG1671" s="2"/>
      <c r="CH1671" s="2"/>
      <c r="CI1671" s="2">
        <v>3</v>
      </c>
      <c r="CJ1671" s="2">
        <v>1</v>
      </c>
      <c r="CK1671" s="2">
        <v>21</v>
      </c>
      <c r="CL1671" s="2" t="s">
        <v>88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"FES1162507354"</f>
        <v>FES1162507354</v>
      </c>
      <c r="F1672" s="3">
        <v>42661</v>
      </c>
      <c r="G1672" s="2">
        <v>201704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153</v>
      </c>
      <c r="M1672" s="2" t="s">
        <v>153</v>
      </c>
      <c r="N1672" s="2" t="s">
        <v>200</v>
      </c>
      <c r="O1672" s="2" t="s">
        <v>96</v>
      </c>
      <c r="P1672" s="2" t="str">
        <f>"2170529444                    "</f>
        <v xml:space="preserve">2170529444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3.32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1</v>
      </c>
      <c r="BJ1672" s="2">
        <v>0.2</v>
      </c>
      <c r="BK1672" s="2">
        <v>1</v>
      </c>
      <c r="BL1672" s="2">
        <v>40.76</v>
      </c>
      <c r="BM1672" s="2">
        <v>5.71</v>
      </c>
      <c r="BN1672" s="2">
        <v>46.47</v>
      </c>
      <c r="BO1672" s="2">
        <v>46.47</v>
      </c>
      <c r="BP1672" s="2"/>
      <c r="BQ1672" s="2" t="s">
        <v>201</v>
      </c>
      <c r="BR1672" s="2" t="s">
        <v>83</v>
      </c>
      <c r="BS1672" s="3">
        <v>42662</v>
      </c>
      <c r="BT1672" s="4">
        <v>0.51944444444444449</v>
      </c>
      <c r="BU1672" s="2" t="s">
        <v>1795</v>
      </c>
      <c r="BV1672" s="2" t="s">
        <v>85</v>
      </c>
      <c r="BW1672" s="2"/>
      <c r="BX1672" s="2"/>
      <c r="BY1672" s="2">
        <v>1200</v>
      </c>
      <c r="BZ1672" s="2"/>
      <c r="CA1672" s="2" t="s">
        <v>129</v>
      </c>
      <c r="CB1672" s="2"/>
      <c r="CC1672" s="2" t="s">
        <v>153</v>
      </c>
      <c r="CD1672" s="2">
        <v>7646</v>
      </c>
      <c r="CE1672" s="2" t="s">
        <v>108</v>
      </c>
      <c r="CF1672" s="5">
        <v>42663</v>
      </c>
      <c r="CG1672" s="2"/>
      <c r="CH1672" s="2"/>
      <c r="CI1672" s="2">
        <v>1</v>
      </c>
      <c r="CJ1672" s="2">
        <v>1</v>
      </c>
      <c r="CK1672" s="2">
        <v>21</v>
      </c>
      <c r="CL1672" s="2" t="s">
        <v>88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"FES1162507572"</f>
        <v>FES1162507572</v>
      </c>
      <c r="F1673" s="3">
        <v>42661</v>
      </c>
      <c r="G1673" s="2">
        <v>201704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153</v>
      </c>
      <c r="M1673" s="2" t="s">
        <v>153</v>
      </c>
      <c r="N1673" s="2" t="s">
        <v>200</v>
      </c>
      <c r="O1673" s="2" t="s">
        <v>96</v>
      </c>
      <c r="P1673" s="2" t="str">
        <f>"2170528661                    "</f>
        <v xml:space="preserve">2170528661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9.9499999999999993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5.6</v>
      </c>
      <c r="BJ1673" s="2">
        <v>1.5</v>
      </c>
      <c r="BK1673" s="2">
        <v>6</v>
      </c>
      <c r="BL1673" s="2">
        <v>122.27</v>
      </c>
      <c r="BM1673" s="2">
        <v>17.12</v>
      </c>
      <c r="BN1673" s="2">
        <v>139.38999999999999</v>
      </c>
      <c r="BO1673" s="2">
        <v>139.38999999999999</v>
      </c>
      <c r="BP1673" s="2"/>
      <c r="BQ1673" s="2" t="s">
        <v>201</v>
      </c>
      <c r="BR1673" s="2" t="s">
        <v>83</v>
      </c>
      <c r="BS1673" s="3">
        <v>42662</v>
      </c>
      <c r="BT1673" s="4">
        <v>0.51944444444444449</v>
      </c>
      <c r="BU1673" s="2" t="s">
        <v>1795</v>
      </c>
      <c r="BV1673" s="2" t="s">
        <v>85</v>
      </c>
      <c r="BW1673" s="2"/>
      <c r="BX1673" s="2"/>
      <c r="BY1673" s="2">
        <v>7624.07</v>
      </c>
      <c r="BZ1673" s="2"/>
      <c r="CA1673" s="2" t="s">
        <v>129</v>
      </c>
      <c r="CB1673" s="2"/>
      <c r="CC1673" s="2" t="s">
        <v>153</v>
      </c>
      <c r="CD1673" s="2">
        <v>7646</v>
      </c>
      <c r="CE1673" s="2" t="s">
        <v>368</v>
      </c>
      <c r="CF1673" s="5">
        <v>42663</v>
      </c>
      <c r="CG1673" s="2"/>
      <c r="CH1673" s="2"/>
      <c r="CI1673" s="2">
        <v>1</v>
      </c>
      <c r="CJ1673" s="2">
        <v>1</v>
      </c>
      <c r="CK1673" s="2">
        <v>21</v>
      </c>
      <c r="CL1673" s="2" t="s">
        <v>88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"FES1162507560"</f>
        <v>FES1162507560</v>
      </c>
      <c r="F1674" s="3">
        <v>42661</v>
      </c>
      <c r="G1674" s="2">
        <v>201704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160</v>
      </c>
      <c r="M1674" s="2" t="s">
        <v>161</v>
      </c>
      <c r="N1674" s="2" t="s">
        <v>994</v>
      </c>
      <c r="O1674" s="2" t="s">
        <v>96</v>
      </c>
      <c r="P1674" s="2" t="str">
        <f>"2170530995                    "</f>
        <v xml:space="preserve">2170530995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3.32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1.8</v>
      </c>
      <c r="BJ1674" s="2">
        <v>1.5</v>
      </c>
      <c r="BK1674" s="2">
        <v>2</v>
      </c>
      <c r="BL1674" s="2">
        <v>40.76</v>
      </c>
      <c r="BM1674" s="2">
        <v>5.71</v>
      </c>
      <c r="BN1674" s="2">
        <v>46.47</v>
      </c>
      <c r="BO1674" s="2">
        <v>46.47</v>
      </c>
      <c r="BP1674" s="2"/>
      <c r="BQ1674" s="2" t="s">
        <v>1627</v>
      </c>
      <c r="BR1674" s="2" t="s">
        <v>83</v>
      </c>
      <c r="BS1674" s="3">
        <v>42662</v>
      </c>
      <c r="BT1674" s="4">
        <v>0.43541666666666662</v>
      </c>
      <c r="BU1674" s="2" t="s">
        <v>1864</v>
      </c>
      <c r="BV1674" s="2" t="s">
        <v>85</v>
      </c>
      <c r="BW1674" s="2"/>
      <c r="BX1674" s="2"/>
      <c r="BY1674" s="2">
        <v>7409.27</v>
      </c>
      <c r="BZ1674" s="2"/>
      <c r="CA1674" s="2"/>
      <c r="CB1674" s="2"/>
      <c r="CC1674" s="2" t="s">
        <v>161</v>
      </c>
      <c r="CD1674" s="2">
        <v>7580</v>
      </c>
      <c r="CE1674" s="2" t="s">
        <v>108</v>
      </c>
      <c r="CF1674" s="5">
        <v>42663</v>
      </c>
      <c r="CG1674" s="2"/>
      <c r="CH1674" s="2"/>
      <c r="CI1674" s="2">
        <v>1</v>
      </c>
      <c r="CJ1674" s="2">
        <v>1</v>
      </c>
      <c r="CK1674" s="2">
        <v>21</v>
      </c>
      <c r="CL1674" s="2" t="s">
        <v>88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"FES1162507308"</f>
        <v>FES1162507308</v>
      </c>
      <c r="F1675" s="3">
        <v>42661</v>
      </c>
      <c r="G1675" s="2">
        <v>201704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153</v>
      </c>
      <c r="M1675" s="2" t="s">
        <v>153</v>
      </c>
      <c r="N1675" s="2" t="s">
        <v>501</v>
      </c>
      <c r="O1675" s="2" t="s">
        <v>96</v>
      </c>
      <c r="P1675" s="2" t="str">
        <f>"2170528164                    "</f>
        <v xml:space="preserve">2170528164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3.32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1</v>
      </c>
      <c r="BJ1675" s="2">
        <v>0.2</v>
      </c>
      <c r="BK1675" s="2">
        <v>1</v>
      </c>
      <c r="BL1675" s="2">
        <v>40.76</v>
      </c>
      <c r="BM1675" s="2">
        <v>5.71</v>
      </c>
      <c r="BN1675" s="2">
        <v>46.47</v>
      </c>
      <c r="BO1675" s="2">
        <v>46.47</v>
      </c>
      <c r="BP1675" s="2"/>
      <c r="BQ1675" s="2" t="s">
        <v>82</v>
      </c>
      <c r="BR1675" s="2" t="s">
        <v>83</v>
      </c>
      <c r="BS1675" s="3">
        <v>42662</v>
      </c>
      <c r="BT1675" s="4">
        <v>0.5229166666666667</v>
      </c>
      <c r="BU1675" s="2" t="s">
        <v>1693</v>
      </c>
      <c r="BV1675" s="2" t="s">
        <v>85</v>
      </c>
      <c r="BW1675" s="2"/>
      <c r="BX1675" s="2"/>
      <c r="BY1675" s="2">
        <v>1200</v>
      </c>
      <c r="BZ1675" s="2"/>
      <c r="CA1675" s="2" t="s">
        <v>129</v>
      </c>
      <c r="CB1675" s="2"/>
      <c r="CC1675" s="2" t="s">
        <v>153</v>
      </c>
      <c r="CD1675" s="2">
        <v>7620</v>
      </c>
      <c r="CE1675" s="2" t="s">
        <v>108</v>
      </c>
      <c r="CF1675" s="5">
        <v>42663</v>
      </c>
      <c r="CG1675" s="2"/>
      <c r="CH1675" s="2"/>
      <c r="CI1675" s="2">
        <v>1</v>
      </c>
      <c r="CJ1675" s="2">
        <v>1</v>
      </c>
      <c r="CK1675" s="2">
        <v>21</v>
      </c>
      <c r="CL1675" s="2" t="s">
        <v>88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"FES1162507485"</f>
        <v>FES1162507485</v>
      </c>
      <c r="F1676" s="3">
        <v>42661</v>
      </c>
      <c r="G1676" s="2">
        <v>201704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160</v>
      </c>
      <c r="M1676" s="2" t="s">
        <v>161</v>
      </c>
      <c r="N1676" s="2" t="s">
        <v>267</v>
      </c>
      <c r="O1676" s="2" t="s">
        <v>96</v>
      </c>
      <c r="P1676" s="2" t="str">
        <f>"2170530910                    "</f>
        <v xml:space="preserve">2170530910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3.32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1</v>
      </c>
      <c r="BI1676" s="2">
        <v>1</v>
      </c>
      <c r="BJ1676" s="2">
        <v>0.2</v>
      </c>
      <c r="BK1676" s="2">
        <v>1</v>
      </c>
      <c r="BL1676" s="2">
        <v>40.76</v>
      </c>
      <c r="BM1676" s="2">
        <v>5.71</v>
      </c>
      <c r="BN1676" s="2">
        <v>46.47</v>
      </c>
      <c r="BO1676" s="2">
        <v>46.47</v>
      </c>
      <c r="BP1676" s="2"/>
      <c r="BQ1676" s="2" t="s">
        <v>117</v>
      </c>
      <c r="BR1676" s="2" t="s">
        <v>83</v>
      </c>
      <c r="BS1676" s="3">
        <v>42662</v>
      </c>
      <c r="BT1676" s="4">
        <v>0.41666666666666669</v>
      </c>
      <c r="BU1676" s="2" t="s">
        <v>732</v>
      </c>
      <c r="BV1676" s="2" t="s">
        <v>85</v>
      </c>
      <c r="BW1676" s="2"/>
      <c r="BX1676" s="2"/>
      <c r="BY1676" s="2">
        <v>1200</v>
      </c>
      <c r="BZ1676" s="2"/>
      <c r="CA1676" s="2"/>
      <c r="CB1676" s="2"/>
      <c r="CC1676" s="2" t="s">
        <v>161</v>
      </c>
      <c r="CD1676" s="2">
        <v>7441</v>
      </c>
      <c r="CE1676" s="2" t="s">
        <v>108</v>
      </c>
      <c r="CF1676" s="5">
        <v>42663</v>
      </c>
      <c r="CG1676" s="2"/>
      <c r="CH1676" s="2"/>
      <c r="CI1676" s="2">
        <v>1</v>
      </c>
      <c r="CJ1676" s="2">
        <v>1</v>
      </c>
      <c r="CK1676" s="2">
        <v>21</v>
      </c>
      <c r="CL1676" s="2" t="s">
        <v>88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"FES1162507549"</f>
        <v>FES1162507549</v>
      </c>
      <c r="F1677" s="3">
        <v>42661</v>
      </c>
      <c r="G1677" s="2">
        <v>201704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160</v>
      </c>
      <c r="M1677" s="2" t="s">
        <v>161</v>
      </c>
      <c r="N1677" s="2" t="s">
        <v>619</v>
      </c>
      <c r="O1677" s="2" t="s">
        <v>96</v>
      </c>
      <c r="P1677" s="2" t="str">
        <f>"2170530981                    "</f>
        <v xml:space="preserve">2170530981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3.32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0.5</v>
      </c>
      <c r="BJ1677" s="2">
        <v>0.2</v>
      </c>
      <c r="BK1677" s="2">
        <v>0.5</v>
      </c>
      <c r="BL1677" s="2">
        <v>40.76</v>
      </c>
      <c r="BM1677" s="2">
        <v>5.71</v>
      </c>
      <c r="BN1677" s="2">
        <v>46.47</v>
      </c>
      <c r="BO1677" s="2">
        <v>46.47</v>
      </c>
      <c r="BP1677" s="2"/>
      <c r="BQ1677" s="2" t="s">
        <v>91</v>
      </c>
      <c r="BR1677" s="2" t="s">
        <v>83</v>
      </c>
      <c r="BS1677" s="3">
        <v>42662</v>
      </c>
      <c r="BT1677" s="4">
        <v>0.35416666666666669</v>
      </c>
      <c r="BU1677" s="2" t="s">
        <v>1865</v>
      </c>
      <c r="BV1677" s="2" t="s">
        <v>85</v>
      </c>
      <c r="BW1677" s="2"/>
      <c r="BX1677" s="2"/>
      <c r="BY1677" s="2">
        <v>1200</v>
      </c>
      <c r="BZ1677" s="2"/>
      <c r="CA1677" s="2"/>
      <c r="CB1677" s="2"/>
      <c r="CC1677" s="2" t="s">
        <v>161</v>
      </c>
      <c r="CD1677" s="2">
        <v>7499</v>
      </c>
      <c r="CE1677" s="2" t="s">
        <v>108</v>
      </c>
      <c r="CF1677" s="5">
        <v>42663</v>
      </c>
      <c r="CG1677" s="2"/>
      <c r="CH1677" s="2"/>
      <c r="CI1677" s="2">
        <v>1</v>
      </c>
      <c r="CJ1677" s="2">
        <v>1</v>
      </c>
      <c r="CK1677" s="2">
        <v>21</v>
      </c>
      <c r="CL1677" s="2" t="s">
        <v>88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"FES1162507430"</f>
        <v>FES1162507430</v>
      </c>
      <c r="F1678" s="3">
        <v>42661</v>
      </c>
      <c r="G1678" s="2">
        <v>201704</v>
      </c>
      <c r="H1678" s="2" t="s">
        <v>74</v>
      </c>
      <c r="I1678" s="2" t="s">
        <v>75</v>
      </c>
      <c r="J1678" s="2" t="s">
        <v>76</v>
      </c>
      <c r="K1678" s="2" t="s">
        <v>77</v>
      </c>
      <c r="L1678" s="2" t="s">
        <v>160</v>
      </c>
      <c r="M1678" s="2" t="s">
        <v>161</v>
      </c>
      <c r="N1678" s="2" t="s">
        <v>1866</v>
      </c>
      <c r="O1678" s="2" t="s">
        <v>96</v>
      </c>
      <c r="P1678" s="2" t="str">
        <f>"2170530864                    "</f>
        <v xml:space="preserve">2170530864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3.32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0.5</v>
      </c>
      <c r="BJ1678" s="2">
        <v>1</v>
      </c>
      <c r="BK1678" s="2">
        <v>1</v>
      </c>
      <c r="BL1678" s="2">
        <v>40.76</v>
      </c>
      <c r="BM1678" s="2">
        <v>5.71</v>
      </c>
      <c r="BN1678" s="2">
        <v>46.47</v>
      </c>
      <c r="BO1678" s="2">
        <v>46.47</v>
      </c>
      <c r="BP1678" s="2"/>
      <c r="BQ1678" s="2" t="s">
        <v>1867</v>
      </c>
      <c r="BR1678" s="2" t="s">
        <v>83</v>
      </c>
      <c r="BS1678" s="3">
        <v>42662</v>
      </c>
      <c r="BT1678" s="4">
        <v>0.41666666666666669</v>
      </c>
      <c r="BU1678" s="2" t="s">
        <v>1868</v>
      </c>
      <c r="BV1678" s="2" t="s">
        <v>85</v>
      </c>
      <c r="BW1678" s="2"/>
      <c r="BX1678" s="2"/>
      <c r="BY1678" s="2">
        <v>5222.2</v>
      </c>
      <c r="BZ1678" s="2"/>
      <c r="CA1678" s="2"/>
      <c r="CB1678" s="2"/>
      <c r="CC1678" s="2" t="s">
        <v>161</v>
      </c>
      <c r="CD1678" s="2">
        <v>7405</v>
      </c>
      <c r="CE1678" s="2" t="s">
        <v>108</v>
      </c>
      <c r="CF1678" s="5">
        <v>42663</v>
      </c>
      <c r="CG1678" s="2"/>
      <c r="CH1678" s="2"/>
      <c r="CI1678" s="2">
        <v>1</v>
      </c>
      <c r="CJ1678" s="2">
        <v>1</v>
      </c>
      <c r="CK1678" s="2">
        <v>21</v>
      </c>
      <c r="CL1678" s="2" t="s">
        <v>88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"FES1162507383"</f>
        <v>FES1162507383</v>
      </c>
      <c r="F1679" s="3">
        <v>42661</v>
      </c>
      <c r="G1679" s="2">
        <v>201704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260</v>
      </c>
      <c r="M1679" s="2" t="s">
        <v>261</v>
      </c>
      <c r="N1679" s="2" t="s">
        <v>347</v>
      </c>
      <c r="O1679" s="2" t="s">
        <v>96</v>
      </c>
      <c r="P1679" s="2" t="str">
        <f>"2170530343                    "</f>
        <v xml:space="preserve">2170530343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3.32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</v>
      </c>
      <c r="BJ1679" s="2">
        <v>0.2</v>
      </c>
      <c r="BK1679" s="2">
        <v>1</v>
      </c>
      <c r="BL1679" s="2">
        <v>40.76</v>
      </c>
      <c r="BM1679" s="2">
        <v>5.71</v>
      </c>
      <c r="BN1679" s="2">
        <v>46.47</v>
      </c>
      <c r="BO1679" s="2">
        <v>46.47</v>
      </c>
      <c r="BP1679" s="2"/>
      <c r="BQ1679" s="2" t="s">
        <v>91</v>
      </c>
      <c r="BR1679" s="2" t="s">
        <v>83</v>
      </c>
      <c r="BS1679" s="3">
        <v>42662</v>
      </c>
      <c r="BT1679" s="4">
        <v>0.41666666666666669</v>
      </c>
      <c r="BU1679" s="2" t="s">
        <v>1869</v>
      </c>
      <c r="BV1679" s="2" t="s">
        <v>85</v>
      </c>
      <c r="BW1679" s="2"/>
      <c r="BX1679" s="2"/>
      <c r="BY1679" s="2">
        <v>1200</v>
      </c>
      <c r="BZ1679" s="2"/>
      <c r="CA1679" s="2" t="s">
        <v>129</v>
      </c>
      <c r="CB1679" s="2"/>
      <c r="CC1679" s="2" t="s">
        <v>261</v>
      </c>
      <c r="CD1679" s="2">
        <v>6850</v>
      </c>
      <c r="CE1679" s="2" t="s">
        <v>108</v>
      </c>
      <c r="CF1679" s="5">
        <v>42663</v>
      </c>
      <c r="CG1679" s="2"/>
      <c r="CH1679" s="2"/>
      <c r="CI1679" s="2">
        <v>3</v>
      </c>
      <c r="CJ1679" s="2">
        <v>1</v>
      </c>
      <c r="CK1679" s="2">
        <v>21</v>
      </c>
      <c r="CL1679" s="2" t="s">
        <v>88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"FES1162507294"</f>
        <v>FES1162507294</v>
      </c>
      <c r="F1680" s="3">
        <v>42661</v>
      </c>
      <c r="G1680" s="2">
        <v>201704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153</v>
      </c>
      <c r="M1680" s="2" t="s">
        <v>153</v>
      </c>
      <c r="N1680" s="2" t="s">
        <v>200</v>
      </c>
      <c r="O1680" s="2" t="s">
        <v>96</v>
      </c>
      <c r="P1680" s="2" t="str">
        <f>"2170527439                    "</f>
        <v xml:space="preserve">2170527439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3.32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1</v>
      </c>
      <c r="BJ1680" s="2">
        <v>0.2</v>
      </c>
      <c r="BK1680" s="2">
        <v>1</v>
      </c>
      <c r="BL1680" s="2">
        <v>40.76</v>
      </c>
      <c r="BM1680" s="2">
        <v>5.71</v>
      </c>
      <c r="BN1680" s="2">
        <v>46.47</v>
      </c>
      <c r="BO1680" s="2">
        <v>46.47</v>
      </c>
      <c r="BP1680" s="2"/>
      <c r="BQ1680" s="2" t="s">
        <v>201</v>
      </c>
      <c r="BR1680" s="2" t="s">
        <v>83</v>
      </c>
      <c r="BS1680" s="3">
        <v>42662</v>
      </c>
      <c r="BT1680" s="4">
        <v>0.51944444444444449</v>
      </c>
      <c r="BU1680" s="2" t="s">
        <v>1870</v>
      </c>
      <c r="BV1680" s="2" t="s">
        <v>85</v>
      </c>
      <c r="BW1680" s="2"/>
      <c r="BX1680" s="2"/>
      <c r="BY1680" s="2">
        <v>1200</v>
      </c>
      <c r="BZ1680" s="2"/>
      <c r="CA1680" s="2" t="s">
        <v>129</v>
      </c>
      <c r="CB1680" s="2"/>
      <c r="CC1680" s="2" t="s">
        <v>153</v>
      </c>
      <c r="CD1680" s="2">
        <v>7646</v>
      </c>
      <c r="CE1680" s="2" t="s">
        <v>108</v>
      </c>
      <c r="CF1680" s="5">
        <v>42663</v>
      </c>
      <c r="CG1680" s="2"/>
      <c r="CH1680" s="2"/>
      <c r="CI1680" s="2">
        <v>1</v>
      </c>
      <c r="CJ1680" s="2">
        <v>1</v>
      </c>
      <c r="CK1680" s="2">
        <v>21</v>
      </c>
      <c r="CL1680" s="2" t="s">
        <v>88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"FES1162507757"</f>
        <v>FES1162507757</v>
      </c>
      <c r="F1681" s="3">
        <v>42662</v>
      </c>
      <c r="G1681" s="2">
        <v>201704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160</v>
      </c>
      <c r="M1681" s="2" t="s">
        <v>161</v>
      </c>
      <c r="N1681" s="2" t="s">
        <v>646</v>
      </c>
      <c r="O1681" s="2" t="s">
        <v>96</v>
      </c>
      <c r="P1681" s="2" t="str">
        <f>"2170528876                    "</f>
        <v xml:space="preserve">2170528876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9.1199999999999992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5.5</v>
      </c>
      <c r="BJ1681" s="2">
        <v>2.2000000000000002</v>
      </c>
      <c r="BK1681" s="2">
        <v>5.5</v>
      </c>
      <c r="BL1681" s="2">
        <v>112.08</v>
      </c>
      <c r="BM1681" s="2">
        <v>15.69</v>
      </c>
      <c r="BN1681" s="2">
        <v>127.77</v>
      </c>
      <c r="BO1681" s="2">
        <v>127.77</v>
      </c>
      <c r="BP1681" s="2"/>
      <c r="BQ1681" s="2" t="s">
        <v>508</v>
      </c>
      <c r="BR1681" s="2" t="s">
        <v>83</v>
      </c>
      <c r="BS1681" s="3">
        <v>42663</v>
      </c>
      <c r="BT1681" s="4">
        <v>0.49444444444444446</v>
      </c>
      <c r="BU1681" s="2" t="s">
        <v>1871</v>
      </c>
      <c r="BV1681" s="2" t="s">
        <v>88</v>
      </c>
      <c r="BW1681" s="2" t="s">
        <v>277</v>
      </c>
      <c r="BX1681" s="2" t="s">
        <v>223</v>
      </c>
      <c r="BY1681" s="2">
        <v>10967.04</v>
      </c>
      <c r="BZ1681" s="2"/>
      <c r="CA1681" s="2" t="s">
        <v>316</v>
      </c>
      <c r="CB1681" s="2"/>
      <c r="CC1681" s="2" t="s">
        <v>161</v>
      </c>
      <c r="CD1681" s="2">
        <v>7550</v>
      </c>
      <c r="CE1681" s="2" t="s">
        <v>86</v>
      </c>
      <c r="CF1681" s="5">
        <v>42663</v>
      </c>
      <c r="CG1681" s="2"/>
      <c r="CH1681" s="2"/>
      <c r="CI1681" s="2">
        <v>1</v>
      </c>
      <c r="CJ1681" s="2">
        <v>1</v>
      </c>
      <c r="CK1681" s="2">
        <v>21</v>
      </c>
      <c r="CL1681" s="2" t="s">
        <v>88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"FES1162507698"</f>
        <v>FES1162507698</v>
      </c>
      <c r="F1682" s="3">
        <v>42662</v>
      </c>
      <c r="G1682" s="2">
        <v>201704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98</v>
      </c>
      <c r="M1682" s="2" t="s">
        <v>99</v>
      </c>
      <c r="N1682" s="2" t="s">
        <v>109</v>
      </c>
      <c r="O1682" s="2" t="s">
        <v>96</v>
      </c>
      <c r="P1682" s="2" t="str">
        <f>"2170528030                    "</f>
        <v xml:space="preserve">2170528030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3.32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</v>
      </c>
      <c r="BJ1682" s="2">
        <v>0.2</v>
      </c>
      <c r="BK1682" s="2">
        <v>1</v>
      </c>
      <c r="BL1682" s="2">
        <v>40.76</v>
      </c>
      <c r="BM1682" s="2">
        <v>5.71</v>
      </c>
      <c r="BN1682" s="2">
        <v>46.47</v>
      </c>
      <c r="BO1682" s="2">
        <v>46.47</v>
      </c>
      <c r="BP1682" s="2"/>
      <c r="BQ1682" s="2" t="s">
        <v>110</v>
      </c>
      <c r="BR1682" s="2" t="s">
        <v>83</v>
      </c>
      <c r="BS1682" s="3">
        <v>42663</v>
      </c>
      <c r="BT1682" s="4">
        <v>0.37152777777777773</v>
      </c>
      <c r="BU1682" s="2" t="s">
        <v>1872</v>
      </c>
      <c r="BV1682" s="2" t="s">
        <v>85</v>
      </c>
      <c r="BW1682" s="2"/>
      <c r="BX1682" s="2"/>
      <c r="BY1682" s="2">
        <v>1200</v>
      </c>
      <c r="BZ1682" s="2" t="s">
        <v>27</v>
      </c>
      <c r="CA1682" s="2" t="s">
        <v>107</v>
      </c>
      <c r="CB1682" s="2"/>
      <c r="CC1682" s="2" t="s">
        <v>99</v>
      </c>
      <c r="CD1682" s="2">
        <v>6001</v>
      </c>
      <c r="CE1682" s="2" t="s">
        <v>108</v>
      </c>
      <c r="CF1682" s="5">
        <v>42663</v>
      </c>
      <c r="CG1682" s="2"/>
      <c r="CH1682" s="2"/>
      <c r="CI1682" s="2">
        <v>1</v>
      </c>
      <c r="CJ1682" s="2">
        <v>1</v>
      </c>
      <c r="CK1682" s="2">
        <v>21</v>
      </c>
      <c r="CL1682" s="2" t="s">
        <v>88</v>
      </c>
      <c r="CM1682" s="2"/>
    </row>
    <row r="1683" spans="1:91">
      <c r="A1683" s="2" t="s">
        <v>1182</v>
      </c>
      <c r="B1683" s="2" t="s">
        <v>72</v>
      </c>
      <c r="C1683" s="2" t="s">
        <v>73</v>
      </c>
      <c r="D1683" s="2"/>
      <c r="E1683" s="2" t="str">
        <f>"029907626765"</f>
        <v>029907626765</v>
      </c>
      <c r="F1683" s="3">
        <v>42661</v>
      </c>
      <c r="G1683" s="2">
        <v>201704</v>
      </c>
      <c r="H1683" s="2" t="s">
        <v>148</v>
      </c>
      <c r="I1683" s="2" t="s">
        <v>149</v>
      </c>
      <c r="J1683" s="2" t="s">
        <v>1873</v>
      </c>
      <c r="K1683" s="2" t="s">
        <v>77</v>
      </c>
      <c r="L1683" s="2" t="s">
        <v>74</v>
      </c>
      <c r="M1683" s="2" t="s">
        <v>75</v>
      </c>
      <c r="N1683" s="2" t="s">
        <v>189</v>
      </c>
      <c r="O1683" s="2" t="s">
        <v>96</v>
      </c>
      <c r="P1683" s="2" t="str">
        <f>"                              "</f>
        <v xml:space="preserve">          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4.1500000000000004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2</v>
      </c>
      <c r="BJ1683" s="2">
        <v>2.4</v>
      </c>
      <c r="BK1683" s="2">
        <v>2.5</v>
      </c>
      <c r="BL1683" s="2">
        <v>50.95</v>
      </c>
      <c r="BM1683" s="2">
        <v>7.13</v>
      </c>
      <c r="BN1683" s="2">
        <v>58.08</v>
      </c>
      <c r="BO1683" s="2">
        <v>58.08</v>
      </c>
      <c r="BP1683" s="2"/>
      <c r="BQ1683" s="2" t="s">
        <v>1874</v>
      </c>
      <c r="BR1683" s="2" t="s">
        <v>1875</v>
      </c>
      <c r="BS1683" s="3">
        <v>42662</v>
      </c>
      <c r="BT1683" s="4">
        <v>0.33680555555555558</v>
      </c>
      <c r="BU1683" s="2" t="s">
        <v>381</v>
      </c>
      <c r="BV1683" s="2" t="s">
        <v>85</v>
      </c>
      <c r="BW1683" s="2"/>
      <c r="BX1683" s="2"/>
      <c r="BY1683" s="2">
        <v>12000</v>
      </c>
      <c r="BZ1683" s="2" t="s">
        <v>27</v>
      </c>
      <c r="CA1683" s="2"/>
      <c r="CB1683" s="2"/>
      <c r="CC1683" s="2" t="s">
        <v>75</v>
      </c>
      <c r="CD1683" s="2">
        <v>1600</v>
      </c>
      <c r="CE1683" s="2" t="s">
        <v>1876</v>
      </c>
      <c r="CF1683" s="5">
        <v>42663</v>
      </c>
      <c r="CG1683" s="2"/>
      <c r="CH1683" s="2"/>
      <c r="CI1683" s="2">
        <v>1</v>
      </c>
      <c r="CJ1683" s="2">
        <v>1</v>
      </c>
      <c r="CK1683" s="2">
        <v>21</v>
      </c>
      <c r="CL1683" s="2" t="s">
        <v>88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"080001462673"</f>
        <v>080001462673</v>
      </c>
      <c r="F1684" s="3">
        <v>42661</v>
      </c>
      <c r="G1684" s="2">
        <v>201704</v>
      </c>
      <c r="H1684" s="2" t="s">
        <v>98</v>
      </c>
      <c r="I1684" s="2" t="s">
        <v>99</v>
      </c>
      <c r="J1684" s="2" t="s">
        <v>907</v>
      </c>
      <c r="K1684" s="2" t="s">
        <v>77</v>
      </c>
      <c r="L1684" s="2" t="s">
        <v>74</v>
      </c>
      <c r="M1684" s="2" t="s">
        <v>75</v>
      </c>
      <c r="N1684" s="2" t="s">
        <v>189</v>
      </c>
      <c r="O1684" s="2" t="s">
        <v>96</v>
      </c>
      <c r="P1684" s="2" t="str">
        <f>"ZA1000598877                  "</f>
        <v xml:space="preserve">ZA1000598877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4.1500000000000004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1</v>
      </c>
      <c r="BJ1684" s="2">
        <v>2.4</v>
      </c>
      <c r="BK1684" s="2">
        <v>2.5</v>
      </c>
      <c r="BL1684" s="2">
        <v>50.95</v>
      </c>
      <c r="BM1684" s="2">
        <v>7.13</v>
      </c>
      <c r="BN1684" s="2">
        <v>58.08</v>
      </c>
      <c r="BO1684" s="2">
        <v>58.08</v>
      </c>
      <c r="BP1684" s="2" t="s">
        <v>1877</v>
      </c>
      <c r="BQ1684" s="2" t="s">
        <v>381</v>
      </c>
      <c r="BR1684" s="2" t="s">
        <v>1878</v>
      </c>
      <c r="BS1684" s="3">
        <v>42663</v>
      </c>
      <c r="BT1684" s="4">
        <v>0.33333333333333331</v>
      </c>
      <c r="BU1684" s="2" t="s">
        <v>799</v>
      </c>
      <c r="BV1684" s="2" t="s">
        <v>85</v>
      </c>
      <c r="BW1684" s="2"/>
      <c r="BX1684" s="2"/>
      <c r="BY1684" s="2">
        <v>12000</v>
      </c>
      <c r="BZ1684" s="2"/>
      <c r="CA1684" s="2"/>
      <c r="CB1684" s="2"/>
      <c r="CC1684" s="2" t="s">
        <v>75</v>
      </c>
      <c r="CD1684" s="2">
        <v>1600</v>
      </c>
      <c r="CE1684" s="2" t="s">
        <v>86</v>
      </c>
      <c r="CF1684" s="5">
        <v>42664</v>
      </c>
      <c r="CG1684" s="2"/>
      <c r="CH1684" s="2"/>
      <c r="CI1684" s="2">
        <v>1</v>
      </c>
      <c r="CJ1684" s="2">
        <v>1</v>
      </c>
      <c r="CK1684" s="2">
        <v>21</v>
      </c>
      <c r="CL1684" s="2" t="s">
        <v>88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"FES1162507977"</f>
        <v>FES1162507977</v>
      </c>
      <c r="F1685" s="3">
        <v>42662</v>
      </c>
      <c r="G1685" s="2">
        <v>201704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137</v>
      </c>
      <c r="M1685" s="2" t="s">
        <v>138</v>
      </c>
      <c r="N1685" s="2" t="s">
        <v>1879</v>
      </c>
      <c r="O1685" s="2" t="s">
        <v>96</v>
      </c>
      <c r="P1685" s="2" t="str">
        <f>"2170531288                    "</f>
        <v xml:space="preserve">2170531288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3.32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1</v>
      </c>
      <c r="BJ1685" s="2">
        <v>0.2</v>
      </c>
      <c r="BK1685" s="2">
        <v>1</v>
      </c>
      <c r="BL1685" s="2">
        <v>40.76</v>
      </c>
      <c r="BM1685" s="2">
        <v>5.71</v>
      </c>
      <c r="BN1685" s="2">
        <v>46.47</v>
      </c>
      <c r="BO1685" s="2">
        <v>46.47</v>
      </c>
      <c r="BP1685" s="2"/>
      <c r="BQ1685" s="2" t="s">
        <v>117</v>
      </c>
      <c r="BR1685" s="2" t="s">
        <v>83</v>
      </c>
      <c r="BS1685" s="3">
        <v>42663</v>
      </c>
      <c r="BT1685" s="4">
        <v>0.4375</v>
      </c>
      <c r="BU1685" s="2" t="s">
        <v>1880</v>
      </c>
      <c r="BV1685" s="2"/>
      <c r="BW1685" s="2"/>
      <c r="BX1685" s="2"/>
      <c r="BY1685" s="2">
        <v>1200</v>
      </c>
      <c r="BZ1685" s="2"/>
      <c r="CA1685" s="2" t="s">
        <v>142</v>
      </c>
      <c r="CB1685" s="2"/>
      <c r="CC1685" s="2" t="s">
        <v>138</v>
      </c>
      <c r="CD1685" s="2">
        <v>3201</v>
      </c>
      <c r="CE1685" s="2" t="s">
        <v>108</v>
      </c>
      <c r="CF1685" s="5">
        <v>42664</v>
      </c>
      <c r="CG1685" s="2"/>
      <c r="CH1685" s="2"/>
      <c r="CI1685" s="2">
        <v>0</v>
      </c>
      <c r="CJ1685" s="2">
        <v>0</v>
      </c>
      <c r="CK1685" s="2">
        <v>21</v>
      </c>
      <c r="CL1685" s="2" t="s">
        <v>88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"FES1162507678"</f>
        <v>FES1162507678</v>
      </c>
      <c r="F1686" s="3">
        <v>42662</v>
      </c>
      <c r="G1686" s="2">
        <v>201704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98</v>
      </c>
      <c r="M1686" s="2" t="s">
        <v>99</v>
      </c>
      <c r="N1686" s="2" t="s">
        <v>109</v>
      </c>
      <c r="O1686" s="2" t="s">
        <v>96</v>
      </c>
      <c r="P1686" s="2" t="str">
        <f>"2170526198                    "</f>
        <v xml:space="preserve">2170526198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3.32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1</v>
      </c>
      <c r="BJ1686" s="2">
        <v>0.2</v>
      </c>
      <c r="BK1686" s="2">
        <v>1</v>
      </c>
      <c r="BL1686" s="2">
        <v>40.76</v>
      </c>
      <c r="BM1686" s="2">
        <v>5.71</v>
      </c>
      <c r="BN1686" s="2">
        <v>46.47</v>
      </c>
      <c r="BO1686" s="2">
        <v>46.47</v>
      </c>
      <c r="BP1686" s="2"/>
      <c r="BQ1686" s="2" t="s">
        <v>110</v>
      </c>
      <c r="BR1686" s="2" t="s">
        <v>83</v>
      </c>
      <c r="BS1686" s="3">
        <v>42663</v>
      </c>
      <c r="BT1686" s="4">
        <v>0.37152777777777773</v>
      </c>
      <c r="BU1686" s="2" t="s">
        <v>1872</v>
      </c>
      <c r="BV1686" s="2" t="s">
        <v>85</v>
      </c>
      <c r="BW1686" s="2"/>
      <c r="BX1686" s="2"/>
      <c r="BY1686" s="2">
        <v>1200</v>
      </c>
      <c r="BZ1686" s="2" t="s">
        <v>27</v>
      </c>
      <c r="CA1686" s="2" t="s">
        <v>107</v>
      </c>
      <c r="CB1686" s="2"/>
      <c r="CC1686" s="2" t="s">
        <v>99</v>
      </c>
      <c r="CD1686" s="2">
        <v>6001</v>
      </c>
      <c r="CE1686" s="2" t="s">
        <v>108</v>
      </c>
      <c r="CF1686" s="5">
        <v>42663</v>
      </c>
      <c r="CG1686" s="2"/>
      <c r="CH1686" s="2"/>
      <c r="CI1686" s="2">
        <v>1</v>
      </c>
      <c r="CJ1686" s="2">
        <v>1</v>
      </c>
      <c r="CK1686" s="2">
        <v>21</v>
      </c>
      <c r="CL1686" s="2" t="s">
        <v>88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"FES1162507894"</f>
        <v>FES1162507894</v>
      </c>
      <c r="F1687" s="3">
        <v>42662</v>
      </c>
      <c r="G1687" s="2">
        <v>201704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218</v>
      </c>
      <c r="M1687" s="2" t="s">
        <v>219</v>
      </c>
      <c r="N1687" s="2" t="s">
        <v>220</v>
      </c>
      <c r="O1687" s="2" t="s">
        <v>96</v>
      </c>
      <c r="P1687" s="2" t="str">
        <f>"2170530826                    "</f>
        <v xml:space="preserve">2170530826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3.32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1</v>
      </c>
      <c r="BJ1687" s="2">
        <v>0.2</v>
      </c>
      <c r="BK1687" s="2">
        <v>1</v>
      </c>
      <c r="BL1687" s="2">
        <v>40.76</v>
      </c>
      <c r="BM1687" s="2">
        <v>5.71</v>
      </c>
      <c r="BN1687" s="2">
        <v>46.47</v>
      </c>
      <c r="BO1687" s="2">
        <v>46.47</v>
      </c>
      <c r="BP1687" s="2"/>
      <c r="BQ1687" s="2" t="s">
        <v>91</v>
      </c>
      <c r="BR1687" s="2" t="s">
        <v>83</v>
      </c>
      <c r="BS1687" s="3">
        <v>42663</v>
      </c>
      <c r="BT1687" s="4">
        <v>0.47916666666666669</v>
      </c>
      <c r="BU1687" s="2" t="s">
        <v>1881</v>
      </c>
      <c r="BV1687" s="2" t="s">
        <v>85</v>
      </c>
      <c r="BW1687" s="2"/>
      <c r="BX1687" s="2"/>
      <c r="BY1687" s="2">
        <v>1200</v>
      </c>
      <c r="BZ1687" s="2" t="s">
        <v>27</v>
      </c>
      <c r="CA1687" s="2"/>
      <c r="CB1687" s="2"/>
      <c r="CC1687" s="2" t="s">
        <v>219</v>
      </c>
      <c r="CD1687" s="2">
        <v>7600</v>
      </c>
      <c r="CE1687" s="2" t="s">
        <v>108</v>
      </c>
      <c r="CF1687" s="5">
        <v>42664</v>
      </c>
      <c r="CG1687" s="2"/>
      <c r="CH1687" s="2"/>
      <c r="CI1687" s="2">
        <v>1</v>
      </c>
      <c r="CJ1687" s="2">
        <v>1</v>
      </c>
      <c r="CK1687" s="2">
        <v>21</v>
      </c>
      <c r="CL1687" s="2" t="s">
        <v>88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"FES1162507761"</f>
        <v>FES1162507761</v>
      </c>
      <c r="F1688" s="3">
        <v>42662</v>
      </c>
      <c r="G1688" s="2">
        <v>201704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93</v>
      </c>
      <c r="M1688" s="2" t="s">
        <v>94</v>
      </c>
      <c r="N1688" s="2" t="s">
        <v>536</v>
      </c>
      <c r="O1688" s="2" t="s">
        <v>96</v>
      </c>
      <c r="P1688" s="2" t="str">
        <f>"2170529008                    "</f>
        <v xml:space="preserve">2170529008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12.44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7.3</v>
      </c>
      <c r="BJ1688" s="2">
        <v>3.4</v>
      </c>
      <c r="BK1688" s="2">
        <v>7.5</v>
      </c>
      <c r="BL1688" s="2">
        <v>152.84</v>
      </c>
      <c r="BM1688" s="2">
        <v>21.4</v>
      </c>
      <c r="BN1688" s="2">
        <v>174.24</v>
      </c>
      <c r="BO1688" s="2">
        <v>174.24</v>
      </c>
      <c r="BP1688" s="2"/>
      <c r="BQ1688" s="2">
        <v>1162507761</v>
      </c>
      <c r="BR1688" s="2" t="s">
        <v>83</v>
      </c>
      <c r="BS1688" s="3">
        <v>42663</v>
      </c>
      <c r="BT1688" s="4">
        <v>0.4375</v>
      </c>
      <c r="BU1688" s="2" t="s">
        <v>538</v>
      </c>
      <c r="BV1688" s="2" t="s">
        <v>85</v>
      </c>
      <c r="BW1688" s="2"/>
      <c r="BX1688" s="2"/>
      <c r="BY1688" s="2">
        <v>16940.86</v>
      </c>
      <c r="BZ1688" s="2"/>
      <c r="CA1688" s="2"/>
      <c r="CB1688" s="2"/>
      <c r="CC1688" s="2" t="s">
        <v>94</v>
      </c>
      <c r="CD1688" s="2">
        <v>4300</v>
      </c>
      <c r="CE1688" s="2" t="s">
        <v>86</v>
      </c>
      <c r="CF1688" s="5">
        <v>42664</v>
      </c>
      <c r="CG1688" s="2"/>
      <c r="CH1688" s="2"/>
      <c r="CI1688" s="2">
        <v>1</v>
      </c>
      <c r="CJ1688" s="2">
        <v>1</v>
      </c>
      <c r="CK1688" s="2">
        <v>21</v>
      </c>
      <c r="CL1688" s="2" t="s">
        <v>88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"FES1162507731"</f>
        <v>FES1162507731</v>
      </c>
      <c r="F1689" s="3">
        <v>42662</v>
      </c>
      <c r="G1689" s="2">
        <v>201704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160</v>
      </c>
      <c r="M1689" s="2" t="s">
        <v>161</v>
      </c>
      <c r="N1689" s="2" t="s">
        <v>179</v>
      </c>
      <c r="O1689" s="2" t="s">
        <v>96</v>
      </c>
      <c r="P1689" s="2" t="str">
        <f>"2170528459                    "</f>
        <v xml:space="preserve">2170528459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3.32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1</v>
      </c>
      <c r="BJ1689" s="2">
        <v>0.2</v>
      </c>
      <c r="BK1689" s="2">
        <v>1</v>
      </c>
      <c r="BL1689" s="2">
        <v>40.76</v>
      </c>
      <c r="BM1689" s="2">
        <v>5.71</v>
      </c>
      <c r="BN1689" s="2">
        <v>46.47</v>
      </c>
      <c r="BO1689" s="2">
        <v>46.47</v>
      </c>
      <c r="BP1689" s="2"/>
      <c r="BQ1689" s="2" t="s">
        <v>180</v>
      </c>
      <c r="BR1689" s="2" t="s">
        <v>83</v>
      </c>
      <c r="BS1689" s="3">
        <v>42663</v>
      </c>
      <c r="BT1689" s="4">
        <v>0.41666666666666669</v>
      </c>
      <c r="BU1689" s="2" t="s">
        <v>1882</v>
      </c>
      <c r="BV1689" s="2" t="s">
        <v>85</v>
      </c>
      <c r="BW1689" s="2"/>
      <c r="BX1689" s="2"/>
      <c r="BY1689" s="2">
        <v>1200</v>
      </c>
      <c r="BZ1689" s="2" t="s">
        <v>27</v>
      </c>
      <c r="CA1689" s="2"/>
      <c r="CB1689" s="2"/>
      <c r="CC1689" s="2" t="s">
        <v>161</v>
      </c>
      <c r="CD1689" s="2">
        <v>7405</v>
      </c>
      <c r="CE1689" s="2" t="s">
        <v>108</v>
      </c>
      <c r="CF1689" s="5">
        <v>42664</v>
      </c>
      <c r="CG1689" s="2"/>
      <c r="CH1689" s="2"/>
      <c r="CI1689" s="2">
        <v>1</v>
      </c>
      <c r="CJ1689" s="2">
        <v>1</v>
      </c>
      <c r="CK1689" s="2">
        <v>21</v>
      </c>
      <c r="CL1689" s="2" t="s">
        <v>88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"FES1162507994"</f>
        <v>FES1162507994</v>
      </c>
      <c r="F1690" s="3">
        <v>42662</v>
      </c>
      <c r="G1690" s="2">
        <v>201704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160</v>
      </c>
      <c r="M1690" s="2" t="s">
        <v>161</v>
      </c>
      <c r="N1690" s="2" t="s">
        <v>411</v>
      </c>
      <c r="O1690" s="2" t="s">
        <v>96</v>
      </c>
      <c r="P1690" s="2" t="str">
        <f>"2170531315                    "</f>
        <v xml:space="preserve">2170531315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3.32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0.2</v>
      </c>
      <c r="BK1690" s="2">
        <v>1</v>
      </c>
      <c r="BL1690" s="2">
        <v>40.76</v>
      </c>
      <c r="BM1690" s="2">
        <v>5.71</v>
      </c>
      <c r="BN1690" s="2">
        <v>46.47</v>
      </c>
      <c r="BO1690" s="2">
        <v>46.47</v>
      </c>
      <c r="BP1690" s="2"/>
      <c r="BQ1690" s="2" t="s">
        <v>412</v>
      </c>
      <c r="BR1690" s="2" t="s">
        <v>83</v>
      </c>
      <c r="BS1690" s="3">
        <v>42663</v>
      </c>
      <c r="BT1690" s="4">
        <v>0.41666666666666669</v>
      </c>
      <c r="BU1690" s="2" t="s">
        <v>1540</v>
      </c>
      <c r="BV1690" s="2" t="s">
        <v>85</v>
      </c>
      <c r="BW1690" s="2"/>
      <c r="BX1690" s="2"/>
      <c r="BY1690" s="2">
        <v>1200</v>
      </c>
      <c r="BZ1690" s="2" t="s">
        <v>27</v>
      </c>
      <c r="CA1690" s="2"/>
      <c r="CB1690" s="2"/>
      <c r="CC1690" s="2" t="s">
        <v>161</v>
      </c>
      <c r="CD1690" s="2">
        <v>7945</v>
      </c>
      <c r="CE1690" s="2" t="s">
        <v>108</v>
      </c>
      <c r="CF1690" s="5">
        <v>42664</v>
      </c>
      <c r="CG1690" s="2"/>
      <c r="CH1690" s="2"/>
      <c r="CI1690" s="2">
        <v>1</v>
      </c>
      <c r="CJ1690" s="2">
        <v>1</v>
      </c>
      <c r="CK1690" s="2">
        <v>21</v>
      </c>
      <c r="CL1690" s="2" t="s">
        <v>88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"FES1162507993"</f>
        <v>FES1162507993</v>
      </c>
      <c r="F1691" s="3">
        <v>42662</v>
      </c>
      <c r="G1691" s="2">
        <v>201704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160</v>
      </c>
      <c r="M1691" s="2" t="s">
        <v>161</v>
      </c>
      <c r="N1691" s="2" t="s">
        <v>176</v>
      </c>
      <c r="O1691" s="2" t="s">
        <v>96</v>
      </c>
      <c r="P1691" s="2" t="str">
        <f>"2170531314                    "</f>
        <v xml:space="preserve">2170531314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3.32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1</v>
      </c>
      <c r="BJ1691" s="2">
        <v>0.2</v>
      </c>
      <c r="BK1691" s="2">
        <v>1</v>
      </c>
      <c r="BL1691" s="2">
        <v>40.76</v>
      </c>
      <c r="BM1691" s="2">
        <v>5.71</v>
      </c>
      <c r="BN1691" s="2">
        <v>46.47</v>
      </c>
      <c r="BO1691" s="2">
        <v>46.47</v>
      </c>
      <c r="BP1691" s="2"/>
      <c r="BQ1691" s="2" t="s">
        <v>258</v>
      </c>
      <c r="BR1691" s="2" t="s">
        <v>83</v>
      </c>
      <c r="BS1691" s="3">
        <v>42663</v>
      </c>
      <c r="BT1691" s="4">
        <v>0.41666666666666669</v>
      </c>
      <c r="BU1691" s="2" t="s">
        <v>247</v>
      </c>
      <c r="BV1691" s="2" t="s">
        <v>85</v>
      </c>
      <c r="BW1691" s="2"/>
      <c r="BX1691" s="2"/>
      <c r="BY1691" s="2">
        <v>1200</v>
      </c>
      <c r="BZ1691" s="2" t="s">
        <v>27</v>
      </c>
      <c r="CA1691" s="2"/>
      <c r="CB1691" s="2"/>
      <c r="CC1691" s="2" t="s">
        <v>161</v>
      </c>
      <c r="CD1691" s="2">
        <v>7405</v>
      </c>
      <c r="CE1691" s="2" t="s">
        <v>108</v>
      </c>
      <c r="CF1691" s="5">
        <v>42664</v>
      </c>
      <c r="CG1691" s="2"/>
      <c r="CH1691" s="2"/>
      <c r="CI1691" s="2">
        <v>1</v>
      </c>
      <c r="CJ1691" s="2">
        <v>1</v>
      </c>
      <c r="CK1691" s="2">
        <v>21</v>
      </c>
      <c r="CL1691" s="2" t="s">
        <v>88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"FES1162507964"</f>
        <v>FES1162507964</v>
      </c>
      <c r="F1692" s="3">
        <v>42662</v>
      </c>
      <c r="G1692" s="2">
        <v>201704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160</v>
      </c>
      <c r="M1692" s="2" t="s">
        <v>161</v>
      </c>
      <c r="N1692" s="2" t="s">
        <v>622</v>
      </c>
      <c r="O1692" s="2" t="s">
        <v>96</v>
      </c>
      <c r="P1692" s="2" t="str">
        <f>"2170531273                    "</f>
        <v xml:space="preserve">2170531273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3.32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1</v>
      </c>
      <c r="BJ1692" s="2">
        <v>0.2</v>
      </c>
      <c r="BK1692" s="2">
        <v>1</v>
      </c>
      <c r="BL1692" s="2">
        <v>40.76</v>
      </c>
      <c r="BM1692" s="2">
        <v>5.71</v>
      </c>
      <c r="BN1692" s="2">
        <v>46.47</v>
      </c>
      <c r="BO1692" s="2">
        <v>46.47</v>
      </c>
      <c r="BP1692" s="2"/>
      <c r="BQ1692" s="2" t="s">
        <v>623</v>
      </c>
      <c r="BR1692" s="2" t="s">
        <v>83</v>
      </c>
      <c r="BS1692" s="3">
        <v>42663</v>
      </c>
      <c r="BT1692" s="4">
        <v>0.44097222222222227</v>
      </c>
      <c r="BU1692" s="2" t="s">
        <v>1883</v>
      </c>
      <c r="BV1692" s="2" t="s">
        <v>85</v>
      </c>
      <c r="BW1692" s="2"/>
      <c r="BX1692" s="2"/>
      <c r="BY1692" s="2">
        <v>1200</v>
      </c>
      <c r="BZ1692" s="2" t="s">
        <v>27</v>
      </c>
      <c r="CA1692" s="2" t="s">
        <v>129</v>
      </c>
      <c r="CB1692" s="2"/>
      <c r="CC1692" s="2" t="s">
        <v>161</v>
      </c>
      <c r="CD1692" s="2">
        <v>7490</v>
      </c>
      <c r="CE1692" s="2" t="s">
        <v>108</v>
      </c>
      <c r="CF1692" s="5">
        <v>42664</v>
      </c>
      <c r="CG1692" s="2"/>
      <c r="CH1692" s="2"/>
      <c r="CI1692" s="2">
        <v>1</v>
      </c>
      <c r="CJ1692" s="2">
        <v>1</v>
      </c>
      <c r="CK1692" s="2">
        <v>21</v>
      </c>
      <c r="CL1692" s="2" t="s">
        <v>88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"FES1162507984"</f>
        <v>FES1162507984</v>
      </c>
      <c r="F1693" s="3">
        <v>42662</v>
      </c>
      <c r="G1693" s="2">
        <v>201704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160</v>
      </c>
      <c r="M1693" s="2" t="s">
        <v>161</v>
      </c>
      <c r="N1693" s="2" t="s">
        <v>279</v>
      </c>
      <c r="O1693" s="2" t="s">
        <v>96</v>
      </c>
      <c r="P1693" s="2" t="str">
        <f>"2170531299                    "</f>
        <v xml:space="preserve">2170531299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3.32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1</v>
      </c>
      <c r="BJ1693" s="2">
        <v>0.2</v>
      </c>
      <c r="BK1693" s="2">
        <v>1</v>
      </c>
      <c r="BL1693" s="2">
        <v>40.76</v>
      </c>
      <c r="BM1693" s="2">
        <v>5.71</v>
      </c>
      <c r="BN1693" s="2">
        <v>46.47</v>
      </c>
      <c r="BO1693" s="2">
        <v>46.47</v>
      </c>
      <c r="BP1693" s="2"/>
      <c r="BQ1693" s="2" t="s">
        <v>280</v>
      </c>
      <c r="BR1693" s="2" t="s">
        <v>83</v>
      </c>
      <c r="BS1693" s="3">
        <v>42663</v>
      </c>
      <c r="BT1693" s="4">
        <v>0.36805555555555558</v>
      </c>
      <c r="BU1693" s="2" t="s">
        <v>281</v>
      </c>
      <c r="BV1693" s="2" t="s">
        <v>85</v>
      </c>
      <c r="BW1693" s="2"/>
      <c r="BX1693" s="2"/>
      <c r="BY1693" s="2">
        <v>1200</v>
      </c>
      <c r="BZ1693" s="2" t="s">
        <v>27</v>
      </c>
      <c r="CA1693" s="2"/>
      <c r="CB1693" s="2"/>
      <c r="CC1693" s="2" t="s">
        <v>161</v>
      </c>
      <c r="CD1693" s="2">
        <v>7441</v>
      </c>
      <c r="CE1693" s="2" t="s">
        <v>108</v>
      </c>
      <c r="CF1693" s="5">
        <v>42664</v>
      </c>
      <c r="CG1693" s="2"/>
      <c r="CH1693" s="2"/>
      <c r="CI1693" s="2">
        <v>1</v>
      </c>
      <c r="CJ1693" s="2">
        <v>1</v>
      </c>
      <c r="CK1693" s="2">
        <v>21</v>
      </c>
      <c r="CL1693" s="2" t="s">
        <v>88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"FES1162507711"</f>
        <v>FES1162507711</v>
      </c>
      <c r="F1694" s="3">
        <v>42662</v>
      </c>
      <c r="G1694" s="2">
        <v>201704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98</v>
      </c>
      <c r="M1694" s="2" t="s">
        <v>99</v>
      </c>
      <c r="N1694" s="2" t="s">
        <v>1004</v>
      </c>
      <c r="O1694" s="2" t="s">
        <v>96</v>
      </c>
      <c r="P1694" s="2" t="str">
        <f>"2170528171                    "</f>
        <v xml:space="preserve">2170528171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3.32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1</v>
      </c>
      <c r="BJ1694" s="2">
        <v>0.2</v>
      </c>
      <c r="BK1694" s="2">
        <v>1</v>
      </c>
      <c r="BL1694" s="2">
        <v>40.76</v>
      </c>
      <c r="BM1694" s="2">
        <v>5.71</v>
      </c>
      <c r="BN1694" s="2">
        <v>46.47</v>
      </c>
      <c r="BO1694" s="2">
        <v>46.47</v>
      </c>
      <c r="BP1694" s="2"/>
      <c r="BQ1694" s="2" t="s">
        <v>82</v>
      </c>
      <c r="BR1694" s="2" t="s">
        <v>83</v>
      </c>
      <c r="BS1694" s="3">
        <v>42663</v>
      </c>
      <c r="BT1694" s="4">
        <v>0.3263888888888889</v>
      </c>
      <c r="BU1694" s="2" t="s">
        <v>1884</v>
      </c>
      <c r="BV1694" s="2" t="s">
        <v>85</v>
      </c>
      <c r="BW1694" s="2"/>
      <c r="BX1694" s="2"/>
      <c r="BY1694" s="2">
        <v>1200</v>
      </c>
      <c r="BZ1694" s="2" t="s">
        <v>27</v>
      </c>
      <c r="CA1694" s="2" t="s">
        <v>1885</v>
      </c>
      <c r="CB1694" s="2"/>
      <c r="CC1694" s="2" t="s">
        <v>99</v>
      </c>
      <c r="CD1694" s="2">
        <v>6001</v>
      </c>
      <c r="CE1694" s="2" t="s">
        <v>108</v>
      </c>
      <c r="CF1694" s="5">
        <v>42664</v>
      </c>
      <c r="CG1694" s="2"/>
      <c r="CH1694" s="2"/>
      <c r="CI1694" s="2">
        <v>1</v>
      </c>
      <c r="CJ1694" s="2">
        <v>1</v>
      </c>
      <c r="CK1694" s="2">
        <v>21</v>
      </c>
      <c r="CL1694" s="2" t="s">
        <v>88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"FES1162507714"</f>
        <v>FES1162507714</v>
      </c>
      <c r="F1695" s="3">
        <v>42662</v>
      </c>
      <c r="G1695" s="2">
        <v>201704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377</v>
      </c>
      <c r="M1695" s="2" t="s">
        <v>378</v>
      </c>
      <c r="N1695" s="2" t="s">
        <v>379</v>
      </c>
      <c r="O1695" s="2" t="s">
        <v>96</v>
      </c>
      <c r="P1695" s="2" t="str">
        <f>"2170528192                    "</f>
        <v xml:space="preserve">2170528192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3.32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</v>
      </c>
      <c r="BJ1695" s="2">
        <v>0.2</v>
      </c>
      <c r="BK1695" s="2">
        <v>1</v>
      </c>
      <c r="BL1695" s="2">
        <v>40.76</v>
      </c>
      <c r="BM1695" s="2">
        <v>5.71</v>
      </c>
      <c r="BN1695" s="2">
        <v>46.47</v>
      </c>
      <c r="BO1695" s="2">
        <v>46.47</v>
      </c>
      <c r="BP1695" s="2"/>
      <c r="BQ1695" s="2" t="s">
        <v>382</v>
      </c>
      <c r="BR1695" s="2" t="s">
        <v>83</v>
      </c>
      <c r="BS1695" s="3">
        <v>42664</v>
      </c>
      <c r="BT1695" s="4">
        <v>0.3923611111111111</v>
      </c>
      <c r="BU1695" s="2" t="s">
        <v>382</v>
      </c>
      <c r="BV1695" s="2" t="s">
        <v>88</v>
      </c>
      <c r="BW1695" s="2" t="s">
        <v>222</v>
      </c>
      <c r="BX1695" s="2" t="s">
        <v>1886</v>
      </c>
      <c r="BY1695" s="2">
        <v>1200</v>
      </c>
      <c r="BZ1695" s="2" t="s">
        <v>27</v>
      </c>
      <c r="CA1695" s="2"/>
      <c r="CB1695" s="2"/>
      <c r="CC1695" s="2" t="s">
        <v>378</v>
      </c>
      <c r="CD1695" s="2">
        <v>6536</v>
      </c>
      <c r="CE1695" s="2" t="s">
        <v>108</v>
      </c>
      <c r="CF1695" s="5">
        <v>42667</v>
      </c>
      <c r="CG1695" s="2"/>
      <c r="CH1695" s="2"/>
      <c r="CI1695" s="2">
        <v>1</v>
      </c>
      <c r="CJ1695" s="2">
        <v>2</v>
      </c>
      <c r="CK1695" s="2">
        <v>21</v>
      </c>
      <c r="CL1695" s="2" t="s">
        <v>88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"FES1162507967"</f>
        <v>FES1162507967</v>
      </c>
      <c r="F1696" s="3">
        <v>42662</v>
      </c>
      <c r="G1696" s="2">
        <v>201704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160</v>
      </c>
      <c r="M1696" s="2" t="s">
        <v>161</v>
      </c>
      <c r="N1696" s="2" t="s">
        <v>915</v>
      </c>
      <c r="O1696" s="2" t="s">
        <v>96</v>
      </c>
      <c r="P1696" s="2" t="str">
        <f>"2170531282                    "</f>
        <v xml:space="preserve">2170531282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3.32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1</v>
      </c>
      <c r="BJ1696" s="2">
        <v>0.2</v>
      </c>
      <c r="BK1696" s="2">
        <v>1</v>
      </c>
      <c r="BL1696" s="2">
        <v>40.76</v>
      </c>
      <c r="BM1696" s="2">
        <v>5.71</v>
      </c>
      <c r="BN1696" s="2">
        <v>46.47</v>
      </c>
      <c r="BO1696" s="2">
        <v>46.47</v>
      </c>
      <c r="BP1696" s="2"/>
      <c r="BQ1696" s="2" t="s">
        <v>91</v>
      </c>
      <c r="BR1696" s="2" t="s">
        <v>83</v>
      </c>
      <c r="BS1696" s="3">
        <v>42663</v>
      </c>
      <c r="BT1696" s="4">
        <v>0.41666666666666669</v>
      </c>
      <c r="BU1696" s="2" t="s">
        <v>1887</v>
      </c>
      <c r="BV1696" s="2" t="s">
        <v>85</v>
      </c>
      <c r="BW1696" s="2"/>
      <c r="BX1696" s="2"/>
      <c r="BY1696" s="2">
        <v>1200</v>
      </c>
      <c r="BZ1696" s="2" t="s">
        <v>27</v>
      </c>
      <c r="CA1696" s="2"/>
      <c r="CB1696" s="2"/>
      <c r="CC1696" s="2" t="s">
        <v>161</v>
      </c>
      <c r="CD1696" s="2">
        <v>7441</v>
      </c>
      <c r="CE1696" s="2" t="s">
        <v>108</v>
      </c>
      <c r="CF1696" s="5">
        <v>42664</v>
      </c>
      <c r="CG1696" s="2"/>
      <c r="CH1696" s="2"/>
      <c r="CI1696" s="2">
        <v>1</v>
      </c>
      <c r="CJ1696" s="2">
        <v>1</v>
      </c>
      <c r="CK1696" s="2">
        <v>21</v>
      </c>
      <c r="CL1696" s="2" t="s">
        <v>88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"FES1162507709"</f>
        <v>FES1162507709</v>
      </c>
      <c r="F1697" s="3">
        <v>42662</v>
      </c>
      <c r="G1697" s="2">
        <v>201704</v>
      </c>
      <c r="H1697" s="2" t="s">
        <v>74</v>
      </c>
      <c r="I1697" s="2" t="s">
        <v>75</v>
      </c>
      <c r="J1697" s="2" t="s">
        <v>76</v>
      </c>
      <c r="K1697" s="2" t="s">
        <v>77</v>
      </c>
      <c r="L1697" s="2" t="s">
        <v>153</v>
      </c>
      <c r="M1697" s="2" t="s">
        <v>153</v>
      </c>
      <c r="N1697" s="2" t="s">
        <v>501</v>
      </c>
      <c r="O1697" s="2" t="s">
        <v>96</v>
      </c>
      <c r="P1697" s="2" t="str">
        <f>"2170528164                    "</f>
        <v xml:space="preserve">2170528164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3.32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1</v>
      </c>
      <c r="BJ1697" s="2">
        <v>0.2</v>
      </c>
      <c r="BK1697" s="2">
        <v>1</v>
      </c>
      <c r="BL1697" s="2">
        <v>40.76</v>
      </c>
      <c r="BM1697" s="2">
        <v>5.71</v>
      </c>
      <c r="BN1697" s="2">
        <v>46.47</v>
      </c>
      <c r="BO1697" s="2">
        <v>46.47</v>
      </c>
      <c r="BP1697" s="2"/>
      <c r="BQ1697" s="2" t="s">
        <v>82</v>
      </c>
      <c r="BR1697" s="2" t="s">
        <v>83</v>
      </c>
      <c r="BS1697" s="3">
        <v>42663</v>
      </c>
      <c r="BT1697" s="4">
        <v>0.53125</v>
      </c>
      <c r="BU1697" s="2" t="s">
        <v>1486</v>
      </c>
      <c r="BV1697" s="2" t="s">
        <v>85</v>
      </c>
      <c r="BW1697" s="2"/>
      <c r="BX1697" s="2"/>
      <c r="BY1697" s="2">
        <v>1200</v>
      </c>
      <c r="BZ1697" s="2" t="s">
        <v>27</v>
      </c>
      <c r="CA1697" s="2"/>
      <c r="CB1697" s="2"/>
      <c r="CC1697" s="2" t="s">
        <v>153</v>
      </c>
      <c r="CD1697" s="2">
        <v>7620</v>
      </c>
      <c r="CE1697" s="2" t="s">
        <v>108</v>
      </c>
      <c r="CF1697" s="5">
        <v>42664</v>
      </c>
      <c r="CG1697" s="2"/>
      <c r="CH1697" s="2"/>
      <c r="CI1697" s="2">
        <v>1</v>
      </c>
      <c r="CJ1697" s="2">
        <v>1</v>
      </c>
      <c r="CK1697" s="2">
        <v>21</v>
      </c>
      <c r="CL1697" s="2" t="s">
        <v>88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"FES1162507837"</f>
        <v>FES1162507837</v>
      </c>
      <c r="F1698" s="3">
        <v>42662</v>
      </c>
      <c r="G1698" s="2">
        <v>201704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124</v>
      </c>
      <c r="M1698" s="2" t="s">
        <v>125</v>
      </c>
      <c r="N1698" s="2" t="s">
        <v>583</v>
      </c>
      <c r="O1698" s="2" t="s">
        <v>96</v>
      </c>
      <c r="P1698" s="2" t="str">
        <f>"2170528858                    "</f>
        <v xml:space="preserve">2170528858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3.32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1</v>
      </c>
      <c r="BJ1698" s="2">
        <v>0.2</v>
      </c>
      <c r="BK1698" s="2">
        <v>1</v>
      </c>
      <c r="BL1698" s="2">
        <v>40.76</v>
      </c>
      <c r="BM1698" s="2">
        <v>5.71</v>
      </c>
      <c r="BN1698" s="2">
        <v>46.47</v>
      </c>
      <c r="BO1698" s="2">
        <v>46.47</v>
      </c>
      <c r="BP1698" s="2"/>
      <c r="BQ1698" s="2" t="s">
        <v>117</v>
      </c>
      <c r="BR1698" s="2" t="s">
        <v>83</v>
      </c>
      <c r="BS1698" s="3">
        <v>42663</v>
      </c>
      <c r="BT1698" s="4">
        <v>0.53125</v>
      </c>
      <c r="BU1698" s="2" t="s">
        <v>1888</v>
      </c>
      <c r="BV1698" s="2" t="s">
        <v>85</v>
      </c>
      <c r="BW1698" s="2"/>
      <c r="BX1698" s="2"/>
      <c r="BY1698" s="2">
        <v>1200</v>
      </c>
      <c r="BZ1698" s="2" t="s">
        <v>27</v>
      </c>
      <c r="CA1698" s="2" t="s">
        <v>129</v>
      </c>
      <c r="CB1698" s="2"/>
      <c r="CC1698" s="2" t="s">
        <v>125</v>
      </c>
      <c r="CD1698" s="2">
        <v>7140</v>
      </c>
      <c r="CE1698" s="2" t="s">
        <v>108</v>
      </c>
      <c r="CF1698" s="5">
        <v>42664</v>
      </c>
      <c r="CG1698" s="2"/>
      <c r="CH1698" s="2"/>
      <c r="CI1698" s="2">
        <v>1</v>
      </c>
      <c r="CJ1698" s="2">
        <v>1</v>
      </c>
      <c r="CK1698" s="2">
        <v>21</v>
      </c>
      <c r="CL1698" s="2" t="s">
        <v>88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"FES1162507775"</f>
        <v>FES1162507775</v>
      </c>
      <c r="F1699" s="3">
        <v>42662</v>
      </c>
      <c r="G1699" s="2">
        <v>201704</v>
      </c>
      <c r="H1699" s="2" t="s">
        <v>74</v>
      </c>
      <c r="I1699" s="2" t="s">
        <v>75</v>
      </c>
      <c r="J1699" s="2" t="s">
        <v>76</v>
      </c>
      <c r="K1699" s="2" t="s">
        <v>77</v>
      </c>
      <c r="L1699" s="2" t="s">
        <v>260</v>
      </c>
      <c r="M1699" s="2" t="s">
        <v>261</v>
      </c>
      <c r="N1699" s="2" t="s">
        <v>347</v>
      </c>
      <c r="O1699" s="2" t="s">
        <v>96</v>
      </c>
      <c r="P1699" s="2" t="str">
        <f>"2170530343                    "</f>
        <v xml:space="preserve">2170530343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3.32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1</v>
      </c>
      <c r="BJ1699" s="2">
        <v>0.2</v>
      </c>
      <c r="BK1699" s="2">
        <v>1</v>
      </c>
      <c r="BL1699" s="2">
        <v>40.76</v>
      </c>
      <c r="BM1699" s="2">
        <v>5.71</v>
      </c>
      <c r="BN1699" s="2">
        <v>46.47</v>
      </c>
      <c r="BO1699" s="2">
        <v>46.47</v>
      </c>
      <c r="BP1699" s="2"/>
      <c r="BQ1699" s="2"/>
      <c r="BR1699" s="2" t="s">
        <v>83</v>
      </c>
      <c r="BS1699" s="3">
        <v>42663</v>
      </c>
      <c r="BT1699" s="4">
        <v>0.41666666666666669</v>
      </c>
      <c r="BU1699" s="2" t="s">
        <v>1889</v>
      </c>
      <c r="BV1699" s="2" t="s">
        <v>85</v>
      </c>
      <c r="BW1699" s="2"/>
      <c r="BX1699" s="2"/>
      <c r="BY1699" s="2">
        <v>1200</v>
      </c>
      <c r="BZ1699" s="2" t="s">
        <v>27</v>
      </c>
      <c r="CA1699" s="2"/>
      <c r="CB1699" s="2"/>
      <c r="CC1699" s="2" t="s">
        <v>261</v>
      </c>
      <c r="CD1699" s="2">
        <v>6850</v>
      </c>
      <c r="CE1699" s="2" t="s">
        <v>108</v>
      </c>
      <c r="CF1699" s="5">
        <v>42664</v>
      </c>
      <c r="CG1699" s="2"/>
      <c r="CH1699" s="2"/>
      <c r="CI1699" s="2">
        <v>3</v>
      </c>
      <c r="CJ1699" s="2">
        <v>1</v>
      </c>
      <c r="CK1699" s="2">
        <v>21</v>
      </c>
      <c r="CL1699" s="2" t="s">
        <v>88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"FES1162507729"</f>
        <v>FES1162507729</v>
      </c>
      <c r="F1700" s="3">
        <v>42662</v>
      </c>
      <c r="G1700" s="2">
        <v>201704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160</v>
      </c>
      <c r="M1700" s="2" t="s">
        <v>161</v>
      </c>
      <c r="N1700" s="2" t="s">
        <v>176</v>
      </c>
      <c r="O1700" s="2" t="s">
        <v>96</v>
      </c>
      <c r="P1700" s="2" t="str">
        <f>"2170528448                    "</f>
        <v xml:space="preserve">2170528448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3.32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1</v>
      </c>
      <c r="BJ1700" s="2">
        <v>0.2</v>
      </c>
      <c r="BK1700" s="2">
        <v>1</v>
      </c>
      <c r="BL1700" s="2">
        <v>40.76</v>
      </c>
      <c r="BM1700" s="2">
        <v>5.71</v>
      </c>
      <c r="BN1700" s="2">
        <v>46.47</v>
      </c>
      <c r="BO1700" s="2">
        <v>46.47</v>
      </c>
      <c r="BP1700" s="2"/>
      <c r="BQ1700" s="2" t="s">
        <v>258</v>
      </c>
      <c r="BR1700" s="2" t="s">
        <v>83</v>
      </c>
      <c r="BS1700" s="3">
        <v>42663</v>
      </c>
      <c r="BT1700" s="4">
        <v>0.41666666666666669</v>
      </c>
      <c r="BU1700" s="2" t="s">
        <v>247</v>
      </c>
      <c r="BV1700" s="2" t="s">
        <v>85</v>
      </c>
      <c r="BW1700" s="2"/>
      <c r="BX1700" s="2"/>
      <c r="BY1700" s="2">
        <v>1200</v>
      </c>
      <c r="BZ1700" s="2" t="s">
        <v>27</v>
      </c>
      <c r="CA1700" s="2"/>
      <c r="CB1700" s="2"/>
      <c r="CC1700" s="2" t="s">
        <v>161</v>
      </c>
      <c r="CD1700" s="2">
        <v>7405</v>
      </c>
      <c r="CE1700" s="2" t="s">
        <v>108</v>
      </c>
      <c r="CF1700" s="5">
        <v>42664</v>
      </c>
      <c r="CG1700" s="2"/>
      <c r="CH1700" s="2"/>
      <c r="CI1700" s="2">
        <v>1</v>
      </c>
      <c r="CJ1700" s="2">
        <v>1</v>
      </c>
      <c r="CK1700" s="2">
        <v>21</v>
      </c>
      <c r="CL1700" s="2" t="s">
        <v>88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"FES1162507685"</f>
        <v>FES1162507685</v>
      </c>
      <c r="F1701" s="3">
        <v>42662</v>
      </c>
      <c r="G1701" s="2">
        <v>201704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156</v>
      </c>
      <c r="M1701" s="2" t="s">
        <v>157</v>
      </c>
      <c r="N1701" s="2" t="s">
        <v>507</v>
      </c>
      <c r="O1701" s="2" t="s">
        <v>96</v>
      </c>
      <c r="P1701" s="2" t="str">
        <f>"2170527210                    "</f>
        <v xml:space="preserve">2170527210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3.32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</v>
      </c>
      <c r="BJ1701" s="2">
        <v>0.2</v>
      </c>
      <c r="BK1701" s="2">
        <v>1</v>
      </c>
      <c r="BL1701" s="2">
        <v>40.76</v>
      </c>
      <c r="BM1701" s="2">
        <v>5.71</v>
      </c>
      <c r="BN1701" s="2">
        <v>46.47</v>
      </c>
      <c r="BO1701" s="2">
        <v>46.47</v>
      </c>
      <c r="BP1701" s="2"/>
      <c r="BQ1701" s="2" t="s">
        <v>508</v>
      </c>
      <c r="BR1701" s="2" t="s">
        <v>83</v>
      </c>
      <c r="BS1701" s="3">
        <v>42663</v>
      </c>
      <c r="BT1701" s="4">
        <v>0.41666666666666669</v>
      </c>
      <c r="BU1701" s="2" t="s">
        <v>1312</v>
      </c>
      <c r="BV1701" s="2" t="s">
        <v>85</v>
      </c>
      <c r="BW1701" s="2"/>
      <c r="BX1701" s="2"/>
      <c r="BY1701" s="2">
        <v>1200</v>
      </c>
      <c r="BZ1701" s="2" t="s">
        <v>27</v>
      </c>
      <c r="CA1701" s="2"/>
      <c r="CB1701" s="2"/>
      <c r="CC1701" s="2" t="s">
        <v>157</v>
      </c>
      <c r="CD1701" s="2">
        <v>7130</v>
      </c>
      <c r="CE1701" s="2" t="s">
        <v>108</v>
      </c>
      <c r="CF1701" s="5">
        <v>42664</v>
      </c>
      <c r="CG1701" s="2"/>
      <c r="CH1701" s="2"/>
      <c r="CI1701" s="2">
        <v>1</v>
      </c>
      <c r="CJ1701" s="2">
        <v>1</v>
      </c>
      <c r="CK1701" s="2">
        <v>21</v>
      </c>
      <c r="CL1701" s="2" t="s">
        <v>88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"FES1162507893"</f>
        <v>FES1162507893</v>
      </c>
      <c r="F1702" s="3">
        <v>42662</v>
      </c>
      <c r="G1702" s="2">
        <v>201704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218</v>
      </c>
      <c r="M1702" s="2" t="s">
        <v>219</v>
      </c>
      <c r="N1702" s="2" t="s">
        <v>220</v>
      </c>
      <c r="O1702" s="2" t="s">
        <v>96</v>
      </c>
      <c r="P1702" s="2" t="str">
        <f>"2170530758                    "</f>
        <v xml:space="preserve">2170530758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3.32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</v>
      </c>
      <c r="BJ1702" s="2">
        <v>0.2</v>
      </c>
      <c r="BK1702" s="2">
        <v>1</v>
      </c>
      <c r="BL1702" s="2">
        <v>40.76</v>
      </c>
      <c r="BM1702" s="2">
        <v>5.71</v>
      </c>
      <c r="BN1702" s="2">
        <v>46.47</v>
      </c>
      <c r="BO1702" s="2">
        <v>46.47</v>
      </c>
      <c r="BP1702" s="2"/>
      <c r="BQ1702" s="2" t="s">
        <v>91</v>
      </c>
      <c r="BR1702" s="2" t="s">
        <v>83</v>
      </c>
      <c r="BS1702" s="3">
        <v>42663</v>
      </c>
      <c r="BT1702" s="4">
        <v>0.46527777777777773</v>
      </c>
      <c r="BU1702" s="2" t="s">
        <v>1881</v>
      </c>
      <c r="BV1702" s="2" t="s">
        <v>85</v>
      </c>
      <c r="BW1702" s="2"/>
      <c r="BX1702" s="2"/>
      <c r="BY1702" s="2">
        <v>1200</v>
      </c>
      <c r="BZ1702" s="2"/>
      <c r="CA1702" s="2"/>
      <c r="CB1702" s="2"/>
      <c r="CC1702" s="2" t="s">
        <v>219</v>
      </c>
      <c r="CD1702" s="2">
        <v>7600</v>
      </c>
      <c r="CE1702" s="2" t="s">
        <v>108</v>
      </c>
      <c r="CF1702" s="5">
        <v>42664</v>
      </c>
      <c r="CG1702" s="2"/>
      <c r="CH1702" s="2"/>
      <c r="CI1702" s="2">
        <v>1</v>
      </c>
      <c r="CJ1702" s="2">
        <v>1</v>
      </c>
      <c r="CK1702" s="2">
        <v>21</v>
      </c>
      <c r="CL1702" s="2" t="s">
        <v>88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"FES1162507839"</f>
        <v>FES1162507839</v>
      </c>
      <c r="F1703" s="3">
        <v>42662</v>
      </c>
      <c r="G1703" s="2">
        <v>201704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160</v>
      </c>
      <c r="M1703" s="2" t="s">
        <v>161</v>
      </c>
      <c r="N1703" s="2" t="s">
        <v>646</v>
      </c>
      <c r="O1703" s="2" t="s">
        <v>96</v>
      </c>
      <c r="P1703" s="2" t="str">
        <f>"2170528876                    "</f>
        <v xml:space="preserve">2170528876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6.63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4</v>
      </c>
      <c r="BJ1703" s="2">
        <v>2</v>
      </c>
      <c r="BK1703" s="2">
        <v>4</v>
      </c>
      <c r="BL1703" s="2">
        <v>81.510000000000005</v>
      </c>
      <c r="BM1703" s="2">
        <v>11.41</v>
      </c>
      <c r="BN1703" s="2">
        <v>92.92</v>
      </c>
      <c r="BO1703" s="2">
        <v>92.92</v>
      </c>
      <c r="BP1703" s="2"/>
      <c r="BQ1703" s="2" t="s">
        <v>508</v>
      </c>
      <c r="BR1703" s="2" t="s">
        <v>83</v>
      </c>
      <c r="BS1703" s="3">
        <v>42663</v>
      </c>
      <c r="BT1703" s="4">
        <v>0.49374999999999997</v>
      </c>
      <c r="BU1703" s="2" t="s">
        <v>508</v>
      </c>
      <c r="BV1703" s="2" t="s">
        <v>88</v>
      </c>
      <c r="BW1703" s="2" t="s">
        <v>277</v>
      </c>
      <c r="BX1703" s="2" t="s">
        <v>223</v>
      </c>
      <c r="BY1703" s="2">
        <v>9900</v>
      </c>
      <c r="BZ1703" s="2"/>
      <c r="CA1703" s="2" t="s">
        <v>316</v>
      </c>
      <c r="CB1703" s="2"/>
      <c r="CC1703" s="2" t="s">
        <v>161</v>
      </c>
      <c r="CD1703" s="2">
        <v>7550</v>
      </c>
      <c r="CE1703" s="2" t="s">
        <v>86</v>
      </c>
      <c r="CF1703" s="5">
        <v>42663</v>
      </c>
      <c r="CG1703" s="2"/>
      <c r="CH1703" s="2"/>
      <c r="CI1703" s="2">
        <v>1</v>
      </c>
      <c r="CJ1703" s="2">
        <v>1</v>
      </c>
      <c r="CK1703" s="2">
        <v>21</v>
      </c>
      <c r="CL1703" s="2" t="s">
        <v>88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"FES1162507779"</f>
        <v>FES1162507779</v>
      </c>
      <c r="F1704" s="3">
        <v>42662</v>
      </c>
      <c r="G1704" s="2">
        <v>201704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160</v>
      </c>
      <c r="M1704" s="2" t="s">
        <v>161</v>
      </c>
      <c r="N1704" s="2" t="s">
        <v>601</v>
      </c>
      <c r="O1704" s="2" t="s">
        <v>96</v>
      </c>
      <c r="P1704" s="2" t="str">
        <f>"2170530638                    "</f>
        <v xml:space="preserve">2170530638 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234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15.76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3</v>
      </c>
      <c r="BJ1704" s="2">
        <v>9.1</v>
      </c>
      <c r="BK1704" s="2">
        <v>9.5</v>
      </c>
      <c r="BL1704" s="2">
        <v>427.6</v>
      </c>
      <c r="BM1704" s="2">
        <v>59.86</v>
      </c>
      <c r="BN1704" s="2">
        <v>487.46</v>
      </c>
      <c r="BO1704" s="2">
        <v>487.46</v>
      </c>
      <c r="BP1704" s="2" t="s">
        <v>487</v>
      </c>
      <c r="BQ1704" s="2" t="s">
        <v>602</v>
      </c>
      <c r="BR1704" s="2" t="s">
        <v>83</v>
      </c>
      <c r="BS1704" s="3">
        <v>42662</v>
      </c>
      <c r="BT1704" s="4">
        <v>0.35416666666666669</v>
      </c>
      <c r="BU1704" s="2" t="s">
        <v>602</v>
      </c>
      <c r="BV1704" s="2" t="s">
        <v>85</v>
      </c>
      <c r="BW1704" s="2"/>
      <c r="BX1704" s="2"/>
      <c r="BY1704" s="2">
        <v>45632</v>
      </c>
      <c r="BZ1704" s="2" t="s">
        <v>25</v>
      </c>
      <c r="CA1704" s="2"/>
      <c r="CB1704" s="2"/>
      <c r="CC1704" s="2" t="s">
        <v>161</v>
      </c>
      <c r="CD1704" s="2">
        <v>7945</v>
      </c>
      <c r="CE1704" s="2" t="s">
        <v>86</v>
      </c>
      <c r="CF1704" s="5">
        <v>42664</v>
      </c>
      <c r="CG1704" s="2"/>
      <c r="CH1704" s="2"/>
      <c r="CI1704" s="2">
        <v>1</v>
      </c>
      <c r="CJ1704" s="2">
        <v>0</v>
      </c>
      <c r="CK1704" s="2">
        <v>21</v>
      </c>
      <c r="CL1704" s="2" t="s">
        <v>85</v>
      </c>
      <c r="CM1704" s="4">
        <v>0.35416666666666669</v>
      </c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"FES1162508018"</f>
        <v>FES1162508018</v>
      </c>
      <c r="F1705" s="3">
        <v>42662</v>
      </c>
      <c r="G1705" s="2">
        <v>201704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269</v>
      </c>
      <c r="M1705" s="2" t="s">
        <v>270</v>
      </c>
      <c r="N1705" s="2" t="s">
        <v>946</v>
      </c>
      <c r="O1705" s="2" t="s">
        <v>96</v>
      </c>
      <c r="P1705" s="2" t="str">
        <f>"2170531339                    "</f>
        <v xml:space="preserve">2170531339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4.1500000000000004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2.2999999999999998</v>
      </c>
      <c r="BJ1705" s="2">
        <v>0.2</v>
      </c>
      <c r="BK1705" s="2">
        <v>2.5</v>
      </c>
      <c r="BL1705" s="2">
        <v>50.95</v>
      </c>
      <c r="BM1705" s="2">
        <v>7.13</v>
      </c>
      <c r="BN1705" s="2">
        <v>58.08</v>
      </c>
      <c r="BO1705" s="2">
        <v>58.08</v>
      </c>
      <c r="BP1705" s="2"/>
      <c r="BQ1705" s="2" t="s">
        <v>91</v>
      </c>
      <c r="BR1705" s="2" t="s">
        <v>83</v>
      </c>
      <c r="BS1705" s="3">
        <v>42663</v>
      </c>
      <c r="BT1705" s="2">
        <v>0.31597222222222221</v>
      </c>
      <c r="BU1705" s="2" t="s">
        <v>1890</v>
      </c>
      <c r="BV1705" s="2" t="s">
        <v>85</v>
      </c>
      <c r="BW1705" s="2"/>
      <c r="BX1705" s="2"/>
      <c r="BY1705" s="2">
        <v>1200</v>
      </c>
      <c r="BZ1705" s="2"/>
      <c r="CA1705" s="2" t="s">
        <v>129</v>
      </c>
      <c r="CB1705" s="2"/>
      <c r="CC1705" s="2" t="s">
        <v>270</v>
      </c>
      <c r="CD1705" s="2">
        <v>3610</v>
      </c>
      <c r="CE1705" s="2" t="s">
        <v>108</v>
      </c>
      <c r="CF1705" s="5">
        <v>42664</v>
      </c>
      <c r="CG1705" s="2"/>
      <c r="CH1705" s="2"/>
      <c r="CI1705" s="2">
        <v>1</v>
      </c>
      <c r="CJ1705" s="2">
        <v>1</v>
      </c>
      <c r="CK1705" s="2">
        <v>21</v>
      </c>
      <c r="CL1705" s="2" t="s">
        <v>88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"FES1162507883"</f>
        <v>FES1162507883</v>
      </c>
      <c r="F1706" s="3">
        <v>42662</v>
      </c>
      <c r="G1706" s="2">
        <v>201704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260</v>
      </c>
      <c r="M1706" s="2" t="s">
        <v>261</v>
      </c>
      <c r="N1706" s="2" t="s">
        <v>1891</v>
      </c>
      <c r="O1706" s="2" t="s">
        <v>96</v>
      </c>
      <c r="P1706" s="2" t="str">
        <f>"2170531176                    "</f>
        <v xml:space="preserve">2170531176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3.32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1.3</v>
      </c>
      <c r="BJ1706" s="2">
        <v>1.9</v>
      </c>
      <c r="BK1706" s="2">
        <v>2</v>
      </c>
      <c r="BL1706" s="2">
        <v>40.76</v>
      </c>
      <c r="BM1706" s="2">
        <v>5.71</v>
      </c>
      <c r="BN1706" s="2">
        <v>46.47</v>
      </c>
      <c r="BO1706" s="2">
        <v>46.47</v>
      </c>
      <c r="BP1706" s="2"/>
      <c r="BQ1706" s="2" t="s">
        <v>91</v>
      </c>
      <c r="BR1706" s="2" t="s">
        <v>83</v>
      </c>
      <c r="BS1706" s="3">
        <v>42663</v>
      </c>
      <c r="BT1706" s="4">
        <v>0.41666666666666669</v>
      </c>
      <c r="BU1706" s="2" t="s">
        <v>1892</v>
      </c>
      <c r="BV1706" s="2" t="s">
        <v>85</v>
      </c>
      <c r="BW1706" s="2"/>
      <c r="BX1706" s="2"/>
      <c r="BY1706" s="2">
        <v>9479.57</v>
      </c>
      <c r="BZ1706" s="2"/>
      <c r="CA1706" s="2"/>
      <c r="CB1706" s="2"/>
      <c r="CC1706" s="2" t="s">
        <v>261</v>
      </c>
      <c r="CD1706" s="2">
        <v>6850</v>
      </c>
      <c r="CE1706" s="2" t="s">
        <v>108</v>
      </c>
      <c r="CF1706" s="5">
        <v>42664</v>
      </c>
      <c r="CG1706" s="2"/>
      <c r="CH1706" s="2"/>
      <c r="CI1706" s="2">
        <v>3</v>
      </c>
      <c r="CJ1706" s="2">
        <v>1</v>
      </c>
      <c r="CK1706" s="2">
        <v>21</v>
      </c>
      <c r="CL1706" s="2" t="s">
        <v>88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"FES1162507789"</f>
        <v>FES1162507789</v>
      </c>
      <c r="F1707" s="3">
        <v>42662</v>
      </c>
      <c r="G1707" s="2">
        <v>201704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160</v>
      </c>
      <c r="M1707" s="2" t="s">
        <v>161</v>
      </c>
      <c r="N1707" s="2" t="s">
        <v>1893</v>
      </c>
      <c r="O1707" s="2" t="s">
        <v>96</v>
      </c>
      <c r="P1707" s="2" t="str">
        <f>"2170531060                    "</f>
        <v xml:space="preserve">2170531060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3.32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1</v>
      </c>
      <c r="BJ1707" s="2">
        <v>0.2</v>
      </c>
      <c r="BK1707" s="2">
        <v>1</v>
      </c>
      <c r="BL1707" s="2">
        <v>40.76</v>
      </c>
      <c r="BM1707" s="2">
        <v>5.71</v>
      </c>
      <c r="BN1707" s="2">
        <v>46.47</v>
      </c>
      <c r="BO1707" s="2">
        <v>46.47</v>
      </c>
      <c r="BP1707" s="2"/>
      <c r="BQ1707" s="2" t="s">
        <v>117</v>
      </c>
      <c r="BR1707" s="2" t="s">
        <v>83</v>
      </c>
      <c r="BS1707" s="3">
        <v>42663</v>
      </c>
      <c r="BT1707" s="4">
        <v>0.44444444444444442</v>
      </c>
      <c r="BU1707" s="2" t="s">
        <v>1894</v>
      </c>
      <c r="BV1707" s="2" t="s">
        <v>85</v>
      </c>
      <c r="BW1707" s="2"/>
      <c r="BX1707" s="2"/>
      <c r="BY1707" s="2">
        <v>1200</v>
      </c>
      <c r="BZ1707" s="2"/>
      <c r="CA1707" s="2" t="s">
        <v>129</v>
      </c>
      <c r="CB1707" s="2"/>
      <c r="CC1707" s="2" t="s">
        <v>161</v>
      </c>
      <c r="CD1707" s="2">
        <v>7490</v>
      </c>
      <c r="CE1707" s="2" t="s">
        <v>108</v>
      </c>
      <c r="CF1707" s="5">
        <v>42664</v>
      </c>
      <c r="CG1707" s="2"/>
      <c r="CH1707" s="2"/>
      <c r="CI1707" s="2">
        <v>1</v>
      </c>
      <c r="CJ1707" s="2">
        <v>1</v>
      </c>
      <c r="CK1707" s="2">
        <v>21</v>
      </c>
      <c r="CL1707" s="2" t="s">
        <v>88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"FES1162507965"</f>
        <v>FES1162507965</v>
      </c>
      <c r="F1708" s="3">
        <v>42662</v>
      </c>
      <c r="G1708" s="2">
        <v>201704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1175</v>
      </c>
      <c r="M1708" s="2" t="s">
        <v>1176</v>
      </c>
      <c r="N1708" s="2" t="s">
        <v>1895</v>
      </c>
      <c r="O1708" s="2" t="s">
        <v>96</v>
      </c>
      <c r="P1708" s="2" t="str">
        <f>"2170531276                    "</f>
        <v xml:space="preserve">2170531276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3.32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1.5</v>
      </c>
      <c r="BJ1708" s="2">
        <v>1.9</v>
      </c>
      <c r="BK1708" s="2">
        <v>2</v>
      </c>
      <c r="BL1708" s="2">
        <v>40.76</v>
      </c>
      <c r="BM1708" s="2">
        <v>5.71</v>
      </c>
      <c r="BN1708" s="2">
        <v>46.47</v>
      </c>
      <c r="BO1708" s="2">
        <v>46.47</v>
      </c>
      <c r="BP1708" s="2"/>
      <c r="BQ1708" s="2" t="s">
        <v>168</v>
      </c>
      <c r="BR1708" s="2" t="s">
        <v>83</v>
      </c>
      <c r="BS1708" s="3">
        <v>42663</v>
      </c>
      <c r="BT1708" s="4">
        <v>0.47361111111111115</v>
      </c>
      <c r="BU1708" s="2" t="s">
        <v>1896</v>
      </c>
      <c r="BV1708" s="2" t="s">
        <v>85</v>
      </c>
      <c r="BW1708" s="2"/>
      <c r="BX1708" s="2"/>
      <c r="BY1708" s="2">
        <v>9664.49</v>
      </c>
      <c r="BZ1708" s="2"/>
      <c r="CA1708" s="2" t="s">
        <v>1179</v>
      </c>
      <c r="CB1708" s="2"/>
      <c r="CC1708" s="2" t="s">
        <v>1176</v>
      </c>
      <c r="CD1708" s="2">
        <v>3310</v>
      </c>
      <c r="CE1708" s="2" t="s">
        <v>108</v>
      </c>
      <c r="CF1708" s="5">
        <v>42663</v>
      </c>
      <c r="CG1708" s="2"/>
      <c r="CH1708" s="2"/>
      <c r="CI1708" s="2">
        <v>1</v>
      </c>
      <c r="CJ1708" s="2">
        <v>1</v>
      </c>
      <c r="CK1708" s="2">
        <v>21</v>
      </c>
      <c r="CL1708" s="2" t="s">
        <v>88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"FES1162507941"</f>
        <v>FES1162507941</v>
      </c>
      <c r="F1709" s="3">
        <v>42662</v>
      </c>
      <c r="G1709" s="2">
        <v>201704</v>
      </c>
      <c r="H1709" s="2" t="s">
        <v>74</v>
      </c>
      <c r="I1709" s="2" t="s">
        <v>75</v>
      </c>
      <c r="J1709" s="2" t="s">
        <v>76</v>
      </c>
      <c r="K1709" s="2" t="s">
        <v>77</v>
      </c>
      <c r="L1709" s="2" t="s">
        <v>614</v>
      </c>
      <c r="M1709" s="2" t="s">
        <v>615</v>
      </c>
      <c r="N1709" s="2" t="s">
        <v>616</v>
      </c>
      <c r="O1709" s="2" t="s">
        <v>96</v>
      </c>
      <c r="P1709" s="2" t="str">
        <f>"2170531240                    "</f>
        <v xml:space="preserve">2170531240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7.46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1</v>
      </c>
      <c r="BI1709" s="2">
        <v>0.7</v>
      </c>
      <c r="BJ1709" s="2">
        <v>4.0999999999999996</v>
      </c>
      <c r="BK1709" s="2">
        <v>4.5</v>
      </c>
      <c r="BL1709" s="2">
        <v>91.7</v>
      </c>
      <c r="BM1709" s="2">
        <v>12.84</v>
      </c>
      <c r="BN1709" s="2">
        <v>104.54</v>
      </c>
      <c r="BO1709" s="2">
        <v>104.54</v>
      </c>
      <c r="BP1709" s="2"/>
      <c r="BQ1709" s="2" t="s">
        <v>617</v>
      </c>
      <c r="BR1709" s="2" t="s">
        <v>83</v>
      </c>
      <c r="BS1709" s="3">
        <v>42663</v>
      </c>
      <c r="BT1709" s="4">
        <v>0.4375</v>
      </c>
      <c r="BU1709" s="2" t="s">
        <v>889</v>
      </c>
      <c r="BV1709" s="2" t="s">
        <v>85</v>
      </c>
      <c r="BW1709" s="2"/>
      <c r="BX1709" s="2"/>
      <c r="BY1709" s="2">
        <v>20673.580000000002</v>
      </c>
      <c r="BZ1709" s="2"/>
      <c r="CA1709" s="2" t="s">
        <v>129</v>
      </c>
      <c r="CB1709" s="2"/>
      <c r="CC1709" s="2" t="s">
        <v>615</v>
      </c>
      <c r="CD1709" s="2">
        <v>4026</v>
      </c>
      <c r="CE1709" s="2" t="s">
        <v>108</v>
      </c>
      <c r="CF1709" s="2"/>
      <c r="CG1709" s="2"/>
      <c r="CH1709" s="2"/>
      <c r="CI1709" s="2">
        <v>1</v>
      </c>
      <c r="CJ1709" s="2">
        <v>1</v>
      </c>
      <c r="CK1709" s="2">
        <v>21</v>
      </c>
      <c r="CL1709" s="2" t="s">
        <v>88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"FES1162507880"</f>
        <v>FES1162507880</v>
      </c>
      <c r="F1710" s="3">
        <v>42662</v>
      </c>
      <c r="G1710" s="2">
        <v>201704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160</v>
      </c>
      <c r="M1710" s="2" t="s">
        <v>161</v>
      </c>
      <c r="N1710" s="2" t="s">
        <v>470</v>
      </c>
      <c r="O1710" s="2" t="s">
        <v>96</v>
      </c>
      <c r="P1710" s="2" t="str">
        <f>"2170531160                    "</f>
        <v xml:space="preserve">2170531160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3.32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0.4</v>
      </c>
      <c r="BJ1710" s="2">
        <v>1.6</v>
      </c>
      <c r="BK1710" s="2">
        <v>2</v>
      </c>
      <c r="BL1710" s="2">
        <v>40.76</v>
      </c>
      <c r="BM1710" s="2">
        <v>5.71</v>
      </c>
      <c r="BN1710" s="2">
        <v>46.47</v>
      </c>
      <c r="BO1710" s="2">
        <v>46.47</v>
      </c>
      <c r="BP1710" s="2"/>
      <c r="BQ1710" s="2" t="s">
        <v>471</v>
      </c>
      <c r="BR1710" s="2" t="s">
        <v>83</v>
      </c>
      <c r="BS1710" s="3">
        <v>42663</v>
      </c>
      <c r="BT1710" s="4">
        <v>0.375</v>
      </c>
      <c r="BU1710" s="2" t="s">
        <v>1897</v>
      </c>
      <c r="BV1710" s="2" t="s">
        <v>85</v>
      </c>
      <c r="BW1710" s="2"/>
      <c r="BX1710" s="2"/>
      <c r="BY1710" s="2">
        <v>7979.4</v>
      </c>
      <c r="BZ1710" s="2"/>
      <c r="CA1710" s="2"/>
      <c r="CB1710" s="2"/>
      <c r="CC1710" s="2" t="s">
        <v>161</v>
      </c>
      <c r="CD1710" s="2">
        <v>7945</v>
      </c>
      <c r="CE1710" s="2" t="s">
        <v>108</v>
      </c>
      <c r="CF1710" s="5">
        <v>42664</v>
      </c>
      <c r="CG1710" s="2"/>
      <c r="CH1710" s="2"/>
      <c r="CI1710" s="2">
        <v>1</v>
      </c>
      <c r="CJ1710" s="2">
        <v>1</v>
      </c>
      <c r="CK1710" s="2">
        <v>21</v>
      </c>
      <c r="CL1710" s="2" t="s">
        <v>88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"FES1162507767"</f>
        <v>FES1162507767</v>
      </c>
      <c r="F1711" s="3">
        <v>42662</v>
      </c>
      <c r="G1711" s="2">
        <v>201704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148</v>
      </c>
      <c r="M1711" s="2" t="s">
        <v>149</v>
      </c>
      <c r="N1711" s="2" t="s">
        <v>726</v>
      </c>
      <c r="O1711" s="2" t="s">
        <v>96</v>
      </c>
      <c r="P1711" s="2" t="str">
        <f>"2170529088                    "</f>
        <v xml:space="preserve">2170529088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3.32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1</v>
      </c>
      <c r="BJ1711" s="2">
        <v>0.2</v>
      </c>
      <c r="BK1711" s="2">
        <v>1</v>
      </c>
      <c r="BL1711" s="2">
        <v>40.76</v>
      </c>
      <c r="BM1711" s="2">
        <v>5.71</v>
      </c>
      <c r="BN1711" s="2">
        <v>46.47</v>
      </c>
      <c r="BO1711" s="2">
        <v>46.47</v>
      </c>
      <c r="BP1711" s="2"/>
      <c r="BQ1711" s="2" t="s">
        <v>117</v>
      </c>
      <c r="BR1711" s="2" t="s">
        <v>83</v>
      </c>
      <c r="BS1711" s="3">
        <v>42663</v>
      </c>
      <c r="BT1711" s="4">
        <v>0.4375</v>
      </c>
      <c r="BU1711" s="2" t="s">
        <v>1898</v>
      </c>
      <c r="BV1711" s="2" t="s">
        <v>85</v>
      </c>
      <c r="BW1711" s="2"/>
      <c r="BX1711" s="2"/>
      <c r="BY1711" s="2">
        <v>1200</v>
      </c>
      <c r="BZ1711" s="2"/>
      <c r="CA1711" s="2"/>
      <c r="CB1711" s="2"/>
      <c r="CC1711" s="2" t="s">
        <v>149</v>
      </c>
      <c r="CD1711" s="2">
        <v>4070</v>
      </c>
      <c r="CE1711" s="2" t="s">
        <v>108</v>
      </c>
      <c r="CF1711" s="5">
        <v>42664</v>
      </c>
      <c r="CG1711" s="2"/>
      <c r="CH1711" s="2"/>
      <c r="CI1711" s="2">
        <v>1</v>
      </c>
      <c r="CJ1711" s="2">
        <v>1</v>
      </c>
      <c r="CK1711" s="2">
        <v>21</v>
      </c>
      <c r="CL1711" s="2" t="s">
        <v>88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"FES1162507963"</f>
        <v>FES1162507963</v>
      </c>
      <c r="F1712" s="3">
        <v>42662</v>
      </c>
      <c r="G1712" s="2">
        <v>201704</v>
      </c>
      <c r="H1712" s="2" t="s">
        <v>74</v>
      </c>
      <c r="I1712" s="2" t="s">
        <v>75</v>
      </c>
      <c r="J1712" s="2" t="s">
        <v>76</v>
      </c>
      <c r="K1712" s="2" t="s">
        <v>77</v>
      </c>
      <c r="L1712" s="2" t="s">
        <v>1122</v>
      </c>
      <c r="M1712" s="2" t="s">
        <v>1123</v>
      </c>
      <c r="N1712" s="2" t="s">
        <v>422</v>
      </c>
      <c r="O1712" s="2" t="s">
        <v>96</v>
      </c>
      <c r="P1712" s="2" t="str">
        <f>"2170530967                    "</f>
        <v xml:space="preserve">2170530967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3.32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1</v>
      </c>
      <c r="BJ1712" s="2">
        <v>1.7</v>
      </c>
      <c r="BK1712" s="2">
        <v>2</v>
      </c>
      <c r="BL1712" s="2">
        <v>40.76</v>
      </c>
      <c r="BM1712" s="2">
        <v>5.71</v>
      </c>
      <c r="BN1712" s="2">
        <v>46.47</v>
      </c>
      <c r="BO1712" s="2">
        <v>46.47</v>
      </c>
      <c r="BP1712" s="2"/>
      <c r="BQ1712" s="2" t="s">
        <v>91</v>
      </c>
      <c r="BR1712" s="2" t="s">
        <v>83</v>
      </c>
      <c r="BS1712" s="3">
        <v>42663</v>
      </c>
      <c r="BT1712" s="4">
        <v>0.41666666666666669</v>
      </c>
      <c r="BU1712" s="2" t="s">
        <v>84</v>
      </c>
      <c r="BV1712" s="2" t="s">
        <v>85</v>
      </c>
      <c r="BW1712" s="2"/>
      <c r="BX1712" s="2"/>
      <c r="BY1712" s="2">
        <v>8512</v>
      </c>
      <c r="BZ1712" s="2"/>
      <c r="CA1712" s="2"/>
      <c r="CB1712" s="2"/>
      <c r="CC1712" s="2" t="s">
        <v>1123</v>
      </c>
      <c r="CD1712" s="2">
        <v>1911</v>
      </c>
      <c r="CE1712" s="2" t="s">
        <v>86</v>
      </c>
      <c r="CF1712" s="5">
        <v>42667</v>
      </c>
      <c r="CG1712" s="2"/>
      <c r="CH1712" s="2"/>
      <c r="CI1712" s="2">
        <v>1</v>
      </c>
      <c r="CJ1712" s="2">
        <v>1</v>
      </c>
      <c r="CK1712" s="2">
        <v>21</v>
      </c>
      <c r="CL1712" s="2" t="s">
        <v>88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"FES1162508055"</f>
        <v>FES1162508055</v>
      </c>
      <c r="F1713" s="3">
        <v>42662</v>
      </c>
      <c r="G1713" s="2">
        <v>201704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98</v>
      </c>
      <c r="M1713" s="2" t="s">
        <v>99</v>
      </c>
      <c r="N1713" s="2" t="s">
        <v>176</v>
      </c>
      <c r="O1713" s="2" t="s">
        <v>96</v>
      </c>
      <c r="P1713" s="2" t="str">
        <f>"2170531374                    "</f>
        <v xml:space="preserve">2170531374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21.56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13</v>
      </c>
      <c r="BJ1713" s="2">
        <v>5.2</v>
      </c>
      <c r="BK1713" s="2">
        <v>13</v>
      </c>
      <c r="BL1713" s="2">
        <v>264.92</v>
      </c>
      <c r="BM1713" s="2">
        <v>37.090000000000003</v>
      </c>
      <c r="BN1713" s="2">
        <v>302.01</v>
      </c>
      <c r="BO1713" s="2">
        <v>302.01</v>
      </c>
      <c r="BP1713" s="2"/>
      <c r="BQ1713" s="2" t="s">
        <v>91</v>
      </c>
      <c r="BR1713" s="2" t="s">
        <v>83</v>
      </c>
      <c r="BS1713" s="3">
        <v>42663</v>
      </c>
      <c r="BT1713" s="4">
        <v>0.4368055555555555</v>
      </c>
      <c r="BU1713" s="2" t="s">
        <v>724</v>
      </c>
      <c r="BV1713" s="2" t="s">
        <v>85</v>
      </c>
      <c r="BW1713" s="2"/>
      <c r="BX1713" s="2"/>
      <c r="BY1713" s="2">
        <v>26013</v>
      </c>
      <c r="BZ1713" s="2"/>
      <c r="CA1713" s="2" t="s">
        <v>129</v>
      </c>
      <c r="CB1713" s="2"/>
      <c r="CC1713" s="2" t="s">
        <v>99</v>
      </c>
      <c r="CD1713" s="2">
        <v>6020</v>
      </c>
      <c r="CE1713" s="2" t="s">
        <v>86</v>
      </c>
      <c r="CF1713" s="5">
        <v>42664</v>
      </c>
      <c r="CG1713" s="2"/>
      <c r="CH1713" s="2"/>
      <c r="CI1713" s="2">
        <v>1</v>
      </c>
      <c r="CJ1713" s="2">
        <v>1</v>
      </c>
      <c r="CK1713" s="2">
        <v>21</v>
      </c>
      <c r="CL1713" s="2" t="s">
        <v>88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"FES1162507702"</f>
        <v>FES1162507702</v>
      </c>
      <c r="F1714" s="3">
        <v>42662</v>
      </c>
      <c r="G1714" s="2">
        <v>201704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207</v>
      </c>
      <c r="M1714" s="2" t="s">
        <v>208</v>
      </c>
      <c r="N1714" s="2" t="s">
        <v>581</v>
      </c>
      <c r="O1714" s="2" t="s">
        <v>96</v>
      </c>
      <c r="P1714" s="2" t="str">
        <f>"2170528060                    "</f>
        <v xml:space="preserve">2170528060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3.32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1</v>
      </c>
      <c r="BJ1714" s="2">
        <v>0.2</v>
      </c>
      <c r="BK1714" s="2">
        <v>1</v>
      </c>
      <c r="BL1714" s="2">
        <v>40.76</v>
      </c>
      <c r="BM1714" s="2">
        <v>5.71</v>
      </c>
      <c r="BN1714" s="2">
        <v>46.47</v>
      </c>
      <c r="BO1714" s="2">
        <v>46.47</v>
      </c>
      <c r="BP1714" s="2"/>
      <c r="BQ1714" s="2" t="s">
        <v>91</v>
      </c>
      <c r="BR1714" s="2" t="s">
        <v>83</v>
      </c>
      <c r="BS1714" s="3">
        <v>42663</v>
      </c>
      <c r="BT1714" s="4">
        <v>0.4375</v>
      </c>
      <c r="BU1714" s="2" t="s">
        <v>1899</v>
      </c>
      <c r="BV1714" s="2" t="s">
        <v>85</v>
      </c>
      <c r="BW1714" s="2"/>
      <c r="BX1714" s="2"/>
      <c r="BY1714" s="2">
        <v>1200</v>
      </c>
      <c r="BZ1714" s="2"/>
      <c r="CA1714" s="2"/>
      <c r="CB1714" s="2"/>
      <c r="CC1714" s="2" t="s">
        <v>208</v>
      </c>
      <c r="CD1714" s="2">
        <v>4133</v>
      </c>
      <c r="CE1714" s="2" t="s">
        <v>108</v>
      </c>
      <c r="CF1714" s="5">
        <v>42664</v>
      </c>
      <c r="CG1714" s="2"/>
      <c r="CH1714" s="2"/>
      <c r="CI1714" s="2">
        <v>1</v>
      </c>
      <c r="CJ1714" s="2">
        <v>1</v>
      </c>
      <c r="CK1714" s="2">
        <v>21</v>
      </c>
      <c r="CL1714" s="2" t="s">
        <v>88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"FES1162507762"</f>
        <v>FES1162507762</v>
      </c>
      <c r="F1715" s="3">
        <v>42662</v>
      </c>
      <c r="G1715" s="2">
        <v>201704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153</v>
      </c>
      <c r="M1715" s="2" t="s">
        <v>153</v>
      </c>
      <c r="N1715" s="2" t="s">
        <v>200</v>
      </c>
      <c r="O1715" s="2" t="s">
        <v>96</v>
      </c>
      <c r="P1715" s="2" t="str">
        <f>"2170529030                    "</f>
        <v xml:space="preserve">2170529030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3.32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0.5</v>
      </c>
      <c r="BJ1715" s="2">
        <v>0.2</v>
      </c>
      <c r="BK1715" s="2">
        <v>0.5</v>
      </c>
      <c r="BL1715" s="2">
        <v>40.76</v>
      </c>
      <c r="BM1715" s="2">
        <v>5.71</v>
      </c>
      <c r="BN1715" s="2">
        <v>46.47</v>
      </c>
      <c r="BO1715" s="2">
        <v>46.47</v>
      </c>
      <c r="BP1715" s="2"/>
      <c r="BQ1715" s="2" t="s">
        <v>201</v>
      </c>
      <c r="BR1715" s="2" t="s">
        <v>83</v>
      </c>
      <c r="BS1715" s="3">
        <v>42663</v>
      </c>
      <c r="BT1715" s="4">
        <v>0.41666666666666669</v>
      </c>
      <c r="BU1715" s="2" t="s">
        <v>448</v>
      </c>
      <c r="BV1715" s="2" t="s">
        <v>85</v>
      </c>
      <c r="BW1715" s="2"/>
      <c r="BX1715" s="2"/>
      <c r="BY1715" s="2">
        <v>1200</v>
      </c>
      <c r="BZ1715" s="2"/>
      <c r="CA1715" s="2"/>
      <c r="CB1715" s="2"/>
      <c r="CC1715" s="2" t="s">
        <v>153</v>
      </c>
      <c r="CD1715" s="2">
        <v>7646</v>
      </c>
      <c r="CE1715" s="2" t="s">
        <v>108</v>
      </c>
      <c r="CF1715" s="5">
        <v>42664</v>
      </c>
      <c r="CG1715" s="2"/>
      <c r="CH1715" s="2"/>
      <c r="CI1715" s="2">
        <v>1</v>
      </c>
      <c r="CJ1715" s="2">
        <v>1</v>
      </c>
      <c r="CK1715" s="2">
        <v>21</v>
      </c>
      <c r="CL1715" s="2" t="s">
        <v>88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"FES1162507752"</f>
        <v>FES1162507752</v>
      </c>
      <c r="F1716" s="3">
        <v>42662</v>
      </c>
      <c r="G1716" s="2">
        <v>201704</v>
      </c>
      <c r="H1716" s="2" t="s">
        <v>74</v>
      </c>
      <c r="I1716" s="2" t="s">
        <v>75</v>
      </c>
      <c r="J1716" s="2" t="s">
        <v>76</v>
      </c>
      <c r="K1716" s="2" t="s">
        <v>77</v>
      </c>
      <c r="L1716" s="2" t="s">
        <v>160</v>
      </c>
      <c r="M1716" s="2" t="s">
        <v>161</v>
      </c>
      <c r="N1716" s="2" t="s">
        <v>179</v>
      </c>
      <c r="O1716" s="2" t="s">
        <v>96</v>
      </c>
      <c r="P1716" s="2" t="str">
        <f>"2170528837                    "</f>
        <v xml:space="preserve">2170528837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4.9800000000000004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3</v>
      </c>
      <c r="BJ1716" s="2">
        <v>1.4</v>
      </c>
      <c r="BK1716" s="2">
        <v>3</v>
      </c>
      <c r="BL1716" s="2">
        <v>61.14</v>
      </c>
      <c r="BM1716" s="2">
        <v>8.56</v>
      </c>
      <c r="BN1716" s="2">
        <v>69.7</v>
      </c>
      <c r="BO1716" s="2">
        <v>69.7</v>
      </c>
      <c r="BP1716" s="2"/>
      <c r="BQ1716" s="2" t="s">
        <v>180</v>
      </c>
      <c r="BR1716" s="2" t="s">
        <v>83</v>
      </c>
      <c r="BS1716" s="3">
        <v>42663</v>
      </c>
      <c r="BT1716" s="4">
        <v>0.41666666666666669</v>
      </c>
      <c r="BU1716" s="2" t="s">
        <v>1882</v>
      </c>
      <c r="BV1716" s="2" t="s">
        <v>85</v>
      </c>
      <c r="BW1716" s="2"/>
      <c r="BX1716" s="2"/>
      <c r="BY1716" s="2">
        <v>7133.47</v>
      </c>
      <c r="BZ1716" s="2"/>
      <c r="CA1716" s="2"/>
      <c r="CB1716" s="2"/>
      <c r="CC1716" s="2" t="s">
        <v>161</v>
      </c>
      <c r="CD1716" s="2">
        <v>7405</v>
      </c>
      <c r="CE1716" s="2" t="s">
        <v>86</v>
      </c>
      <c r="CF1716" s="5">
        <v>42664</v>
      </c>
      <c r="CG1716" s="2"/>
      <c r="CH1716" s="2"/>
      <c r="CI1716" s="2">
        <v>1</v>
      </c>
      <c r="CJ1716" s="2">
        <v>1</v>
      </c>
      <c r="CK1716" s="2">
        <v>21</v>
      </c>
      <c r="CL1716" s="2" t="s">
        <v>88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"FES1162507874"</f>
        <v>FES1162507874</v>
      </c>
      <c r="F1717" s="3">
        <v>42662</v>
      </c>
      <c r="G1717" s="2">
        <v>201704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160</v>
      </c>
      <c r="M1717" s="2" t="s">
        <v>161</v>
      </c>
      <c r="N1717" s="2" t="s">
        <v>267</v>
      </c>
      <c r="O1717" s="2" t="s">
        <v>96</v>
      </c>
      <c r="P1717" s="2" t="str">
        <f>"1162507997                    "</f>
        <v xml:space="preserve">1162507997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234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3.32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2</v>
      </c>
      <c r="BJ1717" s="2">
        <v>0.6</v>
      </c>
      <c r="BK1717" s="2">
        <v>2</v>
      </c>
      <c r="BL1717" s="2">
        <v>274.76</v>
      </c>
      <c r="BM1717" s="2">
        <v>38.47</v>
      </c>
      <c r="BN1717" s="2">
        <v>313.23</v>
      </c>
      <c r="BO1717" s="2">
        <v>313.23</v>
      </c>
      <c r="BP1717" s="2" t="s">
        <v>487</v>
      </c>
      <c r="BQ1717" s="2" t="s">
        <v>117</v>
      </c>
      <c r="BR1717" s="2" t="s">
        <v>83</v>
      </c>
      <c r="BS1717" s="3">
        <v>42663</v>
      </c>
      <c r="BT1717" s="4">
        <v>0.34722222222222227</v>
      </c>
      <c r="BU1717" s="2" t="s">
        <v>1668</v>
      </c>
      <c r="BV1717" s="2" t="s">
        <v>85</v>
      </c>
      <c r="BW1717" s="2"/>
      <c r="BX1717" s="2"/>
      <c r="BY1717" s="2">
        <v>2925</v>
      </c>
      <c r="BZ1717" s="2" t="s">
        <v>25</v>
      </c>
      <c r="CA1717" s="2"/>
      <c r="CB1717" s="2"/>
      <c r="CC1717" s="2" t="s">
        <v>161</v>
      </c>
      <c r="CD1717" s="2">
        <v>7441</v>
      </c>
      <c r="CE1717" s="2" t="s">
        <v>86</v>
      </c>
      <c r="CF1717" s="5">
        <v>42664</v>
      </c>
      <c r="CG1717" s="2"/>
      <c r="CH1717" s="2"/>
      <c r="CI1717" s="2">
        <v>1</v>
      </c>
      <c r="CJ1717" s="2">
        <v>1</v>
      </c>
      <c r="CK1717" s="2">
        <v>21</v>
      </c>
      <c r="CL1717" s="2" t="s">
        <v>85</v>
      </c>
      <c r="CM1717" s="4">
        <v>0.34722222222222227</v>
      </c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"FES1162508000"</f>
        <v>FES1162508000</v>
      </c>
      <c r="F1718" s="3">
        <v>42662</v>
      </c>
      <c r="G1718" s="2">
        <v>201704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160</v>
      </c>
      <c r="M1718" s="2" t="s">
        <v>161</v>
      </c>
      <c r="N1718" s="2" t="s">
        <v>236</v>
      </c>
      <c r="O1718" s="2" t="s">
        <v>96</v>
      </c>
      <c r="P1718" s="2" t="str">
        <f>"2170531322                    "</f>
        <v xml:space="preserve">2170531322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3.32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1</v>
      </c>
      <c r="BJ1718" s="2">
        <v>0.2</v>
      </c>
      <c r="BK1718" s="2">
        <v>1</v>
      </c>
      <c r="BL1718" s="2">
        <v>40.76</v>
      </c>
      <c r="BM1718" s="2">
        <v>5.71</v>
      </c>
      <c r="BN1718" s="2">
        <v>46.47</v>
      </c>
      <c r="BO1718" s="2">
        <v>46.47</v>
      </c>
      <c r="BP1718" s="2"/>
      <c r="BQ1718" s="2" t="s">
        <v>237</v>
      </c>
      <c r="BR1718" s="2" t="s">
        <v>83</v>
      </c>
      <c r="BS1718" s="3">
        <v>42663</v>
      </c>
      <c r="BT1718" s="4">
        <v>0.41666666666666669</v>
      </c>
      <c r="BU1718" s="2" t="s">
        <v>1900</v>
      </c>
      <c r="BV1718" s="2" t="s">
        <v>85</v>
      </c>
      <c r="BW1718" s="2"/>
      <c r="BX1718" s="2"/>
      <c r="BY1718" s="2">
        <v>1200</v>
      </c>
      <c r="BZ1718" s="2"/>
      <c r="CA1718" s="2"/>
      <c r="CB1718" s="2"/>
      <c r="CC1718" s="2" t="s">
        <v>161</v>
      </c>
      <c r="CD1718" s="2">
        <v>7405</v>
      </c>
      <c r="CE1718" s="2" t="s">
        <v>108</v>
      </c>
      <c r="CF1718" s="5">
        <v>42664</v>
      </c>
      <c r="CG1718" s="2"/>
      <c r="CH1718" s="2"/>
      <c r="CI1718" s="2">
        <v>1</v>
      </c>
      <c r="CJ1718" s="2">
        <v>1</v>
      </c>
      <c r="CK1718" s="2">
        <v>21</v>
      </c>
      <c r="CL1718" s="2" t="s">
        <v>88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"FES1162508004"</f>
        <v>FES1162508004</v>
      </c>
      <c r="F1719" s="3">
        <v>42662</v>
      </c>
      <c r="G1719" s="2">
        <v>201704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153</v>
      </c>
      <c r="M1719" s="2" t="s">
        <v>153</v>
      </c>
      <c r="N1719" s="2" t="s">
        <v>343</v>
      </c>
      <c r="O1719" s="2" t="s">
        <v>96</v>
      </c>
      <c r="P1719" s="2" t="str">
        <f>"2170531324                    "</f>
        <v xml:space="preserve">2170531324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4.1500000000000004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2.4</v>
      </c>
      <c r="BJ1719" s="2">
        <v>2</v>
      </c>
      <c r="BK1719" s="2">
        <v>2.5</v>
      </c>
      <c r="BL1719" s="2">
        <v>50.95</v>
      </c>
      <c r="BM1719" s="2">
        <v>7.13</v>
      </c>
      <c r="BN1719" s="2">
        <v>58.08</v>
      </c>
      <c r="BO1719" s="2">
        <v>58.08</v>
      </c>
      <c r="BP1719" s="2"/>
      <c r="BQ1719" s="2" t="s">
        <v>344</v>
      </c>
      <c r="BR1719" s="2" t="s">
        <v>83</v>
      </c>
      <c r="BS1719" s="3">
        <v>42663</v>
      </c>
      <c r="BT1719" s="4">
        <v>0.53125</v>
      </c>
      <c r="BU1719" s="2" t="s">
        <v>720</v>
      </c>
      <c r="BV1719" s="2" t="s">
        <v>85</v>
      </c>
      <c r="BW1719" s="2"/>
      <c r="BX1719" s="2"/>
      <c r="BY1719" s="2">
        <v>9964.5</v>
      </c>
      <c r="BZ1719" s="2"/>
      <c r="CA1719" s="2"/>
      <c r="CB1719" s="2"/>
      <c r="CC1719" s="2" t="s">
        <v>153</v>
      </c>
      <c r="CD1719" s="2">
        <v>7646</v>
      </c>
      <c r="CE1719" s="2" t="s">
        <v>86</v>
      </c>
      <c r="CF1719" s="5">
        <v>42664</v>
      </c>
      <c r="CG1719" s="2"/>
      <c r="CH1719" s="2"/>
      <c r="CI1719" s="2">
        <v>1</v>
      </c>
      <c r="CJ1719" s="2">
        <v>1</v>
      </c>
      <c r="CK1719" s="2">
        <v>21</v>
      </c>
      <c r="CL1719" s="2" t="s">
        <v>88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"FES1162507949"</f>
        <v>FES1162507949</v>
      </c>
      <c r="F1720" s="3">
        <v>42662</v>
      </c>
      <c r="G1720" s="2">
        <v>201704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148</v>
      </c>
      <c r="M1720" s="2" t="s">
        <v>149</v>
      </c>
      <c r="N1720" s="2" t="s">
        <v>726</v>
      </c>
      <c r="O1720" s="2" t="s">
        <v>96</v>
      </c>
      <c r="P1720" s="2" t="str">
        <f>"2170531256                    "</f>
        <v xml:space="preserve">2170531256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3.32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1</v>
      </c>
      <c r="BJ1720" s="2">
        <v>0.2</v>
      </c>
      <c r="BK1720" s="2">
        <v>1</v>
      </c>
      <c r="BL1720" s="2">
        <v>40.76</v>
      </c>
      <c r="BM1720" s="2">
        <v>5.71</v>
      </c>
      <c r="BN1720" s="2">
        <v>46.47</v>
      </c>
      <c r="BO1720" s="2">
        <v>46.47</v>
      </c>
      <c r="BP1720" s="2"/>
      <c r="BQ1720" s="2" t="s">
        <v>117</v>
      </c>
      <c r="BR1720" s="2" t="s">
        <v>83</v>
      </c>
      <c r="BS1720" s="3">
        <v>42663</v>
      </c>
      <c r="BT1720" s="4">
        <v>0.4375</v>
      </c>
      <c r="BU1720" s="2" t="s">
        <v>727</v>
      </c>
      <c r="BV1720" s="2" t="s">
        <v>85</v>
      </c>
      <c r="BW1720" s="2"/>
      <c r="BX1720" s="2"/>
      <c r="BY1720" s="2">
        <v>1200</v>
      </c>
      <c r="BZ1720" s="2"/>
      <c r="CA1720" s="2"/>
      <c r="CB1720" s="2"/>
      <c r="CC1720" s="2" t="s">
        <v>149</v>
      </c>
      <c r="CD1720" s="2">
        <v>4070</v>
      </c>
      <c r="CE1720" s="2" t="s">
        <v>108</v>
      </c>
      <c r="CF1720" s="5">
        <v>42664</v>
      </c>
      <c r="CG1720" s="2"/>
      <c r="CH1720" s="2"/>
      <c r="CI1720" s="2">
        <v>1</v>
      </c>
      <c r="CJ1720" s="2">
        <v>1</v>
      </c>
      <c r="CK1720" s="2">
        <v>21</v>
      </c>
      <c r="CL1720" s="2" t="s">
        <v>88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"FES1162507736"</f>
        <v>FES1162507736</v>
      </c>
      <c r="F1721" s="3">
        <v>42662</v>
      </c>
      <c r="G1721" s="2">
        <v>201704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160</v>
      </c>
      <c r="M1721" s="2" t="s">
        <v>161</v>
      </c>
      <c r="N1721" s="2" t="s">
        <v>1901</v>
      </c>
      <c r="O1721" s="2" t="s">
        <v>96</v>
      </c>
      <c r="P1721" s="2" t="str">
        <f>"2170528613                    "</f>
        <v xml:space="preserve">2170528613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3.32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1.5</v>
      </c>
      <c r="BJ1721" s="2">
        <v>2</v>
      </c>
      <c r="BK1721" s="2">
        <v>2</v>
      </c>
      <c r="BL1721" s="2">
        <v>40.76</v>
      </c>
      <c r="BM1721" s="2">
        <v>5.71</v>
      </c>
      <c r="BN1721" s="2">
        <v>46.47</v>
      </c>
      <c r="BO1721" s="2">
        <v>46.47</v>
      </c>
      <c r="BP1721" s="2"/>
      <c r="BQ1721" s="2" t="s">
        <v>168</v>
      </c>
      <c r="BR1721" s="2" t="s">
        <v>83</v>
      </c>
      <c r="BS1721" s="3">
        <v>42663</v>
      </c>
      <c r="BT1721" s="4">
        <v>0.39930555555555558</v>
      </c>
      <c r="BU1721" s="2" t="s">
        <v>1902</v>
      </c>
      <c r="BV1721" s="2" t="s">
        <v>85</v>
      </c>
      <c r="BW1721" s="2"/>
      <c r="BX1721" s="2"/>
      <c r="BY1721" s="2">
        <v>9967.83</v>
      </c>
      <c r="BZ1721" s="2"/>
      <c r="CA1721" s="2"/>
      <c r="CB1721" s="2"/>
      <c r="CC1721" s="2" t="s">
        <v>161</v>
      </c>
      <c r="CD1721" s="2">
        <v>7530</v>
      </c>
      <c r="CE1721" s="2" t="s">
        <v>86</v>
      </c>
      <c r="CF1721" s="5">
        <v>42664</v>
      </c>
      <c r="CG1721" s="2"/>
      <c r="CH1721" s="2"/>
      <c r="CI1721" s="2">
        <v>1</v>
      </c>
      <c r="CJ1721" s="2">
        <v>1</v>
      </c>
      <c r="CK1721" s="2">
        <v>21</v>
      </c>
      <c r="CL1721" s="2" t="s">
        <v>88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"FES1162507970"</f>
        <v>FES1162507970</v>
      </c>
      <c r="F1722" s="3">
        <v>42662</v>
      </c>
      <c r="G1722" s="2">
        <v>201704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137</v>
      </c>
      <c r="M1722" s="2" t="s">
        <v>138</v>
      </c>
      <c r="N1722" s="2" t="s">
        <v>1879</v>
      </c>
      <c r="O1722" s="2" t="s">
        <v>96</v>
      </c>
      <c r="P1722" s="2" t="str">
        <f>"2170531285                    "</f>
        <v xml:space="preserve">2170531285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3.32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1.1000000000000001</v>
      </c>
      <c r="BJ1722" s="2">
        <v>1</v>
      </c>
      <c r="BK1722" s="2">
        <v>1.5</v>
      </c>
      <c r="BL1722" s="2">
        <v>40.76</v>
      </c>
      <c r="BM1722" s="2">
        <v>5.71</v>
      </c>
      <c r="BN1722" s="2">
        <v>46.47</v>
      </c>
      <c r="BO1722" s="2">
        <v>46.47</v>
      </c>
      <c r="BP1722" s="2"/>
      <c r="BQ1722" s="2" t="s">
        <v>117</v>
      </c>
      <c r="BR1722" s="2" t="s">
        <v>83</v>
      </c>
      <c r="BS1722" s="3">
        <v>42663</v>
      </c>
      <c r="BT1722" s="4">
        <v>0.4375</v>
      </c>
      <c r="BU1722" s="2" t="s">
        <v>1880</v>
      </c>
      <c r="BV1722" s="2"/>
      <c r="BW1722" s="2"/>
      <c r="BX1722" s="2"/>
      <c r="BY1722" s="2">
        <v>5062.46</v>
      </c>
      <c r="BZ1722" s="2"/>
      <c r="CA1722" s="2" t="s">
        <v>142</v>
      </c>
      <c r="CB1722" s="2"/>
      <c r="CC1722" s="2" t="s">
        <v>138</v>
      </c>
      <c r="CD1722" s="2">
        <v>3201</v>
      </c>
      <c r="CE1722" s="2" t="s">
        <v>86</v>
      </c>
      <c r="CF1722" s="5">
        <v>42664</v>
      </c>
      <c r="CG1722" s="2"/>
      <c r="CH1722" s="2"/>
      <c r="CI1722" s="2">
        <v>0</v>
      </c>
      <c r="CJ1722" s="2">
        <v>0</v>
      </c>
      <c r="CK1722" s="2">
        <v>21</v>
      </c>
      <c r="CL1722" s="2" t="s">
        <v>88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"FES1162507829"</f>
        <v>FES1162507829</v>
      </c>
      <c r="F1723" s="3">
        <v>42662</v>
      </c>
      <c r="G1723" s="2">
        <v>201704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160</v>
      </c>
      <c r="M1723" s="2" t="s">
        <v>161</v>
      </c>
      <c r="N1723" s="2" t="s">
        <v>179</v>
      </c>
      <c r="O1723" s="2" t="s">
        <v>96</v>
      </c>
      <c r="P1723" s="2" t="str">
        <f>"2170528622                    "</f>
        <v xml:space="preserve">2170528622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3.32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2</v>
      </c>
      <c r="BJ1723" s="2">
        <v>1.5</v>
      </c>
      <c r="BK1723" s="2">
        <v>2</v>
      </c>
      <c r="BL1723" s="2">
        <v>40.76</v>
      </c>
      <c r="BM1723" s="2">
        <v>5.71</v>
      </c>
      <c r="BN1723" s="2">
        <v>46.47</v>
      </c>
      <c r="BO1723" s="2">
        <v>46.47</v>
      </c>
      <c r="BP1723" s="2"/>
      <c r="BQ1723" s="2" t="s">
        <v>180</v>
      </c>
      <c r="BR1723" s="2" t="s">
        <v>83</v>
      </c>
      <c r="BS1723" s="3">
        <v>42663</v>
      </c>
      <c r="BT1723" s="4">
        <v>0.41666666666666669</v>
      </c>
      <c r="BU1723" s="2" t="s">
        <v>1882</v>
      </c>
      <c r="BV1723" s="2" t="s">
        <v>85</v>
      </c>
      <c r="BW1723" s="2"/>
      <c r="BX1723" s="2"/>
      <c r="BY1723" s="2">
        <v>7540</v>
      </c>
      <c r="BZ1723" s="2"/>
      <c r="CA1723" s="2"/>
      <c r="CB1723" s="2"/>
      <c r="CC1723" s="2" t="s">
        <v>161</v>
      </c>
      <c r="CD1723" s="2">
        <v>7405</v>
      </c>
      <c r="CE1723" s="2" t="s">
        <v>86</v>
      </c>
      <c r="CF1723" s="5">
        <v>42664</v>
      </c>
      <c r="CG1723" s="2"/>
      <c r="CH1723" s="2"/>
      <c r="CI1723" s="2">
        <v>1</v>
      </c>
      <c r="CJ1723" s="2">
        <v>1</v>
      </c>
      <c r="CK1723" s="2">
        <v>21</v>
      </c>
      <c r="CL1723" s="2" t="s">
        <v>88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"FES1162507653"</f>
        <v>FES1162507653</v>
      </c>
      <c r="F1724" s="3">
        <v>42662</v>
      </c>
      <c r="G1724" s="2">
        <v>201704</v>
      </c>
      <c r="H1724" s="2" t="s">
        <v>74</v>
      </c>
      <c r="I1724" s="2" t="s">
        <v>75</v>
      </c>
      <c r="J1724" s="2" t="s">
        <v>76</v>
      </c>
      <c r="K1724" s="2" t="s">
        <v>77</v>
      </c>
      <c r="L1724" s="2" t="s">
        <v>137</v>
      </c>
      <c r="M1724" s="2" t="s">
        <v>138</v>
      </c>
      <c r="N1724" s="2" t="s">
        <v>203</v>
      </c>
      <c r="O1724" s="2" t="s">
        <v>96</v>
      </c>
      <c r="P1724" s="2" t="str">
        <f>"2170531118                    "</f>
        <v xml:space="preserve">2170531118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10.78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6.5</v>
      </c>
      <c r="BJ1724" s="2">
        <v>1.7</v>
      </c>
      <c r="BK1724" s="2">
        <v>6.5</v>
      </c>
      <c r="BL1724" s="2">
        <v>132.46</v>
      </c>
      <c r="BM1724" s="2">
        <v>18.54</v>
      </c>
      <c r="BN1724" s="2">
        <v>151</v>
      </c>
      <c r="BO1724" s="2">
        <v>151</v>
      </c>
      <c r="BP1724" s="2"/>
      <c r="BQ1724" s="2" t="s">
        <v>168</v>
      </c>
      <c r="BR1724" s="2" t="s">
        <v>83</v>
      </c>
      <c r="BS1724" s="3">
        <v>42663</v>
      </c>
      <c r="BT1724" s="4">
        <v>0.41805555555555557</v>
      </c>
      <c r="BU1724" s="2" t="s">
        <v>768</v>
      </c>
      <c r="BV1724" s="2"/>
      <c r="BW1724" s="2"/>
      <c r="BX1724" s="2"/>
      <c r="BY1724" s="2">
        <v>8401.5400000000009</v>
      </c>
      <c r="BZ1724" s="2"/>
      <c r="CA1724" s="2" t="s">
        <v>613</v>
      </c>
      <c r="CB1724" s="2"/>
      <c r="CC1724" s="2" t="s">
        <v>138</v>
      </c>
      <c r="CD1724" s="2">
        <v>3201</v>
      </c>
      <c r="CE1724" s="2" t="s">
        <v>368</v>
      </c>
      <c r="CF1724" s="5">
        <v>42663</v>
      </c>
      <c r="CG1724" s="2"/>
      <c r="CH1724" s="2"/>
      <c r="CI1724" s="2">
        <v>0</v>
      </c>
      <c r="CJ1724" s="2">
        <v>0</v>
      </c>
      <c r="CK1724" s="2">
        <v>21</v>
      </c>
      <c r="CL1724" s="2" t="s">
        <v>88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"FES1162508010"</f>
        <v>FES1162508010</v>
      </c>
      <c r="F1725" s="3">
        <v>42662</v>
      </c>
      <c r="G1725" s="2">
        <v>201704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160</v>
      </c>
      <c r="M1725" s="2" t="s">
        <v>161</v>
      </c>
      <c r="N1725" s="2" t="s">
        <v>1219</v>
      </c>
      <c r="O1725" s="2" t="s">
        <v>96</v>
      </c>
      <c r="P1725" s="2" t="str">
        <f>"2170528650                    "</f>
        <v xml:space="preserve">2170528650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4.9800000000000004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2.8</v>
      </c>
      <c r="BJ1725" s="2">
        <v>1</v>
      </c>
      <c r="BK1725" s="2">
        <v>3</v>
      </c>
      <c r="BL1725" s="2">
        <v>61.14</v>
      </c>
      <c r="BM1725" s="2">
        <v>8.56</v>
      </c>
      <c r="BN1725" s="2">
        <v>69.7</v>
      </c>
      <c r="BO1725" s="2">
        <v>69.7</v>
      </c>
      <c r="BP1725" s="2"/>
      <c r="BQ1725" s="2" t="s">
        <v>91</v>
      </c>
      <c r="BR1725" s="2" t="s">
        <v>83</v>
      </c>
      <c r="BS1725" s="3">
        <v>42663</v>
      </c>
      <c r="BT1725" s="4">
        <v>0.41666666666666669</v>
      </c>
      <c r="BU1725" s="2" t="s">
        <v>1903</v>
      </c>
      <c r="BV1725" s="2" t="s">
        <v>85</v>
      </c>
      <c r="BW1725" s="2"/>
      <c r="BX1725" s="2"/>
      <c r="BY1725" s="2">
        <v>4808.95</v>
      </c>
      <c r="BZ1725" s="2"/>
      <c r="CA1725" s="2"/>
      <c r="CB1725" s="2"/>
      <c r="CC1725" s="2" t="s">
        <v>161</v>
      </c>
      <c r="CD1725" s="2">
        <v>7441</v>
      </c>
      <c r="CE1725" s="2" t="s">
        <v>86</v>
      </c>
      <c r="CF1725" s="5">
        <v>42664</v>
      </c>
      <c r="CG1725" s="2"/>
      <c r="CH1725" s="2"/>
      <c r="CI1725" s="2">
        <v>1</v>
      </c>
      <c r="CJ1725" s="2">
        <v>1</v>
      </c>
      <c r="CK1725" s="2">
        <v>21</v>
      </c>
      <c r="CL1725" s="2" t="s">
        <v>88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"FES1162507939"</f>
        <v>FES1162507939</v>
      </c>
      <c r="F1726" s="3">
        <v>42662</v>
      </c>
      <c r="G1726" s="2">
        <v>201704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682</v>
      </c>
      <c r="M1726" s="2" t="s">
        <v>682</v>
      </c>
      <c r="N1726" s="2" t="s">
        <v>683</v>
      </c>
      <c r="O1726" s="2" t="s">
        <v>96</v>
      </c>
      <c r="P1726" s="2" t="str">
        <f>"2170531236                    "</f>
        <v xml:space="preserve">2170531236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6.63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3.8</v>
      </c>
      <c r="BJ1726" s="2">
        <v>2.2000000000000002</v>
      </c>
      <c r="BK1726" s="2">
        <v>4</v>
      </c>
      <c r="BL1726" s="2">
        <v>81.510000000000005</v>
      </c>
      <c r="BM1726" s="2">
        <v>11.41</v>
      </c>
      <c r="BN1726" s="2">
        <v>92.92</v>
      </c>
      <c r="BO1726" s="2">
        <v>92.92</v>
      </c>
      <c r="BP1726" s="2"/>
      <c r="BQ1726" s="2" t="s">
        <v>117</v>
      </c>
      <c r="BR1726" s="2" t="s">
        <v>83</v>
      </c>
      <c r="BS1726" s="3">
        <v>42664</v>
      </c>
      <c r="BT1726" s="4">
        <v>0</v>
      </c>
      <c r="BU1726" s="2" t="s">
        <v>1771</v>
      </c>
      <c r="BV1726" s="2" t="s">
        <v>85</v>
      </c>
      <c r="BW1726" s="2"/>
      <c r="BX1726" s="2"/>
      <c r="BY1726" s="2">
        <v>11071.06</v>
      </c>
      <c r="BZ1726" s="2"/>
      <c r="CA1726" s="2"/>
      <c r="CB1726" s="2"/>
      <c r="CC1726" s="2" t="s">
        <v>682</v>
      </c>
      <c r="CD1726" s="2">
        <v>6835</v>
      </c>
      <c r="CE1726" s="2" t="s">
        <v>86</v>
      </c>
      <c r="CF1726" s="5">
        <v>42668</v>
      </c>
      <c r="CG1726" s="2"/>
      <c r="CH1726" s="2"/>
      <c r="CI1726" s="2">
        <v>3</v>
      </c>
      <c r="CJ1726" s="2">
        <v>2</v>
      </c>
      <c r="CK1726" s="2">
        <v>21</v>
      </c>
      <c r="CL1726" s="2" t="s">
        <v>88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"FES1162508014"</f>
        <v>FES1162508014</v>
      </c>
      <c r="F1727" s="3">
        <v>42662</v>
      </c>
      <c r="G1727" s="2">
        <v>201704</v>
      </c>
      <c r="H1727" s="2" t="s">
        <v>74</v>
      </c>
      <c r="I1727" s="2" t="s">
        <v>75</v>
      </c>
      <c r="J1727" s="2" t="s">
        <v>76</v>
      </c>
      <c r="K1727" s="2" t="s">
        <v>77</v>
      </c>
      <c r="L1727" s="2" t="s">
        <v>148</v>
      </c>
      <c r="M1727" s="2" t="s">
        <v>149</v>
      </c>
      <c r="N1727" s="2" t="s">
        <v>211</v>
      </c>
      <c r="O1727" s="2" t="s">
        <v>96</v>
      </c>
      <c r="P1727" s="2" t="str">
        <f>"2170531332                    "</f>
        <v xml:space="preserve">2170531332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8.2899999999999991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4.5999999999999996</v>
      </c>
      <c r="BJ1727" s="2">
        <v>3.4</v>
      </c>
      <c r="BK1727" s="2">
        <v>5</v>
      </c>
      <c r="BL1727" s="2">
        <v>101.89</v>
      </c>
      <c r="BM1727" s="2">
        <v>14.26</v>
      </c>
      <c r="BN1727" s="2">
        <v>116.15</v>
      </c>
      <c r="BO1727" s="2">
        <v>116.15</v>
      </c>
      <c r="BP1727" s="2"/>
      <c r="BQ1727" s="2" t="s">
        <v>91</v>
      </c>
      <c r="BR1727" s="2" t="s">
        <v>83</v>
      </c>
      <c r="BS1727" s="3">
        <v>42663</v>
      </c>
      <c r="BT1727" s="4">
        <v>0.4375</v>
      </c>
      <c r="BU1727" s="2" t="s">
        <v>1904</v>
      </c>
      <c r="BV1727" s="2" t="s">
        <v>85</v>
      </c>
      <c r="BW1727" s="2"/>
      <c r="BX1727" s="2"/>
      <c r="BY1727" s="2">
        <v>16811.02</v>
      </c>
      <c r="BZ1727" s="2"/>
      <c r="CA1727" s="2" t="s">
        <v>129</v>
      </c>
      <c r="CB1727" s="2"/>
      <c r="CC1727" s="2" t="s">
        <v>149</v>
      </c>
      <c r="CD1727" s="2">
        <v>4052</v>
      </c>
      <c r="CE1727" s="2" t="s">
        <v>86</v>
      </c>
      <c r="CF1727" s="5">
        <v>42664</v>
      </c>
      <c r="CG1727" s="2"/>
      <c r="CH1727" s="2"/>
      <c r="CI1727" s="2">
        <v>1</v>
      </c>
      <c r="CJ1727" s="2">
        <v>1</v>
      </c>
      <c r="CK1727" s="2">
        <v>21</v>
      </c>
      <c r="CL1727" s="2" t="s">
        <v>88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"FES1162508039"</f>
        <v>FES1162508039</v>
      </c>
      <c r="F1728" s="3">
        <v>42662</v>
      </c>
      <c r="G1728" s="2">
        <v>201704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98</v>
      </c>
      <c r="M1728" s="2" t="s">
        <v>99</v>
      </c>
      <c r="N1728" s="2" t="s">
        <v>109</v>
      </c>
      <c r="O1728" s="2" t="s">
        <v>96</v>
      </c>
      <c r="P1728" s="2" t="str">
        <f>"2170531030                    "</f>
        <v xml:space="preserve">2170531030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3.32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1</v>
      </c>
      <c r="BJ1728" s="2">
        <v>0.2</v>
      </c>
      <c r="BK1728" s="2">
        <v>1</v>
      </c>
      <c r="BL1728" s="2">
        <v>40.76</v>
      </c>
      <c r="BM1728" s="2">
        <v>5.71</v>
      </c>
      <c r="BN1728" s="2">
        <v>46.47</v>
      </c>
      <c r="BO1728" s="2">
        <v>46.47</v>
      </c>
      <c r="BP1728" s="2"/>
      <c r="BQ1728" s="2" t="s">
        <v>110</v>
      </c>
      <c r="BR1728" s="2" t="s">
        <v>83</v>
      </c>
      <c r="BS1728" s="3">
        <v>42663</v>
      </c>
      <c r="BT1728" s="4">
        <v>0.37152777777777773</v>
      </c>
      <c r="BU1728" s="2" t="s">
        <v>1872</v>
      </c>
      <c r="BV1728" s="2" t="s">
        <v>85</v>
      </c>
      <c r="BW1728" s="2"/>
      <c r="BX1728" s="2"/>
      <c r="BY1728" s="2">
        <v>1200</v>
      </c>
      <c r="BZ1728" s="2"/>
      <c r="CA1728" s="2" t="s">
        <v>107</v>
      </c>
      <c r="CB1728" s="2"/>
      <c r="CC1728" s="2" t="s">
        <v>99</v>
      </c>
      <c r="CD1728" s="2">
        <v>6001</v>
      </c>
      <c r="CE1728" s="2" t="s">
        <v>108</v>
      </c>
      <c r="CF1728" s="5">
        <v>42663</v>
      </c>
      <c r="CG1728" s="2"/>
      <c r="CH1728" s="2"/>
      <c r="CI1728" s="2">
        <v>1</v>
      </c>
      <c r="CJ1728" s="2">
        <v>1</v>
      </c>
      <c r="CK1728" s="2">
        <v>21</v>
      </c>
      <c r="CL1728" s="2" t="s">
        <v>88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"FES1162507746"</f>
        <v>FES1162507746</v>
      </c>
      <c r="F1729" s="3">
        <v>42662</v>
      </c>
      <c r="G1729" s="2">
        <v>201704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137</v>
      </c>
      <c r="M1729" s="2" t="s">
        <v>138</v>
      </c>
      <c r="N1729" s="2" t="s">
        <v>526</v>
      </c>
      <c r="O1729" s="2" t="s">
        <v>96</v>
      </c>
      <c r="P1729" s="2" t="str">
        <f>"2170528757                    "</f>
        <v xml:space="preserve">2170528757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3.32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</v>
      </c>
      <c r="BJ1729" s="2">
        <v>1</v>
      </c>
      <c r="BK1729" s="2">
        <v>1</v>
      </c>
      <c r="BL1729" s="2">
        <v>40.76</v>
      </c>
      <c r="BM1729" s="2">
        <v>5.71</v>
      </c>
      <c r="BN1729" s="2">
        <v>46.47</v>
      </c>
      <c r="BO1729" s="2">
        <v>46.47</v>
      </c>
      <c r="BP1729" s="2"/>
      <c r="BQ1729" s="2" t="s">
        <v>117</v>
      </c>
      <c r="BR1729" s="2" t="s">
        <v>83</v>
      </c>
      <c r="BS1729" s="3">
        <v>42663</v>
      </c>
      <c r="BT1729" s="4">
        <v>0.40277777777777773</v>
      </c>
      <c r="BU1729" s="2" t="s">
        <v>1372</v>
      </c>
      <c r="BV1729" s="2"/>
      <c r="BW1729" s="2"/>
      <c r="BX1729" s="2"/>
      <c r="BY1729" s="2">
        <v>5168</v>
      </c>
      <c r="BZ1729" s="2"/>
      <c r="CA1729" s="2" t="s">
        <v>1091</v>
      </c>
      <c r="CB1729" s="2"/>
      <c r="CC1729" s="2" t="s">
        <v>138</v>
      </c>
      <c r="CD1729" s="2">
        <v>3201</v>
      </c>
      <c r="CE1729" s="2" t="s">
        <v>368</v>
      </c>
      <c r="CF1729" s="5">
        <v>42663</v>
      </c>
      <c r="CG1729" s="2"/>
      <c r="CH1729" s="2"/>
      <c r="CI1729" s="2">
        <v>0</v>
      </c>
      <c r="CJ1729" s="2">
        <v>0</v>
      </c>
      <c r="CK1729" s="2">
        <v>21</v>
      </c>
      <c r="CL1729" s="2" t="s">
        <v>88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"FES1162507740"</f>
        <v>FES1162507740</v>
      </c>
      <c r="F1730" s="3">
        <v>42662</v>
      </c>
      <c r="G1730" s="2">
        <v>201704</v>
      </c>
      <c r="H1730" s="2" t="s">
        <v>74</v>
      </c>
      <c r="I1730" s="2" t="s">
        <v>75</v>
      </c>
      <c r="J1730" s="2" t="s">
        <v>76</v>
      </c>
      <c r="K1730" s="2" t="s">
        <v>77</v>
      </c>
      <c r="L1730" s="2" t="s">
        <v>160</v>
      </c>
      <c r="M1730" s="2" t="s">
        <v>161</v>
      </c>
      <c r="N1730" s="2" t="s">
        <v>1219</v>
      </c>
      <c r="O1730" s="2" t="s">
        <v>96</v>
      </c>
      <c r="P1730" s="2" t="str">
        <f>"2170528650                    "</f>
        <v xml:space="preserve">2170528650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32.340000000000003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19.399999999999999</v>
      </c>
      <c r="BJ1730" s="2">
        <v>5.8</v>
      </c>
      <c r="BK1730" s="2">
        <v>19.5</v>
      </c>
      <c r="BL1730" s="2">
        <v>397.38</v>
      </c>
      <c r="BM1730" s="2">
        <v>55.63</v>
      </c>
      <c r="BN1730" s="2">
        <v>453.01</v>
      </c>
      <c r="BO1730" s="2">
        <v>453.01</v>
      </c>
      <c r="BP1730" s="2"/>
      <c r="BQ1730" s="2" t="s">
        <v>91</v>
      </c>
      <c r="BR1730" s="2" t="s">
        <v>83</v>
      </c>
      <c r="BS1730" s="3">
        <v>42663</v>
      </c>
      <c r="BT1730" s="4">
        <v>0.41666666666666669</v>
      </c>
      <c r="BU1730" s="2" t="s">
        <v>1903</v>
      </c>
      <c r="BV1730" s="2" t="s">
        <v>85</v>
      </c>
      <c r="BW1730" s="2"/>
      <c r="BX1730" s="2"/>
      <c r="BY1730" s="2">
        <v>28927.01</v>
      </c>
      <c r="BZ1730" s="2"/>
      <c r="CA1730" s="2"/>
      <c r="CB1730" s="2"/>
      <c r="CC1730" s="2" t="s">
        <v>161</v>
      </c>
      <c r="CD1730" s="2">
        <v>7441</v>
      </c>
      <c r="CE1730" s="2" t="s">
        <v>86</v>
      </c>
      <c r="CF1730" s="5">
        <v>42664</v>
      </c>
      <c r="CG1730" s="2"/>
      <c r="CH1730" s="2"/>
      <c r="CI1730" s="2">
        <v>1</v>
      </c>
      <c r="CJ1730" s="2">
        <v>1</v>
      </c>
      <c r="CK1730" s="2">
        <v>21</v>
      </c>
      <c r="CL1730" s="2" t="s">
        <v>88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"FES1162507845"</f>
        <v>FES1162507845</v>
      </c>
      <c r="F1731" s="3">
        <v>42662</v>
      </c>
      <c r="G1731" s="2">
        <v>201704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93</v>
      </c>
      <c r="M1731" s="2" t="s">
        <v>94</v>
      </c>
      <c r="N1731" s="2" t="s">
        <v>536</v>
      </c>
      <c r="O1731" s="2" t="s">
        <v>96</v>
      </c>
      <c r="P1731" s="2" t="str">
        <f>"2170529008                    "</f>
        <v xml:space="preserve">2170529008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3.32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1.1000000000000001</v>
      </c>
      <c r="BJ1731" s="2">
        <v>1</v>
      </c>
      <c r="BK1731" s="2">
        <v>1.5</v>
      </c>
      <c r="BL1731" s="2">
        <v>40.76</v>
      </c>
      <c r="BM1731" s="2">
        <v>5.71</v>
      </c>
      <c r="BN1731" s="2">
        <v>46.47</v>
      </c>
      <c r="BO1731" s="2">
        <v>46.47</v>
      </c>
      <c r="BP1731" s="2"/>
      <c r="BQ1731" s="2" t="s">
        <v>537</v>
      </c>
      <c r="BR1731" s="2" t="s">
        <v>83</v>
      </c>
      <c r="BS1731" s="3">
        <v>42663</v>
      </c>
      <c r="BT1731" s="4">
        <v>0.4375</v>
      </c>
      <c r="BU1731" s="2" t="s">
        <v>538</v>
      </c>
      <c r="BV1731" s="2" t="s">
        <v>85</v>
      </c>
      <c r="BW1731" s="2"/>
      <c r="BX1731" s="2"/>
      <c r="BY1731" s="2">
        <v>5115.47</v>
      </c>
      <c r="BZ1731" s="2"/>
      <c r="CA1731" s="2"/>
      <c r="CB1731" s="2"/>
      <c r="CC1731" s="2" t="s">
        <v>94</v>
      </c>
      <c r="CD1731" s="2">
        <v>4300</v>
      </c>
      <c r="CE1731" s="2" t="s">
        <v>86</v>
      </c>
      <c r="CF1731" s="5">
        <v>42664</v>
      </c>
      <c r="CG1731" s="2"/>
      <c r="CH1731" s="2"/>
      <c r="CI1731" s="2">
        <v>1</v>
      </c>
      <c r="CJ1731" s="2">
        <v>1</v>
      </c>
      <c r="CK1731" s="2">
        <v>21</v>
      </c>
      <c r="CL1731" s="2" t="s">
        <v>88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"FES1162507799"</f>
        <v>FES1162507799</v>
      </c>
      <c r="F1732" s="3">
        <v>42662</v>
      </c>
      <c r="G1732" s="2">
        <v>201704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93</v>
      </c>
      <c r="M1732" s="2" t="s">
        <v>94</v>
      </c>
      <c r="N1732" s="2" t="s">
        <v>130</v>
      </c>
      <c r="O1732" s="2" t="s">
        <v>96</v>
      </c>
      <c r="P1732" s="2" t="str">
        <f>"2170528013                    "</f>
        <v xml:space="preserve">2170528013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3.32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1</v>
      </c>
      <c r="BJ1732" s="2">
        <v>0.2</v>
      </c>
      <c r="BK1732" s="2">
        <v>1</v>
      </c>
      <c r="BL1732" s="2">
        <v>40.76</v>
      </c>
      <c r="BM1732" s="2">
        <v>5.71</v>
      </c>
      <c r="BN1732" s="2">
        <v>46.47</v>
      </c>
      <c r="BO1732" s="2">
        <v>46.47</v>
      </c>
      <c r="BP1732" s="2"/>
      <c r="BQ1732" s="2" t="s">
        <v>131</v>
      </c>
      <c r="BR1732" s="2" t="s">
        <v>83</v>
      </c>
      <c r="BS1732" s="3">
        <v>42663</v>
      </c>
      <c r="BT1732" s="4">
        <v>0.4375</v>
      </c>
      <c r="BU1732" s="2" t="s">
        <v>132</v>
      </c>
      <c r="BV1732" s="2" t="s">
        <v>85</v>
      </c>
      <c r="BW1732" s="2"/>
      <c r="BX1732" s="2"/>
      <c r="BY1732" s="2">
        <v>1200</v>
      </c>
      <c r="BZ1732" s="2"/>
      <c r="CA1732" s="2"/>
      <c r="CB1732" s="2"/>
      <c r="CC1732" s="2" t="s">
        <v>94</v>
      </c>
      <c r="CD1732" s="2">
        <v>4302</v>
      </c>
      <c r="CE1732" s="2" t="s">
        <v>108</v>
      </c>
      <c r="CF1732" s="5">
        <v>42664</v>
      </c>
      <c r="CG1732" s="2"/>
      <c r="CH1732" s="2"/>
      <c r="CI1732" s="2">
        <v>1</v>
      </c>
      <c r="CJ1732" s="2">
        <v>1</v>
      </c>
      <c r="CK1732" s="2">
        <v>21</v>
      </c>
      <c r="CL1732" s="2" t="s">
        <v>88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"FES1162507827"</f>
        <v>FES1162507827</v>
      </c>
      <c r="F1733" s="3">
        <v>42662</v>
      </c>
      <c r="G1733" s="2">
        <v>201704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253</v>
      </c>
      <c r="M1733" s="2" t="s">
        <v>254</v>
      </c>
      <c r="N1733" s="2" t="s">
        <v>255</v>
      </c>
      <c r="O1733" s="2" t="s">
        <v>96</v>
      </c>
      <c r="P1733" s="2" t="str">
        <f>"2170528958                    "</f>
        <v xml:space="preserve">2170528958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10.78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3.3</v>
      </c>
      <c r="BJ1733" s="2">
        <v>0.9</v>
      </c>
      <c r="BK1733" s="2">
        <v>3.5</v>
      </c>
      <c r="BL1733" s="2">
        <v>132.46</v>
      </c>
      <c r="BM1733" s="2">
        <v>18.54</v>
      </c>
      <c r="BN1733" s="2">
        <v>151</v>
      </c>
      <c r="BO1733" s="2">
        <v>151</v>
      </c>
      <c r="BP1733" s="2"/>
      <c r="BQ1733" s="2" t="s">
        <v>117</v>
      </c>
      <c r="BR1733" s="2" t="s">
        <v>83</v>
      </c>
      <c r="BS1733" s="3">
        <v>42663</v>
      </c>
      <c r="BT1733" s="4">
        <v>0.43055555555555558</v>
      </c>
      <c r="BU1733" s="2" t="s">
        <v>974</v>
      </c>
      <c r="BV1733" s="2" t="s">
        <v>85</v>
      </c>
      <c r="BW1733" s="2"/>
      <c r="BX1733" s="2"/>
      <c r="BY1733" s="2">
        <v>4342.3100000000004</v>
      </c>
      <c r="BZ1733" s="2"/>
      <c r="CA1733" s="2"/>
      <c r="CB1733" s="2"/>
      <c r="CC1733" s="2" t="s">
        <v>254</v>
      </c>
      <c r="CD1733" s="2">
        <v>3370</v>
      </c>
      <c r="CE1733" s="2" t="s">
        <v>368</v>
      </c>
      <c r="CF1733" s="5">
        <v>42667</v>
      </c>
      <c r="CG1733" s="2"/>
      <c r="CH1733" s="2"/>
      <c r="CI1733" s="2">
        <v>3</v>
      </c>
      <c r="CJ1733" s="2">
        <v>1</v>
      </c>
      <c r="CK1733" s="2">
        <v>23</v>
      </c>
      <c r="CL1733" s="2" t="s">
        <v>88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"FES1162508025"</f>
        <v>FES1162508025</v>
      </c>
      <c r="F1734" s="3">
        <v>42662</v>
      </c>
      <c r="G1734" s="2">
        <v>201704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98</v>
      </c>
      <c r="M1734" s="2" t="s">
        <v>99</v>
      </c>
      <c r="N1734" s="2" t="s">
        <v>350</v>
      </c>
      <c r="O1734" s="2" t="s">
        <v>96</v>
      </c>
      <c r="P1734" s="2" t="str">
        <f>"2170531346                    "</f>
        <v xml:space="preserve">2170531346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6.63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0.7</v>
      </c>
      <c r="BJ1734" s="2">
        <v>3.9</v>
      </c>
      <c r="BK1734" s="2">
        <v>4</v>
      </c>
      <c r="BL1734" s="2">
        <v>81.510000000000005</v>
      </c>
      <c r="BM1734" s="2">
        <v>11.41</v>
      </c>
      <c r="BN1734" s="2">
        <v>92.92</v>
      </c>
      <c r="BO1734" s="2">
        <v>92.92</v>
      </c>
      <c r="BP1734" s="2"/>
      <c r="BQ1734" s="2" t="s">
        <v>351</v>
      </c>
      <c r="BR1734" s="2" t="s">
        <v>83</v>
      </c>
      <c r="BS1734" s="3">
        <v>42663</v>
      </c>
      <c r="BT1734" s="4">
        <v>0.3125</v>
      </c>
      <c r="BU1734" s="2" t="s">
        <v>637</v>
      </c>
      <c r="BV1734" s="2" t="s">
        <v>85</v>
      </c>
      <c r="BW1734" s="2"/>
      <c r="BX1734" s="2"/>
      <c r="BY1734" s="2">
        <v>19604.97</v>
      </c>
      <c r="BZ1734" s="2"/>
      <c r="CA1734" s="2" t="s">
        <v>107</v>
      </c>
      <c r="CB1734" s="2"/>
      <c r="CC1734" s="2" t="s">
        <v>99</v>
      </c>
      <c r="CD1734" s="2">
        <v>6001</v>
      </c>
      <c r="CE1734" s="2" t="s">
        <v>108</v>
      </c>
      <c r="CF1734" s="5">
        <v>42663</v>
      </c>
      <c r="CG1734" s="2"/>
      <c r="CH1734" s="2"/>
      <c r="CI1734" s="2">
        <v>1</v>
      </c>
      <c r="CJ1734" s="2">
        <v>1</v>
      </c>
      <c r="CK1734" s="2">
        <v>21</v>
      </c>
      <c r="CL1734" s="2" t="s">
        <v>88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"FES1162508041"</f>
        <v>FES1162508041</v>
      </c>
      <c r="F1735" s="3">
        <v>42662</v>
      </c>
      <c r="G1735" s="2">
        <v>201704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143</v>
      </c>
      <c r="M1735" s="2" t="s">
        <v>144</v>
      </c>
      <c r="N1735" s="2" t="s">
        <v>1905</v>
      </c>
      <c r="O1735" s="2" t="s">
        <v>96</v>
      </c>
      <c r="P1735" s="2" t="str">
        <f>"2170531300                    "</f>
        <v xml:space="preserve">2170531300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5.81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1.8</v>
      </c>
      <c r="BJ1735" s="2">
        <v>3.2</v>
      </c>
      <c r="BK1735" s="2">
        <v>3.5</v>
      </c>
      <c r="BL1735" s="2">
        <v>71.33</v>
      </c>
      <c r="BM1735" s="2">
        <v>9.99</v>
      </c>
      <c r="BN1735" s="2">
        <v>81.319999999999993</v>
      </c>
      <c r="BO1735" s="2">
        <v>81.319999999999993</v>
      </c>
      <c r="BP1735" s="2"/>
      <c r="BQ1735" s="2" t="s">
        <v>117</v>
      </c>
      <c r="BR1735" s="2" t="s">
        <v>83</v>
      </c>
      <c r="BS1735" s="3">
        <v>42663</v>
      </c>
      <c r="BT1735" s="4">
        <v>0.4375</v>
      </c>
      <c r="BU1735" s="2" t="s">
        <v>1906</v>
      </c>
      <c r="BV1735" s="2" t="s">
        <v>85</v>
      </c>
      <c r="BW1735" s="2"/>
      <c r="BX1735" s="2"/>
      <c r="BY1735" s="2">
        <v>16193.74</v>
      </c>
      <c r="BZ1735" s="2"/>
      <c r="CA1735" s="2"/>
      <c r="CB1735" s="2"/>
      <c r="CC1735" s="2" t="s">
        <v>144</v>
      </c>
      <c r="CD1735" s="2">
        <v>5201</v>
      </c>
      <c r="CE1735" s="2" t="s">
        <v>86</v>
      </c>
      <c r="CF1735" s="5">
        <v>42667</v>
      </c>
      <c r="CG1735" s="2"/>
      <c r="CH1735" s="2"/>
      <c r="CI1735" s="2">
        <v>1</v>
      </c>
      <c r="CJ1735" s="2">
        <v>1</v>
      </c>
      <c r="CK1735" s="2">
        <v>21</v>
      </c>
      <c r="CL1735" s="2" t="s">
        <v>88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"FES1162508035"</f>
        <v>FES1162508035</v>
      </c>
      <c r="F1736" s="3">
        <v>42662</v>
      </c>
      <c r="G1736" s="2">
        <v>201704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269</v>
      </c>
      <c r="M1736" s="2" t="s">
        <v>270</v>
      </c>
      <c r="N1736" s="2" t="s">
        <v>389</v>
      </c>
      <c r="O1736" s="2" t="s">
        <v>96</v>
      </c>
      <c r="P1736" s="2" t="str">
        <f>"2170529670                    "</f>
        <v xml:space="preserve">2170529670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3.32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0.5</v>
      </c>
      <c r="BJ1736" s="2">
        <v>0.7</v>
      </c>
      <c r="BK1736" s="2">
        <v>1</v>
      </c>
      <c r="BL1736" s="2">
        <v>40.76</v>
      </c>
      <c r="BM1736" s="2">
        <v>5.71</v>
      </c>
      <c r="BN1736" s="2">
        <v>46.47</v>
      </c>
      <c r="BO1736" s="2">
        <v>46.47</v>
      </c>
      <c r="BP1736" s="2"/>
      <c r="BQ1736" s="2" t="s">
        <v>91</v>
      </c>
      <c r="BR1736" s="2" t="s">
        <v>83</v>
      </c>
      <c r="BS1736" s="3">
        <v>42663</v>
      </c>
      <c r="BT1736" s="4">
        <v>0.43402777777777773</v>
      </c>
      <c r="BU1736" s="2" t="s">
        <v>1907</v>
      </c>
      <c r="BV1736" s="2" t="s">
        <v>85</v>
      </c>
      <c r="BW1736" s="2"/>
      <c r="BX1736" s="2"/>
      <c r="BY1736" s="2">
        <v>3276.92</v>
      </c>
      <c r="BZ1736" s="2"/>
      <c r="CA1736" s="2" t="s">
        <v>129</v>
      </c>
      <c r="CB1736" s="2"/>
      <c r="CC1736" s="2" t="s">
        <v>270</v>
      </c>
      <c r="CD1736" s="2">
        <v>3610</v>
      </c>
      <c r="CE1736" s="2" t="s">
        <v>86</v>
      </c>
      <c r="CF1736" s="5">
        <v>42664</v>
      </c>
      <c r="CG1736" s="2"/>
      <c r="CH1736" s="2"/>
      <c r="CI1736" s="2">
        <v>1</v>
      </c>
      <c r="CJ1736" s="2">
        <v>1</v>
      </c>
      <c r="CK1736" s="2">
        <v>21</v>
      </c>
      <c r="CL1736" s="2" t="s">
        <v>88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"FES1162507973"</f>
        <v>FES1162507973</v>
      </c>
      <c r="F1737" s="3">
        <v>42662</v>
      </c>
      <c r="G1737" s="2">
        <v>201704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143</v>
      </c>
      <c r="M1737" s="2" t="s">
        <v>144</v>
      </c>
      <c r="N1737" s="2" t="s">
        <v>1712</v>
      </c>
      <c r="O1737" s="2" t="s">
        <v>96</v>
      </c>
      <c r="P1737" s="2" t="str">
        <f>"2170531057                    "</f>
        <v xml:space="preserve">2170531057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9.1199999999999992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5.2</v>
      </c>
      <c r="BJ1737" s="2">
        <v>3.4</v>
      </c>
      <c r="BK1737" s="2">
        <v>5.5</v>
      </c>
      <c r="BL1737" s="2">
        <v>112.08</v>
      </c>
      <c r="BM1737" s="2">
        <v>15.69</v>
      </c>
      <c r="BN1737" s="2">
        <v>127.77</v>
      </c>
      <c r="BO1737" s="2">
        <v>127.77</v>
      </c>
      <c r="BP1737" s="2"/>
      <c r="BQ1737" s="2" t="s">
        <v>168</v>
      </c>
      <c r="BR1737" s="2" t="s">
        <v>83</v>
      </c>
      <c r="BS1737" s="3">
        <v>42663</v>
      </c>
      <c r="BT1737" s="4">
        <v>0.4375</v>
      </c>
      <c r="BU1737" s="2" t="s">
        <v>1713</v>
      </c>
      <c r="BV1737" s="2" t="s">
        <v>85</v>
      </c>
      <c r="BW1737" s="2"/>
      <c r="BX1737" s="2"/>
      <c r="BY1737" s="2">
        <v>16961.23</v>
      </c>
      <c r="BZ1737" s="2"/>
      <c r="CA1737" s="2"/>
      <c r="CB1737" s="2"/>
      <c r="CC1737" s="2" t="s">
        <v>144</v>
      </c>
      <c r="CD1737" s="2">
        <v>5201</v>
      </c>
      <c r="CE1737" s="2" t="s">
        <v>86</v>
      </c>
      <c r="CF1737" s="5">
        <v>42667</v>
      </c>
      <c r="CG1737" s="2"/>
      <c r="CH1737" s="2"/>
      <c r="CI1737" s="2">
        <v>1</v>
      </c>
      <c r="CJ1737" s="2">
        <v>1</v>
      </c>
      <c r="CK1737" s="2">
        <v>21</v>
      </c>
      <c r="CL1737" s="2" t="s">
        <v>88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"FES1162507803"</f>
        <v>FES1162507803</v>
      </c>
      <c r="F1738" s="3">
        <v>42662</v>
      </c>
      <c r="G1738" s="2">
        <v>201704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153</v>
      </c>
      <c r="M1738" s="2" t="s">
        <v>153</v>
      </c>
      <c r="N1738" s="2" t="s">
        <v>343</v>
      </c>
      <c r="O1738" s="2" t="s">
        <v>96</v>
      </c>
      <c r="P1738" s="2" t="str">
        <f>"2170528208                    "</f>
        <v xml:space="preserve">2170528208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3.32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1</v>
      </c>
      <c r="BJ1738" s="2">
        <v>0.2</v>
      </c>
      <c r="BK1738" s="2">
        <v>1</v>
      </c>
      <c r="BL1738" s="2">
        <v>40.76</v>
      </c>
      <c r="BM1738" s="2">
        <v>5.71</v>
      </c>
      <c r="BN1738" s="2">
        <v>46.47</v>
      </c>
      <c r="BO1738" s="2">
        <v>46.47</v>
      </c>
      <c r="BP1738" s="2"/>
      <c r="BQ1738" s="2" t="s">
        <v>344</v>
      </c>
      <c r="BR1738" s="2" t="s">
        <v>83</v>
      </c>
      <c r="BS1738" s="3">
        <v>42663</v>
      </c>
      <c r="BT1738" s="4">
        <v>0.53125</v>
      </c>
      <c r="BU1738" s="2" t="s">
        <v>720</v>
      </c>
      <c r="BV1738" s="2" t="s">
        <v>85</v>
      </c>
      <c r="BW1738" s="2"/>
      <c r="BX1738" s="2"/>
      <c r="BY1738" s="2">
        <v>1200</v>
      </c>
      <c r="BZ1738" s="2" t="s">
        <v>27</v>
      </c>
      <c r="CA1738" s="2"/>
      <c r="CB1738" s="2"/>
      <c r="CC1738" s="2" t="s">
        <v>153</v>
      </c>
      <c r="CD1738" s="2">
        <v>7646</v>
      </c>
      <c r="CE1738" s="2" t="s">
        <v>108</v>
      </c>
      <c r="CF1738" s="5">
        <v>42664</v>
      </c>
      <c r="CG1738" s="2"/>
      <c r="CH1738" s="2"/>
      <c r="CI1738" s="2">
        <v>1</v>
      </c>
      <c r="CJ1738" s="2">
        <v>1</v>
      </c>
      <c r="CK1738" s="2">
        <v>21</v>
      </c>
      <c r="CL1738" s="2" t="s">
        <v>88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"FES1162507821"</f>
        <v>FES1162507821</v>
      </c>
      <c r="F1739" s="3">
        <v>42662</v>
      </c>
      <c r="G1739" s="2">
        <v>201704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78</v>
      </c>
      <c r="M1739" s="2" t="s">
        <v>79</v>
      </c>
      <c r="N1739" s="2" t="s">
        <v>1180</v>
      </c>
      <c r="O1739" s="2" t="s">
        <v>96</v>
      </c>
      <c r="P1739" s="2" t="str">
        <f>"2170531052                    "</f>
        <v xml:space="preserve">2170531052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3.32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1</v>
      </c>
      <c r="BJ1739" s="2">
        <v>0.2</v>
      </c>
      <c r="BK1739" s="2">
        <v>1</v>
      </c>
      <c r="BL1739" s="2">
        <v>40.76</v>
      </c>
      <c r="BM1739" s="2">
        <v>5.71</v>
      </c>
      <c r="BN1739" s="2">
        <v>46.47</v>
      </c>
      <c r="BO1739" s="2">
        <v>46.47</v>
      </c>
      <c r="BP1739" s="2"/>
      <c r="BQ1739" s="2" t="s">
        <v>1181</v>
      </c>
      <c r="BR1739" s="2" t="s">
        <v>83</v>
      </c>
      <c r="BS1739" s="3">
        <v>42663</v>
      </c>
      <c r="BT1739" s="4">
        <v>0.41666666666666669</v>
      </c>
      <c r="BU1739" s="2" t="s">
        <v>1024</v>
      </c>
      <c r="BV1739" s="2" t="s">
        <v>85</v>
      </c>
      <c r="BW1739" s="2"/>
      <c r="BX1739" s="2"/>
      <c r="BY1739" s="2">
        <v>1200</v>
      </c>
      <c r="BZ1739" s="2" t="s">
        <v>27</v>
      </c>
      <c r="CA1739" s="2"/>
      <c r="CB1739" s="2"/>
      <c r="CC1739" s="2" t="s">
        <v>79</v>
      </c>
      <c r="CD1739" s="2">
        <v>1871</v>
      </c>
      <c r="CE1739" s="2" t="s">
        <v>108</v>
      </c>
      <c r="CF1739" s="5">
        <v>42667</v>
      </c>
      <c r="CG1739" s="2"/>
      <c r="CH1739" s="2"/>
      <c r="CI1739" s="2">
        <v>1</v>
      </c>
      <c r="CJ1739" s="2">
        <v>1</v>
      </c>
      <c r="CK1739" s="2">
        <v>21</v>
      </c>
      <c r="CL1739" s="2" t="s">
        <v>88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"FES1162507834"</f>
        <v>FES1162507834</v>
      </c>
      <c r="F1740" s="3">
        <v>42662</v>
      </c>
      <c r="G1740" s="2">
        <v>201704</v>
      </c>
      <c r="H1740" s="2" t="s">
        <v>74</v>
      </c>
      <c r="I1740" s="2" t="s">
        <v>75</v>
      </c>
      <c r="J1740" s="2" t="s">
        <v>76</v>
      </c>
      <c r="K1740" s="2" t="s">
        <v>77</v>
      </c>
      <c r="L1740" s="2" t="s">
        <v>269</v>
      </c>
      <c r="M1740" s="2" t="s">
        <v>270</v>
      </c>
      <c r="N1740" s="2" t="s">
        <v>417</v>
      </c>
      <c r="O1740" s="2" t="s">
        <v>96</v>
      </c>
      <c r="P1740" s="2" t="str">
        <f>"2170528787                    "</f>
        <v xml:space="preserve">2170528787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3.32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1</v>
      </c>
      <c r="BJ1740" s="2">
        <v>0.2</v>
      </c>
      <c r="BK1740" s="2">
        <v>1</v>
      </c>
      <c r="BL1740" s="2">
        <v>40.76</v>
      </c>
      <c r="BM1740" s="2">
        <v>5.71</v>
      </c>
      <c r="BN1740" s="2">
        <v>46.47</v>
      </c>
      <c r="BO1740" s="2">
        <v>46.47</v>
      </c>
      <c r="BP1740" s="2"/>
      <c r="BQ1740" s="2" t="s">
        <v>418</v>
      </c>
      <c r="BR1740" s="2" t="s">
        <v>83</v>
      </c>
      <c r="BS1740" s="3">
        <v>42663</v>
      </c>
      <c r="BT1740" s="4">
        <v>0.39583333333333331</v>
      </c>
      <c r="BU1740" s="2" t="s">
        <v>1024</v>
      </c>
      <c r="BV1740" s="2" t="s">
        <v>85</v>
      </c>
      <c r="BW1740" s="2"/>
      <c r="BX1740" s="2"/>
      <c r="BY1740" s="2">
        <v>1200</v>
      </c>
      <c r="BZ1740" s="2" t="s">
        <v>27</v>
      </c>
      <c r="CA1740" s="2"/>
      <c r="CB1740" s="2"/>
      <c r="CC1740" s="2" t="s">
        <v>270</v>
      </c>
      <c r="CD1740" s="2">
        <v>3610</v>
      </c>
      <c r="CE1740" s="2" t="s">
        <v>108</v>
      </c>
      <c r="CF1740" s="5">
        <v>42664</v>
      </c>
      <c r="CG1740" s="2"/>
      <c r="CH1740" s="2"/>
      <c r="CI1740" s="2">
        <v>1</v>
      </c>
      <c r="CJ1740" s="2">
        <v>1</v>
      </c>
      <c r="CK1740" s="2">
        <v>21</v>
      </c>
      <c r="CL1740" s="2" t="s">
        <v>88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"FES1162507905"</f>
        <v>FES1162507905</v>
      </c>
      <c r="F1741" s="3">
        <v>42662</v>
      </c>
      <c r="G1741" s="2">
        <v>201704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1122</v>
      </c>
      <c r="M1741" s="2" t="s">
        <v>1123</v>
      </c>
      <c r="N1741" s="2" t="s">
        <v>1908</v>
      </c>
      <c r="O1741" s="2" t="s">
        <v>96</v>
      </c>
      <c r="P1741" s="2" t="str">
        <f>"2170531194                    "</f>
        <v xml:space="preserve">2170531194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3.32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1</v>
      </c>
      <c r="BJ1741" s="2">
        <v>0.2</v>
      </c>
      <c r="BK1741" s="2">
        <v>1</v>
      </c>
      <c r="BL1741" s="2">
        <v>40.76</v>
      </c>
      <c r="BM1741" s="2">
        <v>5.71</v>
      </c>
      <c r="BN1741" s="2">
        <v>46.47</v>
      </c>
      <c r="BO1741" s="2">
        <v>46.47</v>
      </c>
      <c r="BP1741" s="2"/>
      <c r="BQ1741" s="2" t="s">
        <v>82</v>
      </c>
      <c r="BR1741" s="2" t="s">
        <v>83</v>
      </c>
      <c r="BS1741" s="3">
        <v>42663</v>
      </c>
      <c r="BT1741" s="4">
        <v>0.41666666666666669</v>
      </c>
      <c r="BU1741" s="2" t="s">
        <v>84</v>
      </c>
      <c r="BV1741" s="2" t="s">
        <v>85</v>
      </c>
      <c r="BW1741" s="2"/>
      <c r="BX1741" s="2"/>
      <c r="BY1741" s="2">
        <v>1200</v>
      </c>
      <c r="BZ1741" s="2" t="s">
        <v>27</v>
      </c>
      <c r="CA1741" s="2"/>
      <c r="CB1741" s="2"/>
      <c r="CC1741" s="2" t="s">
        <v>1123</v>
      </c>
      <c r="CD1741" s="2">
        <v>1911</v>
      </c>
      <c r="CE1741" s="2" t="s">
        <v>108</v>
      </c>
      <c r="CF1741" s="5">
        <v>42667</v>
      </c>
      <c r="CG1741" s="2"/>
      <c r="CH1741" s="2"/>
      <c r="CI1741" s="2">
        <v>1</v>
      </c>
      <c r="CJ1741" s="2">
        <v>1</v>
      </c>
      <c r="CK1741" s="2">
        <v>21</v>
      </c>
      <c r="CL1741" s="2" t="s">
        <v>88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"FES1162507836"</f>
        <v>FES1162507836</v>
      </c>
      <c r="F1742" s="3">
        <v>42662</v>
      </c>
      <c r="G1742" s="2">
        <v>201704</v>
      </c>
      <c r="H1742" s="2" t="s">
        <v>74</v>
      </c>
      <c r="I1742" s="2" t="s">
        <v>75</v>
      </c>
      <c r="J1742" s="2" t="s">
        <v>76</v>
      </c>
      <c r="K1742" s="2" t="s">
        <v>77</v>
      </c>
      <c r="L1742" s="2" t="s">
        <v>160</v>
      </c>
      <c r="M1742" s="2" t="s">
        <v>161</v>
      </c>
      <c r="N1742" s="2" t="s">
        <v>179</v>
      </c>
      <c r="O1742" s="2" t="s">
        <v>96</v>
      </c>
      <c r="P1742" s="2" t="str">
        <f>"2170528829                    "</f>
        <v xml:space="preserve">2170528829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3.32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1</v>
      </c>
      <c r="BJ1742" s="2">
        <v>0.2</v>
      </c>
      <c r="BK1742" s="2">
        <v>1</v>
      </c>
      <c r="BL1742" s="2">
        <v>40.76</v>
      </c>
      <c r="BM1742" s="2">
        <v>5.71</v>
      </c>
      <c r="BN1742" s="2">
        <v>46.47</v>
      </c>
      <c r="BO1742" s="2">
        <v>46.47</v>
      </c>
      <c r="BP1742" s="2"/>
      <c r="BQ1742" s="2" t="s">
        <v>180</v>
      </c>
      <c r="BR1742" s="2" t="s">
        <v>83</v>
      </c>
      <c r="BS1742" s="3">
        <v>42663</v>
      </c>
      <c r="BT1742" s="4">
        <v>0.41666666666666669</v>
      </c>
      <c r="BU1742" s="2" t="s">
        <v>1909</v>
      </c>
      <c r="BV1742" s="2" t="s">
        <v>85</v>
      </c>
      <c r="BW1742" s="2"/>
      <c r="BX1742" s="2"/>
      <c r="BY1742" s="2">
        <v>1200</v>
      </c>
      <c r="BZ1742" s="2" t="s">
        <v>27</v>
      </c>
      <c r="CA1742" s="2"/>
      <c r="CB1742" s="2"/>
      <c r="CC1742" s="2" t="s">
        <v>161</v>
      </c>
      <c r="CD1742" s="2">
        <v>7405</v>
      </c>
      <c r="CE1742" s="2" t="s">
        <v>108</v>
      </c>
      <c r="CF1742" s="5">
        <v>42664</v>
      </c>
      <c r="CG1742" s="2"/>
      <c r="CH1742" s="2"/>
      <c r="CI1742" s="2">
        <v>1</v>
      </c>
      <c r="CJ1742" s="2">
        <v>1</v>
      </c>
      <c r="CK1742" s="2">
        <v>21</v>
      </c>
      <c r="CL1742" s="2" t="s">
        <v>88</v>
      </c>
      <c r="CM1742" s="2"/>
    </row>
    <row r="1743" spans="1:91">
      <c r="A1743" s="2" t="s">
        <v>71</v>
      </c>
      <c r="B1743" s="2" t="s">
        <v>72</v>
      </c>
      <c r="C1743" s="2" t="s">
        <v>73</v>
      </c>
      <c r="D1743" s="2"/>
      <c r="E1743" s="2" t="str">
        <f>"FES1162507873"</f>
        <v>FES1162507873</v>
      </c>
      <c r="F1743" s="3">
        <v>42662</v>
      </c>
      <c r="G1743" s="2">
        <v>201704</v>
      </c>
      <c r="H1743" s="2" t="s">
        <v>74</v>
      </c>
      <c r="I1743" s="2" t="s">
        <v>75</v>
      </c>
      <c r="J1743" s="2" t="s">
        <v>76</v>
      </c>
      <c r="K1743" s="2" t="s">
        <v>77</v>
      </c>
      <c r="L1743" s="2" t="s">
        <v>269</v>
      </c>
      <c r="M1743" s="2" t="s">
        <v>270</v>
      </c>
      <c r="N1743" s="2" t="s">
        <v>869</v>
      </c>
      <c r="O1743" s="2" t="s">
        <v>96</v>
      </c>
      <c r="P1743" s="2" t="str">
        <f>"2170531171                    "</f>
        <v xml:space="preserve">2170531171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3.32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1</v>
      </c>
      <c r="BJ1743" s="2">
        <v>0.2</v>
      </c>
      <c r="BK1743" s="2">
        <v>1</v>
      </c>
      <c r="BL1743" s="2">
        <v>40.76</v>
      </c>
      <c r="BM1743" s="2">
        <v>5.71</v>
      </c>
      <c r="BN1743" s="2">
        <v>46.47</v>
      </c>
      <c r="BO1743" s="2">
        <v>46.47</v>
      </c>
      <c r="BP1743" s="2"/>
      <c r="BQ1743" s="2" t="s">
        <v>117</v>
      </c>
      <c r="BR1743" s="2" t="s">
        <v>83</v>
      </c>
      <c r="BS1743" s="3">
        <v>42663</v>
      </c>
      <c r="BT1743" s="4">
        <v>0.34861111111111115</v>
      </c>
      <c r="BU1743" s="2" t="s">
        <v>1910</v>
      </c>
      <c r="BV1743" s="2" t="s">
        <v>85</v>
      </c>
      <c r="BW1743" s="2"/>
      <c r="BX1743" s="2"/>
      <c r="BY1743" s="2">
        <v>1200</v>
      </c>
      <c r="BZ1743" s="2" t="s">
        <v>27</v>
      </c>
      <c r="CA1743" s="2"/>
      <c r="CB1743" s="2"/>
      <c r="CC1743" s="2" t="s">
        <v>270</v>
      </c>
      <c r="CD1743" s="2">
        <v>3610</v>
      </c>
      <c r="CE1743" s="2" t="s">
        <v>108</v>
      </c>
      <c r="CF1743" s="5">
        <v>42664</v>
      </c>
      <c r="CG1743" s="2"/>
      <c r="CH1743" s="2"/>
      <c r="CI1743" s="2">
        <v>1</v>
      </c>
      <c r="CJ1743" s="2">
        <v>1</v>
      </c>
      <c r="CK1743" s="2">
        <v>21</v>
      </c>
      <c r="CL1743" s="2" t="s">
        <v>88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"FES1162507672"</f>
        <v>FES1162507672</v>
      </c>
      <c r="F1744" s="3">
        <v>42662</v>
      </c>
      <c r="G1744" s="2">
        <v>201704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98</v>
      </c>
      <c r="M1744" s="2" t="s">
        <v>99</v>
      </c>
      <c r="N1744" s="2" t="s">
        <v>109</v>
      </c>
      <c r="O1744" s="2" t="s">
        <v>96</v>
      </c>
      <c r="P1744" s="2" t="str">
        <f>"2170524371                    "</f>
        <v xml:space="preserve">2170524371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3.32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1</v>
      </c>
      <c r="BJ1744" s="2">
        <v>0.2</v>
      </c>
      <c r="BK1744" s="2">
        <v>1</v>
      </c>
      <c r="BL1744" s="2">
        <v>40.76</v>
      </c>
      <c r="BM1744" s="2">
        <v>5.71</v>
      </c>
      <c r="BN1744" s="2">
        <v>46.47</v>
      </c>
      <c r="BO1744" s="2">
        <v>46.47</v>
      </c>
      <c r="BP1744" s="2"/>
      <c r="BQ1744" s="2" t="s">
        <v>110</v>
      </c>
      <c r="BR1744" s="2" t="s">
        <v>83</v>
      </c>
      <c r="BS1744" s="3">
        <v>42663</v>
      </c>
      <c r="BT1744" s="4">
        <v>0.37152777777777773</v>
      </c>
      <c r="BU1744" s="2" t="s">
        <v>1872</v>
      </c>
      <c r="BV1744" s="2" t="s">
        <v>85</v>
      </c>
      <c r="BW1744" s="2"/>
      <c r="BX1744" s="2"/>
      <c r="BY1744" s="2">
        <v>1200</v>
      </c>
      <c r="BZ1744" s="2" t="s">
        <v>27</v>
      </c>
      <c r="CA1744" s="2" t="s">
        <v>107</v>
      </c>
      <c r="CB1744" s="2"/>
      <c r="CC1744" s="2" t="s">
        <v>99</v>
      </c>
      <c r="CD1744" s="2">
        <v>6001</v>
      </c>
      <c r="CE1744" s="2" t="s">
        <v>108</v>
      </c>
      <c r="CF1744" s="5">
        <v>42663</v>
      </c>
      <c r="CG1744" s="2"/>
      <c r="CH1744" s="2"/>
      <c r="CI1744" s="2">
        <v>1</v>
      </c>
      <c r="CJ1744" s="2">
        <v>1</v>
      </c>
      <c r="CK1744" s="2">
        <v>21</v>
      </c>
      <c r="CL1744" s="2" t="s">
        <v>88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"FES1162507686"</f>
        <v>FES1162507686</v>
      </c>
      <c r="F1745" s="3">
        <v>42662</v>
      </c>
      <c r="G1745" s="2">
        <v>201704</v>
      </c>
      <c r="H1745" s="2" t="s">
        <v>74</v>
      </c>
      <c r="I1745" s="2" t="s">
        <v>75</v>
      </c>
      <c r="J1745" s="2" t="s">
        <v>76</v>
      </c>
      <c r="K1745" s="2" t="s">
        <v>77</v>
      </c>
      <c r="L1745" s="2" t="s">
        <v>269</v>
      </c>
      <c r="M1745" s="2" t="s">
        <v>270</v>
      </c>
      <c r="N1745" s="2" t="s">
        <v>284</v>
      </c>
      <c r="O1745" s="2" t="s">
        <v>96</v>
      </c>
      <c r="P1745" s="2" t="str">
        <f>"2170527426                    "</f>
        <v xml:space="preserve">2170527426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3.32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1</v>
      </c>
      <c r="BJ1745" s="2">
        <v>0.2</v>
      </c>
      <c r="BK1745" s="2">
        <v>1</v>
      </c>
      <c r="BL1745" s="2">
        <v>40.76</v>
      </c>
      <c r="BM1745" s="2">
        <v>5.71</v>
      </c>
      <c r="BN1745" s="2">
        <v>46.47</v>
      </c>
      <c r="BO1745" s="2">
        <v>46.47</v>
      </c>
      <c r="BP1745" s="2"/>
      <c r="BQ1745" s="2" t="s">
        <v>117</v>
      </c>
      <c r="BR1745" s="2" t="s">
        <v>83</v>
      </c>
      <c r="BS1745" s="3">
        <v>42663</v>
      </c>
      <c r="BT1745" s="4">
        <v>0.39930555555555558</v>
      </c>
      <c r="BU1745" s="2" t="s">
        <v>1911</v>
      </c>
      <c r="BV1745" s="2" t="s">
        <v>85</v>
      </c>
      <c r="BW1745" s="2"/>
      <c r="BX1745" s="2"/>
      <c r="BY1745" s="2">
        <v>1200</v>
      </c>
      <c r="BZ1745" s="2" t="s">
        <v>27</v>
      </c>
      <c r="CA1745" s="2"/>
      <c r="CB1745" s="2"/>
      <c r="CC1745" s="2" t="s">
        <v>270</v>
      </c>
      <c r="CD1745" s="2">
        <v>3610</v>
      </c>
      <c r="CE1745" s="2" t="s">
        <v>108</v>
      </c>
      <c r="CF1745" s="5">
        <v>42664</v>
      </c>
      <c r="CG1745" s="2"/>
      <c r="CH1745" s="2"/>
      <c r="CI1745" s="2">
        <v>1</v>
      </c>
      <c r="CJ1745" s="2">
        <v>1</v>
      </c>
      <c r="CK1745" s="2">
        <v>21</v>
      </c>
      <c r="CL1745" s="2" t="s">
        <v>88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"FES1162507730"</f>
        <v>FES1162507730</v>
      </c>
      <c r="F1746" s="3">
        <v>42662</v>
      </c>
      <c r="G1746" s="2">
        <v>201704</v>
      </c>
      <c r="H1746" s="2" t="s">
        <v>74</v>
      </c>
      <c r="I1746" s="2" t="s">
        <v>75</v>
      </c>
      <c r="J1746" s="2" t="s">
        <v>76</v>
      </c>
      <c r="K1746" s="2" t="s">
        <v>77</v>
      </c>
      <c r="L1746" s="2" t="s">
        <v>119</v>
      </c>
      <c r="M1746" s="2" t="s">
        <v>120</v>
      </c>
      <c r="N1746" s="2" t="s">
        <v>186</v>
      </c>
      <c r="O1746" s="2" t="s">
        <v>96</v>
      </c>
      <c r="P1746" s="2" t="str">
        <f>"2170528455                    "</f>
        <v xml:space="preserve">2170528455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3.32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1</v>
      </c>
      <c r="BJ1746" s="2">
        <v>0.2</v>
      </c>
      <c r="BK1746" s="2">
        <v>1</v>
      </c>
      <c r="BL1746" s="2">
        <v>40.76</v>
      </c>
      <c r="BM1746" s="2">
        <v>5.71</v>
      </c>
      <c r="BN1746" s="2">
        <v>46.47</v>
      </c>
      <c r="BO1746" s="2">
        <v>46.47</v>
      </c>
      <c r="BP1746" s="2"/>
      <c r="BQ1746" s="2" t="s">
        <v>187</v>
      </c>
      <c r="BR1746" s="2" t="s">
        <v>83</v>
      </c>
      <c r="BS1746" s="3">
        <v>42663</v>
      </c>
      <c r="BT1746" s="4">
        <v>0.31944444444444448</v>
      </c>
      <c r="BU1746" s="2" t="s">
        <v>627</v>
      </c>
      <c r="BV1746" s="2" t="s">
        <v>85</v>
      </c>
      <c r="BW1746" s="2"/>
      <c r="BX1746" s="2"/>
      <c r="BY1746" s="2">
        <v>1200</v>
      </c>
      <c r="BZ1746" s="2" t="s">
        <v>27</v>
      </c>
      <c r="CA1746" s="2"/>
      <c r="CB1746" s="2"/>
      <c r="CC1746" s="2" t="s">
        <v>120</v>
      </c>
      <c r="CD1746" s="2">
        <v>6229</v>
      </c>
      <c r="CE1746" s="2" t="s">
        <v>108</v>
      </c>
      <c r="CF1746" s="5">
        <v>42664</v>
      </c>
      <c r="CG1746" s="2"/>
      <c r="CH1746" s="2"/>
      <c r="CI1746" s="2">
        <v>1</v>
      </c>
      <c r="CJ1746" s="2">
        <v>1</v>
      </c>
      <c r="CK1746" s="2">
        <v>21</v>
      </c>
      <c r="CL1746" s="2" t="s">
        <v>88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"FES1162507881"</f>
        <v>FES1162507881</v>
      </c>
      <c r="F1747" s="3">
        <v>42662</v>
      </c>
      <c r="G1747" s="2">
        <v>201704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148</v>
      </c>
      <c r="M1747" s="2" t="s">
        <v>149</v>
      </c>
      <c r="N1747" s="2" t="s">
        <v>422</v>
      </c>
      <c r="O1747" s="2" t="s">
        <v>96</v>
      </c>
      <c r="P1747" s="2" t="str">
        <f>"2170531161                    "</f>
        <v xml:space="preserve">2170531161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3.32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1</v>
      </c>
      <c r="BJ1747" s="2">
        <v>0.2</v>
      </c>
      <c r="BK1747" s="2">
        <v>1</v>
      </c>
      <c r="BL1747" s="2">
        <v>40.76</v>
      </c>
      <c r="BM1747" s="2">
        <v>5.71</v>
      </c>
      <c r="BN1747" s="2">
        <v>46.47</v>
      </c>
      <c r="BO1747" s="2">
        <v>46.47</v>
      </c>
      <c r="BP1747" s="2"/>
      <c r="BQ1747" s="2" t="s">
        <v>423</v>
      </c>
      <c r="BR1747" s="2" t="s">
        <v>83</v>
      </c>
      <c r="BS1747" s="3">
        <v>42663</v>
      </c>
      <c r="BT1747" s="4">
        <v>0.4375</v>
      </c>
      <c r="BU1747" s="2" t="s">
        <v>1912</v>
      </c>
      <c r="BV1747" s="2" t="s">
        <v>85</v>
      </c>
      <c r="BW1747" s="2"/>
      <c r="BX1747" s="2"/>
      <c r="BY1747" s="2">
        <v>1200</v>
      </c>
      <c r="BZ1747" s="2" t="s">
        <v>27</v>
      </c>
      <c r="CA1747" s="2" t="s">
        <v>129</v>
      </c>
      <c r="CB1747" s="2"/>
      <c r="CC1747" s="2" t="s">
        <v>149</v>
      </c>
      <c r="CD1747" s="2">
        <v>4052</v>
      </c>
      <c r="CE1747" s="2" t="s">
        <v>108</v>
      </c>
      <c r="CF1747" s="5">
        <v>42664</v>
      </c>
      <c r="CG1747" s="2"/>
      <c r="CH1747" s="2"/>
      <c r="CI1747" s="2">
        <v>1</v>
      </c>
      <c r="CJ1747" s="2">
        <v>1</v>
      </c>
      <c r="CK1747" s="2">
        <v>21</v>
      </c>
      <c r="CL1747" s="2" t="s">
        <v>88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"FES1162507926"</f>
        <v>FES1162507926</v>
      </c>
      <c r="F1748" s="3">
        <v>42662</v>
      </c>
      <c r="G1748" s="2">
        <v>201704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143</v>
      </c>
      <c r="M1748" s="2" t="s">
        <v>144</v>
      </c>
      <c r="N1748" s="2" t="s">
        <v>216</v>
      </c>
      <c r="O1748" s="2" t="s">
        <v>96</v>
      </c>
      <c r="P1748" s="2" t="str">
        <f>"2170531206                    "</f>
        <v xml:space="preserve">2170531206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3.32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1</v>
      </c>
      <c r="BJ1748" s="2">
        <v>0.2</v>
      </c>
      <c r="BK1748" s="2">
        <v>1</v>
      </c>
      <c r="BL1748" s="2">
        <v>40.76</v>
      </c>
      <c r="BM1748" s="2">
        <v>5.71</v>
      </c>
      <c r="BN1748" s="2">
        <v>46.47</v>
      </c>
      <c r="BO1748" s="2">
        <v>46.47</v>
      </c>
      <c r="BP1748" s="2"/>
      <c r="BQ1748" s="2" t="s">
        <v>91</v>
      </c>
      <c r="BR1748" s="2" t="s">
        <v>83</v>
      </c>
      <c r="BS1748" s="3">
        <v>42663</v>
      </c>
      <c r="BT1748" s="4">
        <v>0.41666666666666669</v>
      </c>
      <c r="BU1748" s="2" t="s">
        <v>1913</v>
      </c>
      <c r="BV1748" s="2" t="s">
        <v>85</v>
      </c>
      <c r="BW1748" s="2"/>
      <c r="BX1748" s="2"/>
      <c r="BY1748" s="2">
        <v>1200</v>
      </c>
      <c r="BZ1748" s="2" t="s">
        <v>27</v>
      </c>
      <c r="CA1748" s="2" t="s">
        <v>129</v>
      </c>
      <c r="CB1748" s="2"/>
      <c r="CC1748" s="2" t="s">
        <v>144</v>
      </c>
      <c r="CD1748" s="2">
        <v>5201</v>
      </c>
      <c r="CE1748" s="2" t="s">
        <v>108</v>
      </c>
      <c r="CF1748" s="5">
        <v>42667</v>
      </c>
      <c r="CG1748" s="2"/>
      <c r="CH1748" s="2"/>
      <c r="CI1748" s="2">
        <v>1</v>
      </c>
      <c r="CJ1748" s="2">
        <v>1</v>
      </c>
      <c r="CK1748" s="2">
        <v>21</v>
      </c>
      <c r="CL1748" s="2" t="s">
        <v>88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"FES1162507806"</f>
        <v>FES1162507806</v>
      </c>
      <c r="F1749" s="3">
        <v>42662</v>
      </c>
      <c r="G1749" s="2">
        <v>201704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137</v>
      </c>
      <c r="M1749" s="2" t="s">
        <v>138</v>
      </c>
      <c r="N1749" s="2" t="s">
        <v>203</v>
      </c>
      <c r="O1749" s="2" t="s">
        <v>96</v>
      </c>
      <c r="P1749" s="2" t="str">
        <f>"2170528271                    "</f>
        <v xml:space="preserve">2170528271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3.32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1</v>
      </c>
      <c r="BJ1749" s="2">
        <v>0.2</v>
      </c>
      <c r="BK1749" s="2">
        <v>1</v>
      </c>
      <c r="BL1749" s="2">
        <v>40.76</v>
      </c>
      <c r="BM1749" s="2">
        <v>5.71</v>
      </c>
      <c r="BN1749" s="2">
        <v>46.47</v>
      </c>
      <c r="BO1749" s="2">
        <v>46.47</v>
      </c>
      <c r="BP1749" s="2"/>
      <c r="BQ1749" s="2" t="s">
        <v>168</v>
      </c>
      <c r="BR1749" s="2" t="s">
        <v>83</v>
      </c>
      <c r="BS1749" s="3">
        <v>42663</v>
      </c>
      <c r="BT1749" s="4">
        <v>0.41736111111111113</v>
      </c>
      <c r="BU1749" s="2" t="s">
        <v>768</v>
      </c>
      <c r="BV1749" s="2"/>
      <c r="BW1749" s="2"/>
      <c r="BX1749" s="2"/>
      <c r="BY1749" s="2">
        <v>1200</v>
      </c>
      <c r="BZ1749" s="2" t="s">
        <v>27</v>
      </c>
      <c r="CA1749" s="2" t="s">
        <v>613</v>
      </c>
      <c r="CB1749" s="2"/>
      <c r="CC1749" s="2" t="s">
        <v>138</v>
      </c>
      <c r="CD1749" s="2">
        <v>3201</v>
      </c>
      <c r="CE1749" s="2" t="s">
        <v>108</v>
      </c>
      <c r="CF1749" s="5">
        <v>42663</v>
      </c>
      <c r="CG1749" s="2"/>
      <c r="CH1749" s="2"/>
      <c r="CI1749" s="2">
        <v>0</v>
      </c>
      <c r="CJ1749" s="2">
        <v>0</v>
      </c>
      <c r="CK1749" s="2">
        <v>21</v>
      </c>
      <c r="CL1749" s="2" t="s">
        <v>88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"FES1162507898"</f>
        <v>FES1162507898</v>
      </c>
      <c r="F1750" s="3">
        <v>42662</v>
      </c>
      <c r="G1750" s="2">
        <v>201704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98</v>
      </c>
      <c r="M1750" s="2" t="s">
        <v>99</v>
      </c>
      <c r="N1750" s="2" t="s">
        <v>239</v>
      </c>
      <c r="O1750" s="2" t="s">
        <v>96</v>
      </c>
      <c r="P1750" s="2" t="str">
        <f>"2170531182                    "</f>
        <v xml:space="preserve">2170531182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3.32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1</v>
      </c>
      <c r="BJ1750" s="2">
        <v>0.2</v>
      </c>
      <c r="BK1750" s="2">
        <v>1</v>
      </c>
      <c r="BL1750" s="2">
        <v>40.76</v>
      </c>
      <c r="BM1750" s="2">
        <v>5.71</v>
      </c>
      <c r="BN1750" s="2">
        <v>46.47</v>
      </c>
      <c r="BO1750" s="2">
        <v>46.47</v>
      </c>
      <c r="BP1750" s="2"/>
      <c r="BQ1750" s="2" t="s">
        <v>240</v>
      </c>
      <c r="BR1750" s="2" t="s">
        <v>83</v>
      </c>
      <c r="BS1750" s="3">
        <v>42663</v>
      </c>
      <c r="BT1750" s="4">
        <v>0.40347222222222223</v>
      </c>
      <c r="BU1750" s="2" t="s">
        <v>956</v>
      </c>
      <c r="BV1750" s="2" t="s">
        <v>85</v>
      </c>
      <c r="BW1750" s="2"/>
      <c r="BX1750" s="2"/>
      <c r="BY1750" s="2">
        <v>1200</v>
      </c>
      <c r="BZ1750" s="2" t="s">
        <v>27</v>
      </c>
      <c r="CA1750" s="2" t="s">
        <v>129</v>
      </c>
      <c r="CB1750" s="2"/>
      <c r="CC1750" s="2" t="s">
        <v>99</v>
      </c>
      <c r="CD1750" s="2">
        <v>6001</v>
      </c>
      <c r="CE1750" s="2" t="s">
        <v>108</v>
      </c>
      <c r="CF1750" s="5">
        <v>42664</v>
      </c>
      <c r="CG1750" s="2"/>
      <c r="CH1750" s="2"/>
      <c r="CI1750" s="2">
        <v>1</v>
      </c>
      <c r="CJ1750" s="2">
        <v>1</v>
      </c>
      <c r="CK1750" s="2">
        <v>21</v>
      </c>
      <c r="CL1750" s="2" t="s">
        <v>88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"FES1162507724"</f>
        <v>FES1162507724</v>
      </c>
      <c r="F1751" s="3">
        <v>42662</v>
      </c>
      <c r="G1751" s="2">
        <v>201704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1567</v>
      </c>
      <c r="M1751" s="2" t="s">
        <v>1568</v>
      </c>
      <c r="N1751" s="2" t="s">
        <v>312</v>
      </c>
      <c r="O1751" s="2" t="s">
        <v>96</v>
      </c>
      <c r="P1751" s="2" t="str">
        <f>"2170528383                    "</f>
        <v xml:space="preserve">2170528383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6.43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1</v>
      </c>
      <c r="BJ1751" s="2">
        <v>0.2</v>
      </c>
      <c r="BK1751" s="2">
        <v>1</v>
      </c>
      <c r="BL1751" s="2">
        <v>78.97</v>
      </c>
      <c r="BM1751" s="2">
        <v>11.06</v>
      </c>
      <c r="BN1751" s="2">
        <v>90.03</v>
      </c>
      <c r="BO1751" s="2">
        <v>90.03</v>
      </c>
      <c r="BP1751" s="2"/>
      <c r="BQ1751" s="2" t="s">
        <v>117</v>
      </c>
      <c r="BR1751" s="2" t="s">
        <v>83</v>
      </c>
      <c r="BS1751" s="3">
        <v>42663</v>
      </c>
      <c r="BT1751" s="4">
        <v>0.4375</v>
      </c>
      <c r="BU1751" s="2" t="s">
        <v>1914</v>
      </c>
      <c r="BV1751" s="2" t="s">
        <v>85</v>
      </c>
      <c r="BW1751" s="2"/>
      <c r="BX1751" s="2"/>
      <c r="BY1751" s="2">
        <v>1200</v>
      </c>
      <c r="BZ1751" s="2" t="s">
        <v>27</v>
      </c>
      <c r="CA1751" s="2" t="s">
        <v>129</v>
      </c>
      <c r="CB1751" s="2"/>
      <c r="CC1751" s="2" t="s">
        <v>1568</v>
      </c>
      <c r="CD1751" s="2">
        <v>4449</v>
      </c>
      <c r="CE1751" s="2" t="s">
        <v>108</v>
      </c>
      <c r="CF1751" s="5">
        <v>42664</v>
      </c>
      <c r="CG1751" s="2"/>
      <c r="CH1751" s="2"/>
      <c r="CI1751" s="2">
        <v>1</v>
      </c>
      <c r="CJ1751" s="2">
        <v>1</v>
      </c>
      <c r="CK1751" s="2">
        <v>23</v>
      </c>
      <c r="CL1751" s="2" t="s">
        <v>88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"FES1162507930"</f>
        <v>FES1162507930</v>
      </c>
      <c r="F1752" s="3">
        <v>42662</v>
      </c>
      <c r="G1752" s="2">
        <v>201704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148</v>
      </c>
      <c r="M1752" s="2" t="s">
        <v>149</v>
      </c>
      <c r="N1752" s="2" t="s">
        <v>913</v>
      </c>
      <c r="O1752" s="2" t="s">
        <v>96</v>
      </c>
      <c r="P1752" s="2" t="str">
        <f>"2170531226                    "</f>
        <v xml:space="preserve">2170531226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3.32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1</v>
      </c>
      <c r="BJ1752" s="2">
        <v>0.2</v>
      </c>
      <c r="BK1752" s="2">
        <v>1</v>
      </c>
      <c r="BL1752" s="2">
        <v>40.76</v>
      </c>
      <c r="BM1752" s="2">
        <v>5.71</v>
      </c>
      <c r="BN1752" s="2">
        <v>46.47</v>
      </c>
      <c r="BO1752" s="2">
        <v>46.47</v>
      </c>
      <c r="BP1752" s="2"/>
      <c r="BQ1752" s="2" t="s">
        <v>914</v>
      </c>
      <c r="BR1752" s="2" t="s">
        <v>83</v>
      </c>
      <c r="BS1752" s="3">
        <v>42663</v>
      </c>
      <c r="BT1752" s="4">
        <v>0.4375</v>
      </c>
      <c r="BU1752" s="2" t="s">
        <v>1915</v>
      </c>
      <c r="BV1752" s="2"/>
      <c r="BW1752" s="2"/>
      <c r="BX1752" s="2"/>
      <c r="BY1752" s="2">
        <v>1200</v>
      </c>
      <c r="BZ1752" s="2" t="s">
        <v>27</v>
      </c>
      <c r="CA1752" s="2"/>
      <c r="CB1752" s="2"/>
      <c r="CC1752" s="2" t="s">
        <v>149</v>
      </c>
      <c r="CD1752" s="2">
        <v>4001</v>
      </c>
      <c r="CE1752" s="2" t="s">
        <v>108</v>
      </c>
      <c r="CF1752" s="5">
        <v>42664</v>
      </c>
      <c r="CG1752" s="2"/>
      <c r="CH1752" s="2"/>
      <c r="CI1752" s="2">
        <v>0</v>
      </c>
      <c r="CJ1752" s="2">
        <v>0</v>
      </c>
      <c r="CK1752" s="2">
        <v>21</v>
      </c>
      <c r="CL1752" s="2" t="s">
        <v>88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"FES1162507765"</f>
        <v>FES1162507765</v>
      </c>
      <c r="F1753" s="3">
        <v>42662</v>
      </c>
      <c r="G1753" s="2">
        <v>201704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137</v>
      </c>
      <c r="M1753" s="2" t="s">
        <v>138</v>
      </c>
      <c r="N1753" s="2" t="s">
        <v>1916</v>
      </c>
      <c r="O1753" s="2" t="s">
        <v>96</v>
      </c>
      <c r="P1753" s="2" t="str">
        <f>"2170529082                    "</f>
        <v xml:space="preserve">2170529082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3.32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</v>
      </c>
      <c r="BJ1753" s="2">
        <v>0.2</v>
      </c>
      <c r="BK1753" s="2">
        <v>1</v>
      </c>
      <c r="BL1753" s="2">
        <v>40.76</v>
      </c>
      <c r="BM1753" s="2">
        <v>5.71</v>
      </c>
      <c r="BN1753" s="2">
        <v>46.47</v>
      </c>
      <c r="BO1753" s="2">
        <v>46.47</v>
      </c>
      <c r="BP1753" s="2"/>
      <c r="BQ1753" s="2" t="s">
        <v>168</v>
      </c>
      <c r="BR1753" s="2" t="s">
        <v>83</v>
      </c>
      <c r="BS1753" s="3">
        <v>42663</v>
      </c>
      <c r="BT1753" s="4">
        <v>0.4236111111111111</v>
      </c>
      <c r="BU1753" s="2" t="s">
        <v>1917</v>
      </c>
      <c r="BV1753" s="2"/>
      <c r="BW1753" s="2"/>
      <c r="BX1753" s="2"/>
      <c r="BY1753" s="2">
        <v>1200</v>
      </c>
      <c r="BZ1753" s="2" t="s">
        <v>27</v>
      </c>
      <c r="CA1753" s="2" t="s">
        <v>142</v>
      </c>
      <c r="CB1753" s="2"/>
      <c r="CC1753" s="2" t="s">
        <v>138</v>
      </c>
      <c r="CD1753" s="2">
        <v>3201</v>
      </c>
      <c r="CE1753" s="2" t="s">
        <v>108</v>
      </c>
      <c r="CF1753" s="5">
        <v>42663</v>
      </c>
      <c r="CG1753" s="2"/>
      <c r="CH1753" s="2"/>
      <c r="CI1753" s="2">
        <v>0</v>
      </c>
      <c r="CJ1753" s="2">
        <v>0</v>
      </c>
      <c r="CK1753" s="2">
        <v>21</v>
      </c>
      <c r="CL1753" s="2" t="s">
        <v>88</v>
      </c>
      <c r="CM1753" s="2"/>
    </row>
    <row r="1754" spans="1:91">
      <c r="A1754" s="2" t="s">
        <v>71</v>
      </c>
      <c r="B1754" s="2" t="s">
        <v>72</v>
      </c>
      <c r="C1754" s="2" t="s">
        <v>73</v>
      </c>
      <c r="D1754" s="2"/>
      <c r="E1754" s="2" t="str">
        <f>"FES1162507843"</f>
        <v>FES1162507843</v>
      </c>
      <c r="F1754" s="3">
        <v>42662</v>
      </c>
      <c r="G1754" s="2">
        <v>201704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143</v>
      </c>
      <c r="M1754" s="2" t="s">
        <v>144</v>
      </c>
      <c r="N1754" s="2" t="s">
        <v>909</v>
      </c>
      <c r="O1754" s="2" t="s">
        <v>96</v>
      </c>
      <c r="P1754" s="2" t="str">
        <f>"2170528973                    "</f>
        <v xml:space="preserve">2170528973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3.32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1</v>
      </c>
      <c r="BJ1754" s="2">
        <v>0.2</v>
      </c>
      <c r="BK1754" s="2">
        <v>1</v>
      </c>
      <c r="BL1754" s="2">
        <v>40.76</v>
      </c>
      <c r="BM1754" s="2">
        <v>5.71</v>
      </c>
      <c r="BN1754" s="2">
        <v>46.47</v>
      </c>
      <c r="BO1754" s="2">
        <v>46.47</v>
      </c>
      <c r="BP1754" s="2"/>
      <c r="BQ1754" s="2" t="s">
        <v>247</v>
      </c>
      <c r="BR1754" s="2" t="s">
        <v>83</v>
      </c>
      <c r="BS1754" s="3">
        <v>42663</v>
      </c>
      <c r="BT1754" s="4">
        <v>0.4375</v>
      </c>
      <c r="BU1754" s="2" t="s">
        <v>326</v>
      </c>
      <c r="BV1754" s="2"/>
      <c r="BW1754" s="2"/>
      <c r="BX1754" s="2"/>
      <c r="BY1754" s="2">
        <v>1200</v>
      </c>
      <c r="BZ1754" s="2" t="s">
        <v>27</v>
      </c>
      <c r="CA1754" s="2"/>
      <c r="CB1754" s="2"/>
      <c r="CC1754" s="2" t="s">
        <v>144</v>
      </c>
      <c r="CD1754" s="2">
        <v>5201</v>
      </c>
      <c r="CE1754" s="2" t="s">
        <v>108</v>
      </c>
      <c r="CF1754" s="5">
        <v>42667</v>
      </c>
      <c r="CG1754" s="2"/>
      <c r="CH1754" s="2"/>
      <c r="CI1754" s="2">
        <v>0</v>
      </c>
      <c r="CJ1754" s="2">
        <v>0</v>
      </c>
      <c r="CK1754" s="2">
        <v>21</v>
      </c>
      <c r="CL1754" s="2" t="s">
        <v>88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"FES1162507687"</f>
        <v>FES1162507687</v>
      </c>
      <c r="F1755" s="3">
        <v>42662</v>
      </c>
      <c r="G1755" s="2">
        <v>201704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98</v>
      </c>
      <c r="M1755" s="2" t="s">
        <v>99</v>
      </c>
      <c r="N1755" s="2" t="s">
        <v>109</v>
      </c>
      <c r="O1755" s="2" t="s">
        <v>96</v>
      </c>
      <c r="P1755" s="2" t="str">
        <f>"2170527675                    "</f>
        <v xml:space="preserve">2170527675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3.32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1</v>
      </c>
      <c r="BJ1755" s="2">
        <v>0.2</v>
      </c>
      <c r="BK1755" s="2">
        <v>1</v>
      </c>
      <c r="BL1755" s="2">
        <v>40.76</v>
      </c>
      <c r="BM1755" s="2">
        <v>5.71</v>
      </c>
      <c r="BN1755" s="2">
        <v>46.47</v>
      </c>
      <c r="BO1755" s="2">
        <v>46.47</v>
      </c>
      <c r="BP1755" s="2"/>
      <c r="BQ1755" s="2" t="s">
        <v>110</v>
      </c>
      <c r="BR1755" s="2" t="s">
        <v>83</v>
      </c>
      <c r="BS1755" s="3">
        <v>42663</v>
      </c>
      <c r="BT1755" s="4">
        <v>0.37152777777777773</v>
      </c>
      <c r="BU1755" s="2" t="s">
        <v>1872</v>
      </c>
      <c r="BV1755" s="2" t="s">
        <v>85</v>
      </c>
      <c r="BW1755" s="2"/>
      <c r="BX1755" s="2"/>
      <c r="BY1755" s="2">
        <v>1200</v>
      </c>
      <c r="BZ1755" s="2" t="s">
        <v>27</v>
      </c>
      <c r="CA1755" s="2" t="s">
        <v>107</v>
      </c>
      <c r="CB1755" s="2"/>
      <c r="CC1755" s="2" t="s">
        <v>99</v>
      </c>
      <c r="CD1755" s="2">
        <v>6001</v>
      </c>
      <c r="CE1755" s="2" t="s">
        <v>108</v>
      </c>
      <c r="CF1755" s="5">
        <v>42663</v>
      </c>
      <c r="CG1755" s="2"/>
      <c r="CH1755" s="2"/>
      <c r="CI1755" s="2">
        <v>1</v>
      </c>
      <c r="CJ1755" s="2">
        <v>1</v>
      </c>
      <c r="CK1755" s="2">
        <v>21</v>
      </c>
      <c r="CL1755" s="2" t="s">
        <v>88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"FES1162507726"</f>
        <v>FES1162507726</v>
      </c>
      <c r="F1756" s="3">
        <v>42662</v>
      </c>
      <c r="G1756" s="2">
        <v>201704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98</v>
      </c>
      <c r="M1756" s="2" t="s">
        <v>99</v>
      </c>
      <c r="N1756" s="2" t="s">
        <v>330</v>
      </c>
      <c r="O1756" s="2" t="s">
        <v>96</v>
      </c>
      <c r="P1756" s="2" t="str">
        <f>"2170528408                    "</f>
        <v xml:space="preserve">2170528408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3.32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</v>
      </c>
      <c r="BJ1756" s="2">
        <v>0.2</v>
      </c>
      <c r="BK1756" s="2">
        <v>1</v>
      </c>
      <c r="BL1756" s="2">
        <v>40.76</v>
      </c>
      <c r="BM1756" s="2">
        <v>5.71</v>
      </c>
      <c r="BN1756" s="2">
        <v>46.47</v>
      </c>
      <c r="BO1756" s="2">
        <v>46.47</v>
      </c>
      <c r="BP1756" s="2"/>
      <c r="BQ1756" s="2" t="s">
        <v>331</v>
      </c>
      <c r="BR1756" s="2" t="s">
        <v>83</v>
      </c>
      <c r="BS1756" s="3">
        <v>42663</v>
      </c>
      <c r="BT1756" s="4">
        <v>0.4291666666666667</v>
      </c>
      <c r="BU1756" s="2" t="s">
        <v>332</v>
      </c>
      <c r="BV1756" s="2" t="s">
        <v>85</v>
      </c>
      <c r="BW1756" s="2"/>
      <c r="BX1756" s="2"/>
      <c r="BY1756" s="2">
        <v>1200</v>
      </c>
      <c r="BZ1756" s="2" t="s">
        <v>27</v>
      </c>
      <c r="CA1756" s="2" t="s">
        <v>333</v>
      </c>
      <c r="CB1756" s="2"/>
      <c r="CC1756" s="2" t="s">
        <v>99</v>
      </c>
      <c r="CD1756" s="2">
        <v>6070</v>
      </c>
      <c r="CE1756" s="2" t="s">
        <v>108</v>
      </c>
      <c r="CF1756" s="5">
        <v>42664</v>
      </c>
      <c r="CG1756" s="2"/>
      <c r="CH1756" s="2"/>
      <c r="CI1756" s="2">
        <v>1</v>
      </c>
      <c r="CJ1756" s="2">
        <v>1</v>
      </c>
      <c r="CK1756" s="2">
        <v>21</v>
      </c>
      <c r="CL1756" s="2" t="s">
        <v>88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"FES1162507942"</f>
        <v>FES1162507942</v>
      </c>
      <c r="F1757" s="3">
        <v>42662</v>
      </c>
      <c r="G1757" s="2">
        <v>201704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98</v>
      </c>
      <c r="M1757" s="2" t="s">
        <v>99</v>
      </c>
      <c r="N1757" s="2" t="s">
        <v>176</v>
      </c>
      <c r="O1757" s="2" t="s">
        <v>96</v>
      </c>
      <c r="P1757" s="2" t="str">
        <f>"2170531241                    "</f>
        <v xml:space="preserve">2170531241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3.32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40.76</v>
      </c>
      <c r="BM1757" s="2">
        <v>5.71</v>
      </c>
      <c r="BN1757" s="2">
        <v>46.47</v>
      </c>
      <c r="BO1757" s="2">
        <v>46.47</v>
      </c>
      <c r="BP1757" s="2"/>
      <c r="BQ1757" s="2" t="s">
        <v>91</v>
      </c>
      <c r="BR1757" s="2" t="s">
        <v>83</v>
      </c>
      <c r="BS1757" s="3">
        <v>42663</v>
      </c>
      <c r="BT1757" s="4">
        <v>0.4368055555555555</v>
      </c>
      <c r="BU1757" s="2" t="s">
        <v>724</v>
      </c>
      <c r="BV1757" s="2" t="s">
        <v>85</v>
      </c>
      <c r="BW1757" s="2"/>
      <c r="BX1757" s="2"/>
      <c r="BY1757" s="2">
        <v>1200</v>
      </c>
      <c r="BZ1757" s="2" t="s">
        <v>27</v>
      </c>
      <c r="CA1757" s="2" t="s">
        <v>129</v>
      </c>
      <c r="CB1757" s="2"/>
      <c r="CC1757" s="2" t="s">
        <v>99</v>
      </c>
      <c r="CD1757" s="2">
        <v>6020</v>
      </c>
      <c r="CE1757" s="2" t="s">
        <v>108</v>
      </c>
      <c r="CF1757" s="5">
        <v>42664</v>
      </c>
      <c r="CG1757" s="2"/>
      <c r="CH1757" s="2"/>
      <c r="CI1757" s="2">
        <v>1</v>
      </c>
      <c r="CJ1757" s="2">
        <v>1</v>
      </c>
      <c r="CK1757" s="2">
        <v>21</v>
      </c>
      <c r="CL1757" s="2" t="s">
        <v>88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"FES1162507817"</f>
        <v>FES1162507817</v>
      </c>
      <c r="F1758" s="3">
        <v>42662</v>
      </c>
      <c r="G1758" s="2">
        <v>201704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98</v>
      </c>
      <c r="M1758" s="2" t="s">
        <v>99</v>
      </c>
      <c r="N1758" s="2" t="s">
        <v>224</v>
      </c>
      <c r="O1758" s="2" t="s">
        <v>96</v>
      </c>
      <c r="P1758" s="2" t="str">
        <f>"2170528740                    "</f>
        <v xml:space="preserve">2170528740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3.32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1</v>
      </c>
      <c r="BJ1758" s="2">
        <v>0.2</v>
      </c>
      <c r="BK1758" s="2">
        <v>1</v>
      </c>
      <c r="BL1758" s="2">
        <v>40.76</v>
      </c>
      <c r="BM1758" s="2">
        <v>5.71</v>
      </c>
      <c r="BN1758" s="2">
        <v>46.47</v>
      </c>
      <c r="BO1758" s="2">
        <v>46.47</v>
      </c>
      <c r="BP1758" s="2"/>
      <c r="BQ1758" s="2" t="s">
        <v>1403</v>
      </c>
      <c r="BR1758" s="2" t="s">
        <v>83</v>
      </c>
      <c r="BS1758" s="3">
        <v>42663</v>
      </c>
      <c r="BT1758" s="4">
        <v>0.31805555555555554</v>
      </c>
      <c r="BU1758" s="2" t="s">
        <v>956</v>
      </c>
      <c r="BV1758" s="2" t="s">
        <v>85</v>
      </c>
      <c r="BW1758" s="2"/>
      <c r="BX1758" s="2"/>
      <c r="BY1758" s="2">
        <v>1200</v>
      </c>
      <c r="BZ1758" s="2" t="s">
        <v>27</v>
      </c>
      <c r="CA1758" s="2" t="s">
        <v>129</v>
      </c>
      <c r="CB1758" s="2"/>
      <c r="CC1758" s="2" t="s">
        <v>99</v>
      </c>
      <c r="CD1758" s="2">
        <v>6001</v>
      </c>
      <c r="CE1758" s="2" t="s">
        <v>108</v>
      </c>
      <c r="CF1758" s="5">
        <v>42664</v>
      </c>
      <c r="CG1758" s="2"/>
      <c r="CH1758" s="2"/>
      <c r="CI1758" s="2">
        <v>1</v>
      </c>
      <c r="CJ1758" s="2">
        <v>1</v>
      </c>
      <c r="CK1758" s="2">
        <v>21</v>
      </c>
      <c r="CL1758" s="2" t="s">
        <v>88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"FES1162507962"</f>
        <v>FES1162507962</v>
      </c>
      <c r="F1759" s="3">
        <v>42662</v>
      </c>
      <c r="G1759" s="2">
        <v>201704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98</v>
      </c>
      <c r="M1759" s="2" t="s">
        <v>99</v>
      </c>
      <c r="N1759" s="2" t="s">
        <v>1918</v>
      </c>
      <c r="O1759" s="2" t="s">
        <v>96</v>
      </c>
      <c r="P1759" s="2" t="str">
        <f>"2170530807                    "</f>
        <v xml:space="preserve">2170530807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3.32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1</v>
      </c>
      <c r="BJ1759" s="2">
        <v>0.2</v>
      </c>
      <c r="BK1759" s="2">
        <v>1</v>
      </c>
      <c r="BL1759" s="2">
        <v>40.76</v>
      </c>
      <c r="BM1759" s="2">
        <v>5.71</v>
      </c>
      <c r="BN1759" s="2">
        <v>46.47</v>
      </c>
      <c r="BO1759" s="2">
        <v>46.47</v>
      </c>
      <c r="BP1759" s="2"/>
      <c r="BQ1759" s="2" t="s">
        <v>91</v>
      </c>
      <c r="BR1759" s="2" t="s">
        <v>83</v>
      </c>
      <c r="BS1759" s="3">
        <v>42663</v>
      </c>
      <c r="BT1759" s="4">
        <v>0.53472222222222221</v>
      </c>
      <c r="BU1759" s="2" t="s">
        <v>1919</v>
      </c>
      <c r="BV1759" s="2" t="s">
        <v>88</v>
      </c>
      <c r="BW1759" s="2" t="s">
        <v>222</v>
      </c>
      <c r="BX1759" s="2" t="s">
        <v>250</v>
      </c>
      <c r="BY1759" s="2">
        <v>1200</v>
      </c>
      <c r="BZ1759" s="2" t="s">
        <v>27</v>
      </c>
      <c r="CA1759" s="2"/>
      <c r="CB1759" s="2"/>
      <c r="CC1759" s="2" t="s">
        <v>99</v>
      </c>
      <c r="CD1759" s="2">
        <v>6001</v>
      </c>
      <c r="CE1759" s="2" t="s">
        <v>108</v>
      </c>
      <c r="CF1759" s="5">
        <v>42664</v>
      </c>
      <c r="CG1759" s="2"/>
      <c r="CH1759" s="2"/>
      <c r="CI1759" s="2">
        <v>1</v>
      </c>
      <c r="CJ1759" s="2">
        <v>1</v>
      </c>
      <c r="CK1759" s="2">
        <v>21</v>
      </c>
      <c r="CL1759" s="2" t="s">
        <v>88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"FES1162507770"</f>
        <v>FES1162507770</v>
      </c>
      <c r="F1760" s="3">
        <v>42662</v>
      </c>
      <c r="G1760" s="2">
        <v>201704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98</v>
      </c>
      <c r="M1760" s="2" t="s">
        <v>99</v>
      </c>
      <c r="N1760" s="2" t="s">
        <v>1687</v>
      </c>
      <c r="O1760" s="2" t="s">
        <v>96</v>
      </c>
      <c r="P1760" s="2" t="str">
        <f>"2170529493                    "</f>
        <v xml:space="preserve">2170529493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3.32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1</v>
      </c>
      <c r="BJ1760" s="2">
        <v>0.2</v>
      </c>
      <c r="BK1760" s="2">
        <v>1</v>
      </c>
      <c r="BL1760" s="2">
        <v>40.76</v>
      </c>
      <c r="BM1760" s="2">
        <v>5.71</v>
      </c>
      <c r="BN1760" s="2">
        <v>46.47</v>
      </c>
      <c r="BO1760" s="2">
        <v>46.47</v>
      </c>
      <c r="BP1760" s="2"/>
      <c r="BQ1760" s="2" t="s">
        <v>1688</v>
      </c>
      <c r="BR1760" s="2" t="s">
        <v>83</v>
      </c>
      <c r="BS1760" s="3">
        <v>42663</v>
      </c>
      <c r="BT1760" s="4">
        <v>0.40138888888888885</v>
      </c>
      <c r="BU1760" s="2" t="s">
        <v>956</v>
      </c>
      <c r="BV1760" s="2" t="s">
        <v>85</v>
      </c>
      <c r="BW1760" s="2"/>
      <c r="BX1760" s="2"/>
      <c r="BY1760" s="2">
        <v>1200</v>
      </c>
      <c r="BZ1760" s="2" t="s">
        <v>27</v>
      </c>
      <c r="CA1760" s="2" t="s">
        <v>129</v>
      </c>
      <c r="CB1760" s="2"/>
      <c r="CC1760" s="2" t="s">
        <v>99</v>
      </c>
      <c r="CD1760" s="2">
        <v>6001</v>
      </c>
      <c r="CE1760" s="2" t="s">
        <v>108</v>
      </c>
      <c r="CF1760" s="5">
        <v>42664</v>
      </c>
      <c r="CG1760" s="2"/>
      <c r="CH1760" s="2"/>
      <c r="CI1760" s="2">
        <v>1</v>
      </c>
      <c r="CJ1760" s="2">
        <v>1</v>
      </c>
      <c r="CK1760" s="2">
        <v>21</v>
      </c>
      <c r="CL1760" s="2" t="s">
        <v>88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"FES1162507683"</f>
        <v>FES1162507683</v>
      </c>
      <c r="F1761" s="3">
        <v>42662</v>
      </c>
      <c r="G1761" s="2">
        <v>201704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788</v>
      </c>
      <c r="M1761" s="2" t="s">
        <v>789</v>
      </c>
      <c r="N1761" s="2" t="s">
        <v>790</v>
      </c>
      <c r="O1761" s="2" t="s">
        <v>96</v>
      </c>
      <c r="P1761" s="2" t="str">
        <f>"2170527057                    "</f>
        <v xml:space="preserve">2170527057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6.43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1</v>
      </c>
      <c r="BI1761" s="2">
        <v>1</v>
      </c>
      <c r="BJ1761" s="2">
        <v>0.2</v>
      </c>
      <c r="BK1761" s="2">
        <v>1</v>
      </c>
      <c r="BL1761" s="2">
        <v>78.97</v>
      </c>
      <c r="BM1761" s="2">
        <v>11.06</v>
      </c>
      <c r="BN1761" s="2">
        <v>90.03</v>
      </c>
      <c r="BO1761" s="2">
        <v>90.03</v>
      </c>
      <c r="BP1761" s="2"/>
      <c r="BQ1761" s="2" t="s">
        <v>82</v>
      </c>
      <c r="BR1761" s="2" t="s">
        <v>83</v>
      </c>
      <c r="BS1761" s="3">
        <v>42663</v>
      </c>
      <c r="BT1761" s="4">
        <v>0.6479166666666667</v>
      </c>
      <c r="BU1761" s="2" t="s">
        <v>1920</v>
      </c>
      <c r="BV1761" s="2" t="s">
        <v>85</v>
      </c>
      <c r="BW1761" s="2"/>
      <c r="BX1761" s="2"/>
      <c r="BY1761" s="2">
        <v>1200</v>
      </c>
      <c r="BZ1761" s="2" t="s">
        <v>27</v>
      </c>
      <c r="CA1761" s="2"/>
      <c r="CB1761" s="2"/>
      <c r="CC1761" s="2" t="s">
        <v>789</v>
      </c>
      <c r="CD1761" s="2">
        <v>6300</v>
      </c>
      <c r="CE1761" s="2" t="s">
        <v>108</v>
      </c>
      <c r="CF1761" s="5">
        <v>42664</v>
      </c>
      <c r="CG1761" s="2"/>
      <c r="CH1761" s="2"/>
      <c r="CI1761" s="2">
        <v>3</v>
      </c>
      <c r="CJ1761" s="2">
        <v>1</v>
      </c>
      <c r="CK1761" s="2">
        <v>23</v>
      </c>
      <c r="CL1761" s="2" t="s">
        <v>88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"FES1162507695"</f>
        <v>FES1162507695</v>
      </c>
      <c r="F1762" s="3">
        <v>42662</v>
      </c>
      <c r="G1762" s="2">
        <v>201704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160</v>
      </c>
      <c r="M1762" s="2" t="s">
        <v>161</v>
      </c>
      <c r="N1762" s="2" t="s">
        <v>1018</v>
      </c>
      <c r="O1762" s="2" t="s">
        <v>96</v>
      </c>
      <c r="P1762" s="2" t="str">
        <f>"2170528021                    "</f>
        <v xml:space="preserve">2170528021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3.32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1</v>
      </c>
      <c r="BJ1762" s="2">
        <v>0.2</v>
      </c>
      <c r="BK1762" s="2">
        <v>1</v>
      </c>
      <c r="BL1762" s="2">
        <v>40.76</v>
      </c>
      <c r="BM1762" s="2">
        <v>5.71</v>
      </c>
      <c r="BN1762" s="2">
        <v>46.47</v>
      </c>
      <c r="BO1762" s="2">
        <v>46.47</v>
      </c>
      <c r="BP1762" s="2"/>
      <c r="BQ1762" s="2" t="s">
        <v>1093</v>
      </c>
      <c r="BR1762" s="2" t="s">
        <v>83</v>
      </c>
      <c r="BS1762" s="3">
        <v>42663</v>
      </c>
      <c r="BT1762" s="4">
        <v>0.42708333333333331</v>
      </c>
      <c r="BU1762" s="2" t="s">
        <v>1772</v>
      </c>
      <c r="BV1762" s="2" t="s">
        <v>85</v>
      </c>
      <c r="BW1762" s="2"/>
      <c r="BX1762" s="2"/>
      <c r="BY1762" s="2">
        <v>1200</v>
      </c>
      <c r="BZ1762" s="2" t="s">
        <v>27</v>
      </c>
      <c r="CA1762" s="2"/>
      <c r="CB1762" s="2"/>
      <c r="CC1762" s="2" t="s">
        <v>161</v>
      </c>
      <c r="CD1762" s="2">
        <v>7800</v>
      </c>
      <c r="CE1762" s="2" t="s">
        <v>108</v>
      </c>
      <c r="CF1762" s="5">
        <v>42664</v>
      </c>
      <c r="CG1762" s="2"/>
      <c r="CH1762" s="2"/>
      <c r="CI1762" s="2">
        <v>1</v>
      </c>
      <c r="CJ1762" s="2">
        <v>1</v>
      </c>
      <c r="CK1762" s="2">
        <v>21</v>
      </c>
      <c r="CL1762" s="2" t="s">
        <v>88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"FES1162507791"</f>
        <v>FES1162507791</v>
      </c>
      <c r="F1763" s="3">
        <v>42662</v>
      </c>
      <c r="G1763" s="2">
        <v>201704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160</v>
      </c>
      <c r="M1763" s="2" t="s">
        <v>161</v>
      </c>
      <c r="N1763" s="2" t="s">
        <v>302</v>
      </c>
      <c r="O1763" s="2" t="s">
        <v>96</v>
      </c>
      <c r="P1763" s="2" t="str">
        <f>"2170531114                    "</f>
        <v xml:space="preserve">2170531114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3.32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1</v>
      </c>
      <c r="BJ1763" s="2">
        <v>0.2</v>
      </c>
      <c r="BK1763" s="2">
        <v>1</v>
      </c>
      <c r="BL1763" s="2">
        <v>40.76</v>
      </c>
      <c r="BM1763" s="2">
        <v>5.71</v>
      </c>
      <c r="BN1763" s="2">
        <v>46.47</v>
      </c>
      <c r="BO1763" s="2">
        <v>46.47</v>
      </c>
      <c r="BP1763" s="2"/>
      <c r="BQ1763" s="2" t="s">
        <v>303</v>
      </c>
      <c r="BR1763" s="2" t="s">
        <v>83</v>
      </c>
      <c r="BS1763" s="3">
        <v>42663</v>
      </c>
      <c r="BT1763" s="4">
        <v>0.36874999999999997</v>
      </c>
      <c r="BU1763" s="2" t="s">
        <v>101</v>
      </c>
      <c r="BV1763" s="2" t="s">
        <v>85</v>
      </c>
      <c r="BW1763" s="2"/>
      <c r="BX1763" s="2"/>
      <c r="BY1763" s="2">
        <v>1200</v>
      </c>
      <c r="BZ1763" s="2" t="s">
        <v>27</v>
      </c>
      <c r="CA1763" s="2"/>
      <c r="CB1763" s="2"/>
      <c r="CC1763" s="2" t="s">
        <v>161</v>
      </c>
      <c r="CD1763" s="2">
        <v>7530</v>
      </c>
      <c r="CE1763" s="2" t="s">
        <v>108</v>
      </c>
      <c r="CF1763" s="5">
        <v>42664</v>
      </c>
      <c r="CG1763" s="2"/>
      <c r="CH1763" s="2"/>
      <c r="CI1763" s="2">
        <v>1</v>
      </c>
      <c r="CJ1763" s="2">
        <v>1</v>
      </c>
      <c r="CK1763" s="2">
        <v>21</v>
      </c>
      <c r="CL1763" s="2" t="s">
        <v>88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"FES1162507864"</f>
        <v>FES1162507864</v>
      </c>
      <c r="F1764" s="3">
        <v>42662</v>
      </c>
      <c r="G1764" s="2">
        <v>201704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148</v>
      </c>
      <c r="M1764" s="2" t="s">
        <v>149</v>
      </c>
      <c r="N1764" s="2" t="s">
        <v>1921</v>
      </c>
      <c r="O1764" s="2" t="s">
        <v>96</v>
      </c>
      <c r="P1764" s="2" t="str">
        <f>"2170531162                    "</f>
        <v xml:space="preserve">2170531162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3.32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1</v>
      </c>
      <c r="BI1764" s="2">
        <v>1</v>
      </c>
      <c r="BJ1764" s="2">
        <v>0.2</v>
      </c>
      <c r="BK1764" s="2">
        <v>1</v>
      </c>
      <c r="BL1764" s="2">
        <v>40.76</v>
      </c>
      <c r="BM1764" s="2">
        <v>5.71</v>
      </c>
      <c r="BN1764" s="2">
        <v>46.47</v>
      </c>
      <c r="BO1764" s="2">
        <v>46.47</v>
      </c>
      <c r="BP1764" s="2"/>
      <c r="BQ1764" s="2" t="s">
        <v>168</v>
      </c>
      <c r="BR1764" s="2" t="s">
        <v>83</v>
      </c>
      <c r="BS1764" s="3">
        <v>42663</v>
      </c>
      <c r="BT1764" s="4">
        <v>0.4375</v>
      </c>
      <c r="BU1764" s="2" t="s">
        <v>1922</v>
      </c>
      <c r="BV1764" s="2" t="s">
        <v>85</v>
      </c>
      <c r="BW1764" s="2"/>
      <c r="BX1764" s="2"/>
      <c r="BY1764" s="2">
        <v>1200</v>
      </c>
      <c r="BZ1764" s="2" t="s">
        <v>27</v>
      </c>
      <c r="CA1764" s="2" t="s">
        <v>129</v>
      </c>
      <c r="CB1764" s="2"/>
      <c r="CC1764" s="2" t="s">
        <v>149</v>
      </c>
      <c r="CD1764" s="2">
        <v>4052</v>
      </c>
      <c r="CE1764" s="2" t="s">
        <v>108</v>
      </c>
      <c r="CF1764" s="5">
        <v>42664</v>
      </c>
      <c r="CG1764" s="2"/>
      <c r="CH1764" s="2"/>
      <c r="CI1764" s="2">
        <v>1</v>
      </c>
      <c r="CJ1764" s="2">
        <v>1</v>
      </c>
      <c r="CK1764" s="2">
        <v>21</v>
      </c>
      <c r="CL1764" s="2" t="s">
        <v>88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"FES1162507904"</f>
        <v>FES1162507904</v>
      </c>
      <c r="F1765" s="3">
        <v>42662</v>
      </c>
      <c r="G1765" s="2">
        <v>201704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510</v>
      </c>
      <c r="M1765" s="2" t="s">
        <v>511</v>
      </c>
      <c r="N1765" s="2" t="s">
        <v>982</v>
      </c>
      <c r="O1765" s="2" t="s">
        <v>96</v>
      </c>
      <c r="P1765" s="2" t="str">
        <f>"2170531163                    "</f>
        <v xml:space="preserve">2170531163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3.32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1</v>
      </c>
      <c r="BJ1765" s="2">
        <v>0.2</v>
      </c>
      <c r="BK1765" s="2">
        <v>1</v>
      </c>
      <c r="BL1765" s="2">
        <v>40.76</v>
      </c>
      <c r="BM1765" s="2">
        <v>5.71</v>
      </c>
      <c r="BN1765" s="2">
        <v>46.47</v>
      </c>
      <c r="BO1765" s="2">
        <v>46.47</v>
      </c>
      <c r="BP1765" s="2"/>
      <c r="BQ1765" s="2" t="s">
        <v>983</v>
      </c>
      <c r="BR1765" s="2" t="s">
        <v>83</v>
      </c>
      <c r="BS1765" s="3">
        <v>42663</v>
      </c>
      <c r="BT1765" s="4">
        <v>0.40972222222222227</v>
      </c>
      <c r="BU1765" s="2" t="s">
        <v>1229</v>
      </c>
      <c r="BV1765" s="2" t="s">
        <v>85</v>
      </c>
      <c r="BW1765" s="2"/>
      <c r="BX1765" s="2"/>
      <c r="BY1765" s="2">
        <v>1200</v>
      </c>
      <c r="BZ1765" s="2" t="s">
        <v>27</v>
      </c>
      <c r="CA1765" s="2"/>
      <c r="CB1765" s="2"/>
      <c r="CC1765" s="2" t="s">
        <v>511</v>
      </c>
      <c r="CD1765" s="2">
        <v>3290</v>
      </c>
      <c r="CE1765" s="2" t="s">
        <v>108</v>
      </c>
      <c r="CF1765" s="5">
        <v>42664</v>
      </c>
      <c r="CG1765" s="2"/>
      <c r="CH1765" s="2"/>
      <c r="CI1765" s="2">
        <v>1</v>
      </c>
      <c r="CJ1765" s="2">
        <v>1</v>
      </c>
      <c r="CK1765" s="2">
        <v>21</v>
      </c>
      <c r="CL1765" s="2" t="s">
        <v>88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"FES1162507750"</f>
        <v>FES1162507750</v>
      </c>
      <c r="F1766" s="3">
        <v>42662</v>
      </c>
      <c r="G1766" s="2">
        <v>201704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137</v>
      </c>
      <c r="M1766" s="2" t="s">
        <v>138</v>
      </c>
      <c r="N1766" s="2" t="s">
        <v>203</v>
      </c>
      <c r="O1766" s="2" t="s">
        <v>96</v>
      </c>
      <c r="P1766" s="2" t="str">
        <f>"2170528815                    "</f>
        <v xml:space="preserve">2170528815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3.32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1</v>
      </c>
      <c r="BI1766" s="2">
        <v>1</v>
      </c>
      <c r="BJ1766" s="2">
        <v>0.2</v>
      </c>
      <c r="BK1766" s="2">
        <v>1</v>
      </c>
      <c r="BL1766" s="2">
        <v>40.76</v>
      </c>
      <c r="BM1766" s="2">
        <v>5.71</v>
      </c>
      <c r="BN1766" s="2">
        <v>46.47</v>
      </c>
      <c r="BO1766" s="2">
        <v>46.47</v>
      </c>
      <c r="BP1766" s="2"/>
      <c r="BQ1766" s="2" t="s">
        <v>168</v>
      </c>
      <c r="BR1766" s="2" t="s">
        <v>83</v>
      </c>
      <c r="BS1766" s="3">
        <v>42663</v>
      </c>
      <c r="BT1766" s="4">
        <v>0.41805555555555557</v>
      </c>
      <c r="BU1766" s="2" t="s">
        <v>768</v>
      </c>
      <c r="BV1766" s="2"/>
      <c r="BW1766" s="2"/>
      <c r="BX1766" s="2"/>
      <c r="BY1766" s="2">
        <v>1200</v>
      </c>
      <c r="BZ1766" s="2" t="s">
        <v>27</v>
      </c>
      <c r="CA1766" s="2" t="s">
        <v>613</v>
      </c>
      <c r="CB1766" s="2"/>
      <c r="CC1766" s="2" t="s">
        <v>138</v>
      </c>
      <c r="CD1766" s="2">
        <v>3201</v>
      </c>
      <c r="CE1766" s="2" t="s">
        <v>108</v>
      </c>
      <c r="CF1766" s="5">
        <v>42663</v>
      </c>
      <c r="CG1766" s="2"/>
      <c r="CH1766" s="2"/>
      <c r="CI1766" s="2">
        <v>0</v>
      </c>
      <c r="CJ1766" s="2">
        <v>0</v>
      </c>
      <c r="CK1766" s="2">
        <v>21</v>
      </c>
      <c r="CL1766" s="2" t="s">
        <v>88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"FES1162507982"</f>
        <v>FES1162507982</v>
      </c>
      <c r="F1767" s="3">
        <v>42662</v>
      </c>
      <c r="G1767" s="2">
        <v>201704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98</v>
      </c>
      <c r="M1767" s="2" t="s">
        <v>99</v>
      </c>
      <c r="N1767" s="2" t="s">
        <v>571</v>
      </c>
      <c r="O1767" s="2" t="s">
        <v>96</v>
      </c>
      <c r="P1767" s="2" t="str">
        <f>"2170531296                    "</f>
        <v xml:space="preserve">2170531296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3.32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1</v>
      </c>
      <c r="BJ1767" s="2">
        <v>0.2</v>
      </c>
      <c r="BK1767" s="2">
        <v>1</v>
      </c>
      <c r="BL1767" s="2">
        <v>40.76</v>
      </c>
      <c r="BM1767" s="2">
        <v>5.71</v>
      </c>
      <c r="BN1767" s="2">
        <v>46.47</v>
      </c>
      <c r="BO1767" s="2">
        <v>46.47</v>
      </c>
      <c r="BP1767" s="2"/>
      <c r="BQ1767" s="2" t="s">
        <v>572</v>
      </c>
      <c r="BR1767" s="2" t="s">
        <v>83</v>
      </c>
      <c r="BS1767" s="3">
        <v>42663</v>
      </c>
      <c r="BT1767" s="4">
        <v>0.58333333333333337</v>
      </c>
      <c r="BU1767" s="2" t="s">
        <v>1923</v>
      </c>
      <c r="BV1767" s="2" t="s">
        <v>88</v>
      </c>
      <c r="BW1767" s="2" t="s">
        <v>277</v>
      </c>
      <c r="BX1767" s="2" t="s">
        <v>1683</v>
      </c>
      <c r="BY1767" s="2">
        <v>1200</v>
      </c>
      <c r="BZ1767" s="2" t="s">
        <v>27</v>
      </c>
      <c r="CA1767" s="2"/>
      <c r="CB1767" s="2"/>
      <c r="CC1767" s="2" t="s">
        <v>99</v>
      </c>
      <c r="CD1767" s="2">
        <v>6100</v>
      </c>
      <c r="CE1767" s="2" t="s">
        <v>108</v>
      </c>
      <c r="CF1767" s="5">
        <v>42664</v>
      </c>
      <c r="CG1767" s="2"/>
      <c r="CH1767" s="2"/>
      <c r="CI1767" s="2">
        <v>1</v>
      </c>
      <c r="CJ1767" s="2">
        <v>1</v>
      </c>
      <c r="CK1767" s="2">
        <v>21</v>
      </c>
      <c r="CL1767" s="2" t="s">
        <v>88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"FES1162507872"</f>
        <v>FES1162507872</v>
      </c>
      <c r="F1768" s="3">
        <v>42662</v>
      </c>
      <c r="G1768" s="2">
        <v>201704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137</v>
      </c>
      <c r="M1768" s="2" t="s">
        <v>138</v>
      </c>
      <c r="N1768" s="2" t="s">
        <v>167</v>
      </c>
      <c r="O1768" s="2" t="s">
        <v>96</v>
      </c>
      <c r="P1768" s="2" t="str">
        <f>"2170531170                    "</f>
        <v xml:space="preserve">2170531170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3.32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1</v>
      </c>
      <c r="BJ1768" s="2">
        <v>0.2</v>
      </c>
      <c r="BK1768" s="2">
        <v>1</v>
      </c>
      <c r="BL1768" s="2">
        <v>40.76</v>
      </c>
      <c r="BM1768" s="2">
        <v>5.71</v>
      </c>
      <c r="BN1768" s="2">
        <v>46.47</v>
      </c>
      <c r="BO1768" s="2">
        <v>46.47</v>
      </c>
      <c r="BP1768" s="2"/>
      <c r="BQ1768" s="2" t="s">
        <v>168</v>
      </c>
      <c r="BR1768" s="2" t="s">
        <v>83</v>
      </c>
      <c r="BS1768" s="3">
        <v>42663</v>
      </c>
      <c r="BT1768" s="4">
        <v>0.42708333333333331</v>
      </c>
      <c r="BU1768" s="2" t="s">
        <v>696</v>
      </c>
      <c r="BV1768" s="2" t="s">
        <v>85</v>
      </c>
      <c r="BW1768" s="2"/>
      <c r="BX1768" s="2"/>
      <c r="BY1768" s="2">
        <v>1200</v>
      </c>
      <c r="BZ1768" s="2" t="s">
        <v>27</v>
      </c>
      <c r="CA1768" s="2" t="s">
        <v>142</v>
      </c>
      <c r="CB1768" s="2"/>
      <c r="CC1768" s="2" t="s">
        <v>138</v>
      </c>
      <c r="CD1768" s="2">
        <v>3201</v>
      </c>
      <c r="CE1768" s="2" t="s">
        <v>108</v>
      </c>
      <c r="CF1768" s="5">
        <v>42663</v>
      </c>
      <c r="CG1768" s="2"/>
      <c r="CH1768" s="2"/>
      <c r="CI1768" s="2">
        <v>1</v>
      </c>
      <c r="CJ1768" s="2">
        <v>1</v>
      </c>
      <c r="CK1768" s="2">
        <v>21</v>
      </c>
      <c r="CL1768" s="2" t="s">
        <v>88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"FES1162507665"</f>
        <v>FES1162507665</v>
      </c>
      <c r="F1769" s="3">
        <v>42662</v>
      </c>
      <c r="G1769" s="2">
        <v>201704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98</v>
      </c>
      <c r="M1769" s="2" t="s">
        <v>99</v>
      </c>
      <c r="N1769" s="2" t="s">
        <v>350</v>
      </c>
      <c r="O1769" s="2" t="s">
        <v>96</v>
      </c>
      <c r="P1769" s="2" t="str">
        <f>"2170531100                    "</f>
        <v xml:space="preserve">2170531100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3.32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1</v>
      </c>
      <c r="BJ1769" s="2">
        <v>0.2</v>
      </c>
      <c r="BK1769" s="2">
        <v>1</v>
      </c>
      <c r="BL1769" s="2">
        <v>40.76</v>
      </c>
      <c r="BM1769" s="2">
        <v>5.71</v>
      </c>
      <c r="BN1769" s="2">
        <v>46.47</v>
      </c>
      <c r="BO1769" s="2">
        <v>46.47</v>
      </c>
      <c r="BP1769" s="2"/>
      <c r="BQ1769" s="2" t="s">
        <v>351</v>
      </c>
      <c r="BR1769" s="2" t="s">
        <v>83</v>
      </c>
      <c r="BS1769" s="3">
        <v>42663</v>
      </c>
      <c r="BT1769" s="4">
        <v>0.3125</v>
      </c>
      <c r="BU1769" s="2" t="s">
        <v>352</v>
      </c>
      <c r="BV1769" s="2" t="s">
        <v>85</v>
      </c>
      <c r="BW1769" s="2"/>
      <c r="BX1769" s="2"/>
      <c r="BY1769" s="2">
        <v>1200</v>
      </c>
      <c r="BZ1769" s="2" t="s">
        <v>27</v>
      </c>
      <c r="CA1769" s="2" t="s">
        <v>107</v>
      </c>
      <c r="CB1769" s="2"/>
      <c r="CC1769" s="2" t="s">
        <v>99</v>
      </c>
      <c r="CD1769" s="2">
        <v>6001</v>
      </c>
      <c r="CE1769" s="2" t="s">
        <v>108</v>
      </c>
      <c r="CF1769" s="5">
        <v>42663</v>
      </c>
      <c r="CG1769" s="2"/>
      <c r="CH1769" s="2"/>
      <c r="CI1769" s="2">
        <v>1</v>
      </c>
      <c r="CJ1769" s="2">
        <v>1</v>
      </c>
      <c r="CK1769" s="2">
        <v>21</v>
      </c>
      <c r="CL1769" s="2" t="s">
        <v>88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"FES1162507814"</f>
        <v>FES1162507814</v>
      </c>
      <c r="F1770" s="3">
        <v>42662</v>
      </c>
      <c r="G1770" s="2">
        <v>201704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143</v>
      </c>
      <c r="M1770" s="2" t="s">
        <v>144</v>
      </c>
      <c r="N1770" s="2" t="s">
        <v>216</v>
      </c>
      <c r="O1770" s="2" t="s">
        <v>96</v>
      </c>
      <c r="P1770" s="2" t="str">
        <f>"2170528685                    "</f>
        <v xml:space="preserve">2170528685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3.32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1</v>
      </c>
      <c r="BJ1770" s="2">
        <v>0.2</v>
      </c>
      <c r="BK1770" s="2">
        <v>1</v>
      </c>
      <c r="BL1770" s="2">
        <v>40.76</v>
      </c>
      <c r="BM1770" s="2">
        <v>5.71</v>
      </c>
      <c r="BN1770" s="2">
        <v>46.47</v>
      </c>
      <c r="BO1770" s="2">
        <v>46.47</v>
      </c>
      <c r="BP1770" s="2"/>
      <c r="BQ1770" s="2" t="s">
        <v>91</v>
      </c>
      <c r="BR1770" s="2" t="s">
        <v>83</v>
      </c>
      <c r="BS1770" s="3">
        <v>42663</v>
      </c>
      <c r="BT1770" s="4">
        <v>0.44722222222222219</v>
      </c>
      <c r="BU1770" s="2" t="s">
        <v>1924</v>
      </c>
      <c r="BV1770" s="2" t="s">
        <v>85</v>
      </c>
      <c r="BW1770" s="2"/>
      <c r="BX1770" s="2"/>
      <c r="BY1770" s="2">
        <v>1200</v>
      </c>
      <c r="BZ1770" s="2" t="s">
        <v>27</v>
      </c>
      <c r="CA1770" s="2" t="s">
        <v>129</v>
      </c>
      <c r="CB1770" s="2"/>
      <c r="CC1770" s="2" t="s">
        <v>144</v>
      </c>
      <c r="CD1770" s="2">
        <v>5201</v>
      </c>
      <c r="CE1770" s="2" t="s">
        <v>108</v>
      </c>
      <c r="CF1770" s="5">
        <v>42667</v>
      </c>
      <c r="CG1770" s="2"/>
      <c r="CH1770" s="2"/>
      <c r="CI1770" s="2">
        <v>1</v>
      </c>
      <c r="CJ1770" s="2">
        <v>1</v>
      </c>
      <c r="CK1770" s="2">
        <v>21</v>
      </c>
      <c r="CL1770" s="2" t="s">
        <v>88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"FES1162507840"</f>
        <v>FES1162507840</v>
      </c>
      <c r="F1771" s="3">
        <v>42662</v>
      </c>
      <c r="G1771" s="2">
        <v>201704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119</v>
      </c>
      <c r="M1771" s="2" t="s">
        <v>120</v>
      </c>
      <c r="N1771" s="2" t="s">
        <v>1615</v>
      </c>
      <c r="O1771" s="2" t="s">
        <v>96</v>
      </c>
      <c r="P1771" s="2" t="str">
        <f>"2170528912                    "</f>
        <v xml:space="preserve">2170528912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3.32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1</v>
      </c>
      <c r="BJ1771" s="2">
        <v>0.2</v>
      </c>
      <c r="BK1771" s="2">
        <v>1</v>
      </c>
      <c r="BL1771" s="2">
        <v>40.76</v>
      </c>
      <c r="BM1771" s="2">
        <v>5.71</v>
      </c>
      <c r="BN1771" s="2">
        <v>46.47</v>
      </c>
      <c r="BO1771" s="2">
        <v>46.47</v>
      </c>
      <c r="BP1771" s="2"/>
      <c r="BQ1771" s="2" t="s">
        <v>1616</v>
      </c>
      <c r="BR1771" s="2" t="s">
        <v>83</v>
      </c>
      <c r="BS1771" s="3">
        <v>42663</v>
      </c>
      <c r="BT1771" s="4">
        <v>0.39444444444444443</v>
      </c>
      <c r="BU1771" s="2" t="s">
        <v>1925</v>
      </c>
      <c r="BV1771" s="2" t="s">
        <v>85</v>
      </c>
      <c r="BW1771" s="2"/>
      <c r="BX1771" s="2"/>
      <c r="BY1771" s="2">
        <v>1200</v>
      </c>
      <c r="BZ1771" s="2" t="s">
        <v>27</v>
      </c>
      <c r="CA1771" s="2"/>
      <c r="CB1771" s="2"/>
      <c r="CC1771" s="2" t="s">
        <v>120</v>
      </c>
      <c r="CD1771" s="2">
        <v>6230</v>
      </c>
      <c r="CE1771" s="2" t="s">
        <v>108</v>
      </c>
      <c r="CF1771" s="5">
        <v>42664</v>
      </c>
      <c r="CG1771" s="2"/>
      <c r="CH1771" s="2"/>
      <c r="CI1771" s="2">
        <v>1</v>
      </c>
      <c r="CJ1771" s="2">
        <v>1</v>
      </c>
      <c r="CK1771" s="2">
        <v>21</v>
      </c>
      <c r="CL1771" s="2" t="s">
        <v>88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"FES1162507914"</f>
        <v>FES1162507914</v>
      </c>
      <c r="F1772" s="3">
        <v>42662</v>
      </c>
      <c r="G1772" s="2">
        <v>201704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510</v>
      </c>
      <c r="M1772" s="2" t="s">
        <v>511</v>
      </c>
      <c r="N1772" s="2" t="s">
        <v>1495</v>
      </c>
      <c r="O1772" s="2" t="s">
        <v>96</v>
      </c>
      <c r="P1772" s="2" t="str">
        <f>"2170531205                    "</f>
        <v xml:space="preserve">2170531205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3.32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1</v>
      </c>
      <c r="BJ1772" s="2">
        <v>0.2</v>
      </c>
      <c r="BK1772" s="2">
        <v>1</v>
      </c>
      <c r="BL1772" s="2">
        <v>40.76</v>
      </c>
      <c r="BM1772" s="2">
        <v>5.71</v>
      </c>
      <c r="BN1772" s="2">
        <v>46.47</v>
      </c>
      <c r="BO1772" s="2">
        <v>46.47</v>
      </c>
      <c r="BP1772" s="2"/>
      <c r="BQ1772" s="2" t="s">
        <v>82</v>
      </c>
      <c r="BR1772" s="2" t="s">
        <v>83</v>
      </c>
      <c r="BS1772" s="3">
        <v>42663</v>
      </c>
      <c r="BT1772" s="4">
        <v>0.60416666666666663</v>
      </c>
      <c r="BU1772" s="2" t="s">
        <v>1000</v>
      </c>
      <c r="BV1772" s="2" t="s">
        <v>85</v>
      </c>
      <c r="BW1772" s="2"/>
      <c r="BX1772" s="2"/>
      <c r="BY1772" s="2">
        <v>1200</v>
      </c>
      <c r="BZ1772" s="2" t="s">
        <v>27</v>
      </c>
      <c r="CA1772" s="2"/>
      <c r="CB1772" s="2"/>
      <c r="CC1772" s="2" t="s">
        <v>511</v>
      </c>
      <c r="CD1772" s="2">
        <v>3280</v>
      </c>
      <c r="CE1772" s="2" t="s">
        <v>108</v>
      </c>
      <c r="CF1772" s="5">
        <v>42664</v>
      </c>
      <c r="CG1772" s="2"/>
      <c r="CH1772" s="2"/>
      <c r="CI1772" s="2">
        <v>1</v>
      </c>
      <c r="CJ1772" s="2">
        <v>1</v>
      </c>
      <c r="CK1772" s="2">
        <v>21</v>
      </c>
      <c r="CL1772" s="2" t="s">
        <v>88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"FES1162507778"</f>
        <v>FES1162507778</v>
      </c>
      <c r="F1773" s="3">
        <v>42662</v>
      </c>
      <c r="G1773" s="2">
        <v>201704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93</v>
      </c>
      <c r="M1773" s="2" t="s">
        <v>94</v>
      </c>
      <c r="N1773" s="2" t="s">
        <v>130</v>
      </c>
      <c r="O1773" s="2" t="s">
        <v>96</v>
      </c>
      <c r="P1773" s="2" t="str">
        <f>"2170530553                    "</f>
        <v xml:space="preserve">2170530553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3.32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</v>
      </c>
      <c r="BJ1773" s="2">
        <v>0.2</v>
      </c>
      <c r="BK1773" s="2">
        <v>1</v>
      </c>
      <c r="BL1773" s="2">
        <v>40.76</v>
      </c>
      <c r="BM1773" s="2">
        <v>5.71</v>
      </c>
      <c r="BN1773" s="2">
        <v>46.47</v>
      </c>
      <c r="BO1773" s="2">
        <v>46.47</v>
      </c>
      <c r="BP1773" s="2"/>
      <c r="BQ1773" s="2" t="s">
        <v>131</v>
      </c>
      <c r="BR1773" s="2" t="s">
        <v>83</v>
      </c>
      <c r="BS1773" s="3">
        <v>42663</v>
      </c>
      <c r="BT1773" s="4">
        <v>0.4375</v>
      </c>
      <c r="BU1773" s="2" t="s">
        <v>132</v>
      </c>
      <c r="BV1773" s="2" t="s">
        <v>85</v>
      </c>
      <c r="BW1773" s="2"/>
      <c r="BX1773" s="2"/>
      <c r="BY1773" s="2">
        <v>1200</v>
      </c>
      <c r="BZ1773" s="2" t="s">
        <v>27</v>
      </c>
      <c r="CA1773" s="2"/>
      <c r="CB1773" s="2"/>
      <c r="CC1773" s="2" t="s">
        <v>94</v>
      </c>
      <c r="CD1773" s="2">
        <v>4302</v>
      </c>
      <c r="CE1773" s="2" t="s">
        <v>108</v>
      </c>
      <c r="CF1773" s="5">
        <v>42664</v>
      </c>
      <c r="CG1773" s="2"/>
      <c r="CH1773" s="2"/>
      <c r="CI1773" s="2">
        <v>1</v>
      </c>
      <c r="CJ1773" s="2">
        <v>1</v>
      </c>
      <c r="CK1773" s="2">
        <v>21</v>
      </c>
      <c r="CL1773" s="2" t="s">
        <v>88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"FES1162507723"</f>
        <v>FES1162507723</v>
      </c>
      <c r="F1774" s="3">
        <v>42662</v>
      </c>
      <c r="G1774" s="2">
        <v>201704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143</v>
      </c>
      <c r="M1774" s="2" t="s">
        <v>144</v>
      </c>
      <c r="N1774" s="2" t="s">
        <v>909</v>
      </c>
      <c r="O1774" s="2" t="s">
        <v>96</v>
      </c>
      <c r="P1774" s="2" t="str">
        <f>"2170528371                    "</f>
        <v xml:space="preserve">2170528371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3.32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1</v>
      </c>
      <c r="BJ1774" s="2">
        <v>0.2</v>
      </c>
      <c r="BK1774" s="2">
        <v>1</v>
      </c>
      <c r="BL1774" s="2">
        <v>40.76</v>
      </c>
      <c r="BM1774" s="2">
        <v>5.71</v>
      </c>
      <c r="BN1774" s="2">
        <v>46.47</v>
      </c>
      <c r="BO1774" s="2">
        <v>46.47</v>
      </c>
      <c r="BP1774" s="2"/>
      <c r="BQ1774" s="2" t="s">
        <v>117</v>
      </c>
      <c r="BR1774" s="2" t="s">
        <v>83</v>
      </c>
      <c r="BS1774" s="3">
        <v>42663</v>
      </c>
      <c r="BT1774" s="4">
        <v>0.4375</v>
      </c>
      <c r="BU1774" s="2" t="s">
        <v>1926</v>
      </c>
      <c r="BV1774" s="2"/>
      <c r="BW1774" s="2"/>
      <c r="BX1774" s="2"/>
      <c r="BY1774" s="2">
        <v>1200</v>
      </c>
      <c r="BZ1774" s="2" t="s">
        <v>27</v>
      </c>
      <c r="CA1774" s="2"/>
      <c r="CB1774" s="2"/>
      <c r="CC1774" s="2" t="s">
        <v>144</v>
      </c>
      <c r="CD1774" s="2">
        <v>5201</v>
      </c>
      <c r="CE1774" s="2" t="s">
        <v>108</v>
      </c>
      <c r="CF1774" s="5">
        <v>42667</v>
      </c>
      <c r="CG1774" s="2"/>
      <c r="CH1774" s="2"/>
      <c r="CI1774" s="2">
        <v>0</v>
      </c>
      <c r="CJ1774" s="2">
        <v>0</v>
      </c>
      <c r="CK1774" s="2">
        <v>21</v>
      </c>
      <c r="CL1774" s="2" t="s">
        <v>88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"FES1162507727"</f>
        <v>FES1162507727</v>
      </c>
      <c r="F1775" s="3">
        <v>42662</v>
      </c>
      <c r="G1775" s="2">
        <v>201704</v>
      </c>
      <c r="H1775" s="2" t="s">
        <v>74</v>
      </c>
      <c r="I1775" s="2" t="s">
        <v>75</v>
      </c>
      <c r="J1775" s="2" t="s">
        <v>76</v>
      </c>
      <c r="K1775" s="2" t="s">
        <v>77</v>
      </c>
      <c r="L1775" s="2" t="s">
        <v>98</v>
      </c>
      <c r="M1775" s="2" t="s">
        <v>99</v>
      </c>
      <c r="N1775" s="2" t="s">
        <v>330</v>
      </c>
      <c r="O1775" s="2" t="s">
        <v>96</v>
      </c>
      <c r="P1775" s="2" t="str">
        <f>"2170528423                    "</f>
        <v xml:space="preserve">2170528423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3.32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1</v>
      </c>
      <c r="BJ1775" s="2">
        <v>0.2</v>
      </c>
      <c r="BK1775" s="2">
        <v>1</v>
      </c>
      <c r="BL1775" s="2">
        <v>40.76</v>
      </c>
      <c r="BM1775" s="2">
        <v>5.71</v>
      </c>
      <c r="BN1775" s="2">
        <v>46.47</v>
      </c>
      <c r="BO1775" s="2">
        <v>46.47</v>
      </c>
      <c r="BP1775" s="2"/>
      <c r="BQ1775" s="2" t="s">
        <v>331</v>
      </c>
      <c r="BR1775" s="2" t="s">
        <v>83</v>
      </c>
      <c r="BS1775" s="3">
        <v>42663</v>
      </c>
      <c r="BT1775" s="4">
        <v>0.42986111111111108</v>
      </c>
      <c r="BU1775" s="2" t="s">
        <v>332</v>
      </c>
      <c r="BV1775" s="2" t="s">
        <v>85</v>
      </c>
      <c r="BW1775" s="2"/>
      <c r="BX1775" s="2"/>
      <c r="BY1775" s="2">
        <v>1200</v>
      </c>
      <c r="BZ1775" s="2" t="s">
        <v>27</v>
      </c>
      <c r="CA1775" s="2" t="s">
        <v>333</v>
      </c>
      <c r="CB1775" s="2"/>
      <c r="CC1775" s="2" t="s">
        <v>99</v>
      </c>
      <c r="CD1775" s="2">
        <v>6070</v>
      </c>
      <c r="CE1775" s="2" t="s">
        <v>108</v>
      </c>
      <c r="CF1775" s="5">
        <v>42664</v>
      </c>
      <c r="CG1775" s="2"/>
      <c r="CH1775" s="2"/>
      <c r="CI1775" s="2">
        <v>1</v>
      </c>
      <c r="CJ1775" s="2">
        <v>1</v>
      </c>
      <c r="CK1775" s="2">
        <v>21</v>
      </c>
      <c r="CL1775" s="2" t="s">
        <v>88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"FES1162507747"</f>
        <v>FES1162507747</v>
      </c>
      <c r="F1776" s="3">
        <v>42662</v>
      </c>
      <c r="G1776" s="2">
        <v>201704</v>
      </c>
      <c r="H1776" s="2" t="s">
        <v>74</v>
      </c>
      <c r="I1776" s="2" t="s">
        <v>75</v>
      </c>
      <c r="J1776" s="2" t="s">
        <v>76</v>
      </c>
      <c r="K1776" s="2" t="s">
        <v>77</v>
      </c>
      <c r="L1776" s="2" t="s">
        <v>98</v>
      </c>
      <c r="M1776" s="2" t="s">
        <v>99</v>
      </c>
      <c r="N1776" s="2" t="s">
        <v>133</v>
      </c>
      <c r="O1776" s="2" t="s">
        <v>96</v>
      </c>
      <c r="P1776" s="2" t="str">
        <f>"2170528771                    "</f>
        <v xml:space="preserve">2170528771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3.32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1</v>
      </c>
      <c r="BJ1776" s="2">
        <v>0.2</v>
      </c>
      <c r="BK1776" s="2">
        <v>1</v>
      </c>
      <c r="BL1776" s="2">
        <v>40.76</v>
      </c>
      <c r="BM1776" s="2">
        <v>5.71</v>
      </c>
      <c r="BN1776" s="2">
        <v>46.47</v>
      </c>
      <c r="BO1776" s="2">
        <v>46.47</v>
      </c>
      <c r="BP1776" s="2"/>
      <c r="BQ1776" s="2" t="s">
        <v>134</v>
      </c>
      <c r="BR1776" s="2" t="s">
        <v>83</v>
      </c>
      <c r="BS1776" s="3">
        <v>42663</v>
      </c>
      <c r="BT1776" s="4">
        <v>0.33333333333333331</v>
      </c>
      <c r="BU1776" s="2" t="s">
        <v>956</v>
      </c>
      <c r="BV1776" s="2" t="s">
        <v>85</v>
      </c>
      <c r="BW1776" s="2"/>
      <c r="BX1776" s="2"/>
      <c r="BY1776" s="2">
        <v>1200</v>
      </c>
      <c r="BZ1776" s="2" t="s">
        <v>27</v>
      </c>
      <c r="CA1776" s="2" t="s">
        <v>129</v>
      </c>
      <c r="CB1776" s="2"/>
      <c r="CC1776" s="2" t="s">
        <v>99</v>
      </c>
      <c r="CD1776" s="2">
        <v>6001</v>
      </c>
      <c r="CE1776" s="2" t="s">
        <v>108</v>
      </c>
      <c r="CF1776" s="5">
        <v>42664</v>
      </c>
      <c r="CG1776" s="2"/>
      <c r="CH1776" s="2"/>
      <c r="CI1776" s="2">
        <v>1</v>
      </c>
      <c r="CJ1776" s="2">
        <v>1</v>
      </c>
      <c r="CK1776" s="2">
        <v>21</v>
      </c>
      <c r="CL1776" s="2" t="s">
        <v>88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"FES1162507688"</f>
        <v>FES1162507688</v>
      </c>
      <c r="F1777" s="3">
        <v>42662</v>
      </c>
      <c r="G1777" s="2">
        <v>201704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143</v>
      </c>
      <c r="M1777" s="2" t="s">
        <v>144</v>
      </c>
      <c r="N1777" s="2" t="s">
        <v>1081</v>
      </c>
      <c r="O1777" s="2" t="s">
        <v>96</v>
      </c>
      <c r="P1777" s="2" t="str">
        <f>"2170527742                    "</f>
        <v xml:space="preserve">2170527742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3.32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40.76</v>
      </c>
      <c r="BM1777" s="2">
        <v>5.71</v>
      </c>
      <c r="BN1777" s="2">
        <v>46.47</v>
      </c>
      <c r="BO1777" s="2">
        <v>46.47</v>
      </c>
      <c r="BP1777" s="2"/>
      <c r="BQ1777" s="2" t="s">
        <v>168</v>
      </c>
      <c r="BR1777" s="2" t="s">
        <v>83</v>
      </c>
      <c r="BS1777" s="3">
        <v>42663</v>
      </c>
      <c r="BT1777" s="4">
        <v>0.4375</v>
      </c>
      <c r="BU1777" s="2" t="s">
        <v>1927</v>
      </c>
      <c r="BV1777" s="2"/>
      <c r="BW1777" s="2"/>
      <c r="BX1777" s="2"/>
      <c r="BY1777" s="2">
        <v>1200</v>
      </c>
      <c r="BZ1777" s="2" t="s">
        <v>27</v>
      </c>
      <c r="CA1777" s="2"/>
      <c r="CB1777" s="2"/>
      <c r="CC1777" s="2" t="s">
        <v>144</v>
      </c>
      <c r="CD1777" s="2">
        <v>5201</v>
      </c>
      <c r="CE1777" s="2" t="s">
        <v>108</v>
      </c>
      <c r="CF1777" s="5">
        <v>42667</v>
      </c>
      <c r="CG1777" s="2"/>
      <c r="CH1777" s="2"/>
      <c r="CI1777" s="2">
        <v>0</v>
      </c>
      <c r="CJ1777" s="2">
        <v>0</v>
      </c>
      <c r="CK1777" s="2">
        <v>21</v>
      </c>
      <c r="CL1777" s="2" t="s">
        <v>88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"FES1162507679"</f>
        <v>FES1162507679</v>
      </c>
      <c r="F1778" s="3">
        <v>42662</v>
      </c>
      <c r="G1778" s="2">
        <v>201704</v>
      </c>
      <c r="H1778" s="2" t="s">
        <v>74</v>
      </c>
      <c r="I1778" s="2" t="s">
        <v>75</v>
      </c>
      <c r="J1778" s="2" t="s">
        <v>76</v>
      </c>
      <c r="K1778" s="2" t="s">
        <v>77</v>
      </c>
      <c r="L1778" s="2" t="s">
        <v>98</v>
      </c>
      <c r="M1778" s="2" t="s">
        <v>99</v>
      </c>
      <c r="N1778" s="2" t="s">
        <v>109</v>
      </c>
      <c r="O1778" s="2" t="s">
        <v>96</v>
      </c>
      <c r="P1778" s="2" t="str">
        <f>"2170526239                    "</f>
        <v xml:space="preserve">2170526239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3.32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1</v>
      </c>
      <c r="BJ1778" s="2">
        <v>0.2</v>
      </c>
      <c r="BK1778" s="2">
        <v>1</v>
      </c>
      <c r="BL1778" s="2">
        <v>40.76</v>
      </c>
      <c r="BM1778" s="2">
        <v>5.71</v>
      </c>
      <c r="BN1778" s="2">
        <v>46.47</v>
      </c>
      <c r="BO1778" s="2">
        <v>46.47</v>
      </c>
      <c r="BP1778" s="2"/>
      <c r="BQ1778" s="2" t="s">
        <v>110</v>
      </c>
      <c r="BR1778" s="2" t="s">
        <v>83</v>
      </c>
      <c r="BS1778" s="3">
        <v>42663</v>
      </c>
      <c r="BT1778" s="4">
        <v>0.37152777777777773</v>
      </c>
      <c r="BU1778" s="2" t="s">
        <v>1872</v>
      </c>
      <c r="BV1778" s="2" t="s">
        <v>85</v>
      </c>
      <c r="BW1778" s="2"/>
      <c r="BX1778" s="2"/>
      <c r="BY1778" s="2">
        <v>1200</v>
      </c>
      <c r="BZ1778" s="2" t="s">
        <v>27</v>
      </c>
      <c r="CA1778" s="2" t="s">
        <v>107</v>
      </c>
      <c r="CB1778" s="2"/>
      <c r="CC1778" s="2" t="s">
        <v>99</v>
      </c>
      <c r="CD1778" s="2">
        <v>6001</v>
      </c>
      <c r="CE1778" s="2" t="s">
        <v>108</v>
      </c>
      <c r="CF1778" s="5">
        <v>42663</v>
      </c>
      <c r="CG1778" s="2"/>
      <c r="CH1778" s="2"/>
      <c r="CI1778" s="2">
        <v>1</v>
      </c>
      <c r="CJ1778" s="2">
        <v>1</v>
      </c>
      <c r="CK1778" s="2">
        <v>21</v>
      </c>
      <c r="CL1778" s="2" t="s">
        <v>88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"FES1162507793"</f>
        <v>FES1162507793</v>
      </c>
      <c r="F1779" s="3">
        <v>42662</v>
      </c>
      <c r="G1779" s="2">
        <v>201704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98</v>
      </c>
      <c r="M1779" s="2" t="s">
        <v>99</v>
      </c>
      <c r="N1779" s="2" t="s">
        <v>1928</v>
      </c>
      <c r="O1779" s="2" t="s">
        <v>96</v>
      </c>
      <c r="P1779" s="2" t="str">
        <f>"2170531144                    "</f>
        <v xml:space="preserve">2170531144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3.32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40.76</v>
      </c>
      <c r="BM1779" s="2">
        <v>5.71</v>
      </c>
      <c r="BN1779" s="2">
        <v>46.47</v>
      </c>
      <c r="BO1779" s="2">
        <v>46.47</v>
      </c>
      <c r="BP1779" s="2"/>
      <c r="BQ1779" s="2" t="s">
        <v>117</v>
      </c>
      <c r="BR1779" s="2" t="s">
        <v>83</v>
      </c>
      <c r="BS1779" s="3">
        <v>42663</v>
      </c>
      <c r="BT1779" s="4">
        <v>0.375</v>
      </c>
      <c r="BU1779" s="2" t="s">
        <v>1929</v>
      </c>
      <c r="BV1779" s="2" t="s">
        <v>85</v>
      </c>
      <c r="BW1779" s="2"/>
      <c r="BX1779" s="2"/>
      <c r="BY1779" s="2">
        <v>1200</v>
      </c>
      <c r="BZ1779" s="2" t="s">
        <v>27</v>
      </c>
      <c r="CA1779" s="2"/>
      <c r="CB1779" s="2"/>
      <c r="CC1779" s="2" t="s">
        <v>99</v>
      </c>
      <c r="CD1779" s="2">
        <v>6065</v>
      </c>
      <c r="CE1779" s="2" t="s">
        <v>108</v>
      </c>
      <c r="CF1779" s="5">
        <v>42664</v>
      </c>
      <c r="CG1779" s="2"/>
      <c r="CH1779" s="2"/>
      <c r="CI1779" s="2">
        <v>1</v>
      </c>
      <c r="CJ1779" s="2">
        <v>1</v>
      </c>
      <c r="CK1779" s="2">
        <v>21</v>
      </c>
      <c r="CL1779" s="2" t="s">
        <v>88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"FES1162507853"</f>
        <v>FES1162507853</v>
      </c>
      <c r="F1780" s="3">
        <v>42662</v>
      </c>
      <c r="G1780" s="2">
        <v>201704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119</v>
      </c>
      <c r="M1780" s="2" t="s">
        <v>120</v>
      </c>
      <c r="N1780" s="2" t="s">
        <v>1615</v>
      </c>
      <c r="O1780" s="2" t="s">
        <v>96</v>
      </c>
      <c r="P1780" s="2" t="str">
        <f>"2170530990                    "</f>
        <v xml:space="preserve">2170530990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3.32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1</v>
      </c>
      <c r="BJ1780" s="2">
        <v>0.2</v>
      </c>
      <c r="BK1780" s="2">
        <v>1</v>
      </c>
      <c r="BL1780" s="2">
        <v>40.76</v>
      </c>
      <c r="BM1780" s="2">
        <v>5.71</v>
      </c>
      <c r="BN1780" s="2">
        <v>46.47</v>
      </c>
      <c r="BO1780" s="2">
        <v>46.47</v>
      </c>
      <c r="BP1780" s="2"/>
      <c r="BQ1780" s="2" t="s">
        <v>1616</v>
      </c>
      <c r="BR1780" s="2" t="s">
        <v>83</v>
      </c>
      <c r="BS1780" s="3">
        <v>42663</v>
      </c>
      <c r="BT1780" s="4">
        <v>0.39444444444444443</v>
      </c>
      <c r="BU1780" s="2" t="s">
        <v>1925</v>
      </c>
      <c r="BV1780" s="2" t="s">
        <v>85</v>
      </c>
      <c r="BW1780" s="2"/>
      <c r="BX1780" s="2"/>
      <c r="BY1780" s="2">
        <v>1200</v>
      </c>
      <c r="BZ1780" s="2" t="s">
        <v>27</v>
      </c>
      <c r="CA1780" s="2"/>
      <c r="CB1780" s="2"/>
      <c r="CC1780" s="2" t="s">
        <v>120</v>
      </c>
      <c r="CD1780" s="2">
        <v>6230</v>
      </c>
      <c r="CE1780" s="2" t="s">
        <v>108</v>
      </c>
      <c r="CF1780" s="5">
        <v>42664</v>
      </c>
      <c r="CG1780" s="2"/>
      <c r="CH1780" s="2"/>
      <c r="CI1780" s="2">
        <v>1</v>
      </c>
      <c r="CJ1780" s="2">
        <v>1</v>
      </c>
      <c r="CK1780" s="2">
        <v>21</v>
      </c>
      <c r="CL1780" s="2" t="s">
        <v>88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"FES1162507667"</f>
        <v>FES1162507667</v>
      </c>
      <c r="F1781" s="3">
        <v>42662</v>
      </c>
      <c r="G1781" s="2">
        <v>201704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207</v>
      </c>
      <c r="M1781" s="2" t="s">
        <v>208</v>
      </c>
      <c r="N1781" s="2" t="s">
        <v>1774</v>
      </c>
      <c r="O1781" s="2" t="s">
        <v>96</v>
      </c>
      <c r="P1781" s="2" t="str">
        <f>"217                           "</f>
        <v xml:space="preserve">217       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3.32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1</v>
      </c>
      <c r="BJ1781" s="2">
        <v>0.2</v>
      </c>
      <c r="BK1781" s="2">
        <v>1</v>
      </c>
      <c r="BL1781" s="2">
        <v>40.76</v>
      </c>
      <c r="BM1781" s="2">
        <v>5.71</v>
      </c>
      <c r="BN1781" s="2">
        <v>46.47</v>
      </c>
      <c r="BO1781" s="2">
        <v>46.47</v>
      </c>
      <c r="BP1781" s="2"/>
      <c r="BQ1781" s="2" t="s">
        <v>168</v>
      </c>
      <c r="BR1781" s="2" t="s">
        <v>83</v>
      </c>
      <c r="BS1781" s="3">
        <v>42663</v>
      </c>
      <c r="BT1781" s="4">
        <v>0.4375</v>
      </c>
      <c r="BU1781" s="2" t="s">
        <v>181</v>
      </c>
      <c r="BV1781" s="2" t="s">
        <v>85</v>
      </c>
      <c r="BW1781" s="2"/>
      <c r="BX1781" s="2"/>
      <c r="BY1781" s="2">
        <v>1200</v>
      </c>
      <c r="BZ1781" s="2" t="s">
        <v>27</v>
      </c>
      <c r="CA1781" s="2"/>
      <c r="CB1781" s="2"/>
      <c r="CC1781" s="2" t="s">
        <v>208</v>
      </c>
      <c r="CD1781" s="2">
        <v>4113</v>
      </c>
      <c r="CE1781" s="2" t="s">
        <v>108</v>
      </c>
      <c r="CF1781" s="5">
        <v>42664</v>
      </c>
      <c r="CG1781" s="2"/>
      <c r="CH1781" s="2"/>
      <c r="CI1781" s="2">
        <v>1</v>
      </c>
      <c r="CJ1781" s="2">
        <v>1</v>
      </c>
      <c r="CK1781" s="2">
        <v>21</v>
      </c>
      <c r="CL1781" s="2" t="s">
        <v>88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"FES1162508439"</f>
        <v>FES1162508439</v>
      </c>
      <c r="F1782" s="3">
        <v>42664</v>
      </c>
      <c r="G1782" s="2">
        <v>201704</v>
      </c>
      <c r="H1782" s="2" t="s">
        <v>74</v>
      </c>
      <c r="I1782" s="2" t="s">
        <v>75</v>
      </c>
      <c r="J1782" s="2" t="s">
        <v>76</v>
      </c>
      <c r="K1782" s="2" t="s">
        <v>77</v>
      </c>
      <c r="L1782" s="2" t="s">
        <v>137</v>
      </c>
      <c r="M1782" s="2" t="s">
        <v>138</v>
      </c>
      <c r="N1782" s="2" t="s">
        <v>964</v>
      </c>
      <c r="O1782" s="2" t="s">
        <v>96</v>
      </c>
      <c r="P1782" s="2" t="str">
        <f>"2170531709                    "</f>
        <v xml:space="preserve">2170531709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3.32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40.76</v>
      </c>
      <c r="BM1782" s="2">
        <v>5.71</v>
      </c>
      <c r="BN1782" s="2">
        <v>46.47</v>
      </c>
      <c r="BO1782" s="2">
        <v>46.47</v>
      </c>
      <c r="BP1782" s="2"/>
      <c r="BQ1782" s="2" t="s">
        <v>965</v>
      </c>
      <c r="BR1782" s="2" t="s">
        <v>83</v>
      </c>
      <c r="BS1782" s="3">
        <v>42667</v>
      </c>
      <c r="BT1782" s="4">
        <v>0.34722222222222227</v>
      </c>
      <c r="BU1782" s="2" t="s">
        <v>1533</v>
      </c>
      <c r="BV1782" s="2"/>
      <c r="BW1782" s="2"/>
      <c r="BX1782" s="2"/>
      <c r="BY1782" s="2">
        <v>1200</v>
      </c>
      <c r="BZ1782" s="2"/>
      <c r="CA1782" s="2" t="s">
        <v>170</v>
      </c>
      <c r="CB1782" s="2"/>
      <c r="CC1782" s="2" t="s">
        <v>138</v>
      </c>
      <c r="CD1782" s="2">
        <v>3201</v>
      </c>
      <c r="CE1782" s="2" t="s">
        <v>108</v>
      </c>
      <c r="CF1782" s="5">
        <v>42667</v>
      </c>
      <c r="CG1782" s="2"/>
      <c r="CH1782" s="2"/>
      <c r="CI1782" s="2">
        <v>0</v>
      </c>
      <c r="CJ1782" s="2">
        <v>0</v>
      </c>
      <c r="CK1782" s="2">
        <v>21</v>
      </c>
      <c r="CL1782" s="2" t="s">
        <v>88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"FES1162507666"</f>
        <v>FES1162507666</v>
      </c>
      <c r="F1783" s="3">
        <v>42662</v>
      </c>
      <c r="G1783" s="2">
        <v>201704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98</v>
      </c>
      <c r="M1783" s="2" t="s">
        <v>99</v>
      </c>
      <c r="N1783" s="2" t="s">
        <v>1011</v>
      </c>
      <c r="O1783" s="2" t="s">
        <v>81</v>
      </c>
      <c r="P1783" s="2" t="str">
        <f>"2170531128                    "</f>
        <v xml:space="preserve">2170531128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14.06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3</v>
      </c>
      <c r="BI1783" s="2">
        <v>35</v>
      </c>
      <c r="BJ1783" s="2">
        <v>39.1</v>
      </c>
      <c r="BK1783" s="2">
        <v>40</v>
      </c>
      <c r="BL1783" s="2">
        <v>177.7</v>
      </c>
      <c r="BM1783" s="2">
        <v>24.88</v>
      </c>
      <c r="BN1783" s="2">
        <v>202.58</v>
      </c>
      <c r="BO1783" s="2">
        <v>202.58</v>
      </c>
      <c r="BP1783" s="2" t="s">
        <v>1070</v>
      </c>
      <c r="BQ1783" s="2" t="s">
        <v>117</v>
      </c>
      <c r="BR1783" s="2" t="s">
        <v>83</v>
      </c>
      <c r="BS1783" s="3">
        <v>42664</v>
      </c>
      <c r="BT1783" s="4">
        <v>0.41111111111111115</v>
      </c>
      <c r="BU1783" s="2" t="s">
        <v>1930</v>
      </c>
      <c r="BV1783" s="2" t="s">
        <v>85</v>
      </c>
      <c r="BW1783" s="2"/>
      <c r="BX1783" s="2"/>
      <c r="BY1783" s="2">
        <v>195600</v>
      </c>
      <c r="BZ1783" s="2"/>
      <c r="CA1783" s="2" t="s">
        <v>1287</v>
      </c>
      <c r="CB1783" s="2"/>
      <c r="CC1783" s="2" t="s">
        <v>99</v>
      </c>
      <c r="CD1783" s="2">
        <v>6001</v>
      </c>
      <c r="CE1783" s="2" t="s">
        <v>108</v>
      </c>
      <c r="CF1783" s="5">
        <v>42664</v>
      </c>
      <c r="CG1783" s="2"/>
      <c r="CH1783" s="2"/>
      <c r="CI1783" s="2">
        <v>2</v>
      </c>
      <c r="CJ1783" s="2">
        <v>2</v>
      </c>
      <c r="CK1783" s="2" t="s">
        <v>1063</v>
      </c>
      <c r="CL1783" s="2" t="s">
        <v>88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"FES1162507892"</f>
        <v>FES1162507892</v>
      </c>
      <c r="F1784" s="3">
        <v>42662</v>
      </c>
      <c r="G1784" s="2">
        <v>201704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160</v>
      </c>
      <c r="M1784" s="2" t="s">
        <v>161</v>
      </c>
      <c r="N1784" s="2" t="s">
        <v>441</v>
      </c>
      <c r="O1784" s="2" t="s">
        <v>81</v>
      </c>
      <c r="P1784" s="2" t="str">
        <f>"2170530592                    "</f>
        <v xml:space="preserve">2170530592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34.69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75</v>
      </c>
      <c r="BJ1784" s="2">
        <v>110.5</v>
      </c>
      <c r="BK1784" s="2">
        <v>111</v>
      </c>
      <c r="BL1784" s="2">
        <v>431.21</v>
      </c>
      <c r="BM1784" s="2">
        <v>60.37</v>
      </c>
      <c r="BN1784" s="2">
        <v>491.58</v>
      </c>
      <c r="BO1784" s="2">
        <v>491.58</v>
      </c>
      <c r="BP1784" s="2"/>
      <c r="BQ1784" s="2" t="s">
        <v>168</v>
      </c>
      <c r="BR1784" s="2" t="s">
        <v>83</v>
      </c>
      <c r="BS1784" s="3">
        <v>42664</v>
      </c>
      <c r="BT1784" s="4">
        <v>0.41666666666666669</v>
      </c>
      <c r="BU1784" s="2" t="s">
        <v>442</v>
      </c>
      <c r="BV1784" s="2" t="s">
        <v>85</v>
      </c>
      <c r="BW1784" s="2"/>
      <c r="BX1784" s="2"/>
      <c r="BY1784" s="2">
        <v>552420</v>
      </c>
      <c r="BZ1784" s="2"/>
      <c r="CA1784" s="2"/>
      <c r="CB1784" s="2"/>
      <c r="CC1784" s="2" t="s">
        <v>161</v>
      </c>
      <c r="CD1784" s="2">
        <v>7580</v>
      </c>
      <c r="CE1784" s="2" t="s">
        <v>368</v>
      </c>
      <c r="CF1784" s="5">
        <v>42667</v>
      </c>
      <c r="CG1784" s="2"/>
      <c r="CH1784" s="2"/>
      <c r="CI1784" s="2">
        <v>2</v>
      </c>
      <c r="CJ1784" s="2">
        <v>2</v>
      </c>
      <c r="CK1784" s="2" t="s">
        <v>1063</v>
      </c>
      <c r="CL1784" s="2" t="s">
        <v>88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"FES1162508040"</f>
        <v>FES1162508040</v>
      </c>
      <c r="F1785" s="3">
        <v>42662</v>
      </c>
      <c r="G1785" s="2">
        <v>201704</v>
      </c>
      <c r="H1785" s="2" t="s">
        <v>74</v>
      </c>
      <c r="I1785" s="2" t="s">
        <v>75</v>
      </c>
      <c r="J1785" s="2" t="s">
        <v>76</v>
      </c>
      <c r="K1785" s="2" t="s">
        <v>77</v>
      </c>
      <c r="L1785" s="2" t="s">
        <v>698</v>
      </c>
      <c r="M1785" s="2" t="s">
        <v>699</v>
      </c>
      <c r="N1785" s="2" t="s">
        <v>704</v>
      </c>
      <c r="O1785" s="2" t="s">
        <v>81</v>
      </c>
      <c r="P1785" s="2" t="str">
        <f>"2170531286                    "</f>
        <v xml:space="preserve">2170531286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4.66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4.9000000000000004</v>
      </c>
      <c r="BJ1785" s="2">
        <v>1.7</v>
      </c>
      <c r="BK1785" s="2">
        <v>5</v>
      </c>
      <c r="BL1785" s="2">
        <v>62.31</v>
      </c>
      <c r="BM1785" s="2">
        <v>8.7200000000000006</v>
      </c>
      <c r="BN1785" s="2">
        <v>71.03</v>
      </c>
      <c r="BO1785" s="2">
        <v>71.03</v>
      </c>
      <c r="BP1785" s="2"/>
      <c r="BQ1785" s="2" t="s">
        <v>705</v>
      </c>
      <c r="BR1785" s="2" t="s">
        <v>83</v>
      </c>
      <c r="BS1785" s="3">
        <v>42663</v>
      </c>
      <c r="BT1785" s="4">
        <v>0.48472222222222222</v>
      </c>
      <c r="BU1785" s="2" t="s">
        <v>1931</v>
      </c>
      <c r="BV1785" s="2" t="s">
        <v>85</v>
      </c>
      <c r="BW1785" s="2"/>
      <c r="BX1785" s="2"/>
      <c r="BY1785" s="2">
        <v>8426.16</v>
      </c>
      <c r="BZ1785" s="2"/>
      <c r="CA1785" s="2"/>
      <c r="CB1785" s="2"/>
      <c r="CC1785" s="2" t="s">
        <v>699</v>
      </c>
      <c r="CD1785" s="2">
        <v>1759</v>
      </c>
      <c r="CE1785" s="2" t="s">
        <v>86</v>
      </c>
      <c r="CF1785" s="5">
        <v>42664</v>
      </c>
      <c r="CG1785" s="2"/>
      <c r="CH1785" s="2"/>
      <c r="CI1785" s="2">
        <v>1</v>
      </c>
      <c r="CJ1785" s="2">
        <v>1</v>
      </c>
      <c r="CK1785" s="2" t="s">
        <v>1292</v>
      </c>
      <c r="CL1785" s="2" t="s">
        <v>88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"FES1162507908"</f>
        <v>FES1162507908</v>
      </c>
      <c r="F1786" s="3">
        <v>42662</v>
      </c>
      <c r="G1786" s="2">
        <v>201704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148</v>
      </c>
      <c r="M1786" s="2" t="s">
        <v>149</v>
      </c>
      <c r="N1786" s="2" t="s">
        <v>1724</v>
      </c>
      <c r="O1786" s="2" t="s">
        <v>96</v>
      </c>
      <c r="P1786" s="2" t="str">
        <f>"2170530740                    "</f>
        <v xml:space="preserve">2170530740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24.88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2</v>
      </c>
      <c r="BI1786" s="2">
        <v>14.9</v>
      </c>
      <c r="BJ1786" s="2">
        <v>4.5</v>
      </c>
      <c r="BK1786" s="2">
        <v>15</v>
      </c>
      <c r="BL1786" s="2">
        <v>305.68</v>
      </c>
      <c r="BM1786" s="2">
        <v>42.8</v>
      </c>
      <c r="BN1786" s="2">
        <v>348.48</v>
      </c>
      <c r="BO1786" s="2">
        <v>348.48</v>
      </c>
      <c r="BP1786" s="2"/>
      <c r="BQ1786" s="2" t="s">
        <v>1725</v>
      </c>
      <c r="BR1786" s="2" t="s">
        <v>83</v>
      </c>
      <c r="BS1786" s="3">
        <v>42663</v>
      </c>
      <c r="BT1786" s="4">
        <v>0.4375</v>
      </c>
      <c r="BU1786" s="2" t="s">
        <v>1932</v>
      </c>
      <c r="BV1786" s="2" t="s">
        <v>85</v>
      </c>
      <c r="BW1786" s="2"/>
      <c r="BX1786" s="2"/>
      <c r="BY1786" s="2">
        <v>22284.400000000001</v>
      </c>
      <c r="BZ1786" s="2"/>
      <c r="CA1786" s="2" t="s">
        <v>129</v>
      </c>
      <c r="CB1786" s="2"/>
      <c r="CC1786" s="2" t="s">
        <v>149</v>
      </c>
      <c r="CD1786" s="2">
        <v>4052</v>
      </c>
      <c r="CE1786" s="2" t="s">
        <v>86</v>
      </c>
      <c r="CF1786" s="5">
        <v>42664</v>
      </c>
      <c r="CG1786" s="2"/>
      <c r="CH1786" s="2"/>
      <c r="CI1786" s="2">
        <v>1</v>
      </c>
      <c r="CJ1786" s="2">
        <v>1</v>
      </c>
      <c r="CK1786" s="2">
        <v>21</v>
      </c>
      <c r="CL1786" s="2" t="s">
        <v>88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"FES1162507990"</f>
        <v>FES1162507990</v>
      </c>
      <c r="F1787" s="3">
        <v>42662</v>
      </c>
      <c r="G1787" s="2">
        <v>201704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148</v>
      </c>
      <c r="M1787" s="2" t="s">
        <v>149</v>
      </c>
      <c r="N1787" s="2" t="s">
        <v>1541</v>
      </c>
      <c r="O1787" s="2" t="s">
        <v>96</v>
      </c>
      <c r="P1787" s="2" t="str">
        <f>"2170531309                    "</f>
        <v xml:space="preserve">2170531309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3.32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0.5</v>
      </c>
      <c r="BJ1787" s="2">
        <v>0.2</v>
      </c>
      <c r="BK1787" s="2">
        <v>0.5</v>
      </c>
      <c r="BL1787" s="2">
        <v>40.76</v>
      </c>
      <c r="BM1787" s="2">
        <v>5.71</v>
      </c>
      <c r="BN1787" s="2">
        <v>46.47</v>
      </c>
      <c r="BO1787" s="2">
        <v>46.47</v>
      </c>
      <c r="BP1787" s="2"/>
      <c r="BQ1787" s="2" t="s">
        <v>91</v>
      </c>
      <c r="BR1787" s="2" t="s">
        <v>83</v>
      </c>
      <c r="BS1787" s="3">
        <v>42663</v>
      </c>
      <c r="BT1787" s="4">
        <v>0.4375</v>
      </c>
      <c r="BU1787" s="2" t="s">
        <v>1933</v>
      </c>
      <c r="BV1787" s="2" t="s">
        <v>85</v>
      </c>
      <c r="BW1787" s="2"/>
      <c r="BX1787" s="2"/>
      <c r="BY1787" s="2">
        <v>1200</v>
      </c>
      <c r="BZ1787" s="2"/>
      <c r="CA1787" s="2" t="s">
        <v>129</v>
      </c>
      <c r="CB1787" s="2"/>
      <c r="CC1787" s="2" t="s">
        <v>149</v>
      </c>
      <c r="CD1787" s="2">
        <v>4052</v>
      </c>
      <c r="CE1787" s="2" t="s">
        <v>108</v>
      </c>
      <c r="CF1787" s="5">
        <v>42664</v>
      </c>
      <c r="CG1787" s="2"/>
      <c r="CH1787" s="2"/>
      <c r="CI1787" s="2">
        <v>1</v>
      </c>
      <c r="CJ1787" s="2">
        <v>1</v>
      </c>
      <c r="CK1787" s="2">
        <v>21</v>
      </c>
      <c r="CL1787" s="2" t="s">
        <v>88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"FES1162507734"</f>
        <v>FES1162507734</v>
      </c>
      <c r="F1788" s="3">
        <v>42662</v>
      </c>
      <c r="G1788" s="2">
        <v>201704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286</v>
      </c>
      <c r="M1788" s="2" t="s">
        <v>287</v>
      </c>
      <c r="N1788" s="2" t="s">
        <v>673</v>
      </c>
      <c r="O1788" s="2" t="s">
        <v>96</v>
      </c>
      <c r="P1788" s="2" t="str">
        <f>"2170528579                    "</f>
        <v xml:space="preserve">2170528579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3.32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0.5</v>
      </c>
      <c r="BJ1788" s="2">
        <v>0.2</v>
      </c>
      <c r="BK1788" s="2">
        <v>0.5</v>
      </c>
      <c r="BL1788" s="2">
        <v>40.76</v>
      </c>
      <c r="BM1788" s="2">
        <v>5.71</v>
      </c>
      <c r="BN1788" s="2">
        <v>46.47</v>
      </c>
      <c r="BO1788" s="2">
        <v>46.47</v>
      </c>
      <c r="BP1788" s="2"/>
      <c r="BQ1788" s="2" t="s">
        <v>674</v>
      </c>
      <c r="BR1788" s="2" t="s">
        <v>83</v>
      </c>
      <c r="BS1788" s="3">
        <v>42663</v>
      </c>
      <c r="BT1788" s="4">
        <v>0.41666666666666669</v>
      </c>
      <c r="BU1788" s="2" t="s">
        <v>1934</v>
      </c>
      <c r="BV1788" s="2" t="s">
        <v>85</v>
      </c>
      <c r="BW1788" s="2"/>
      <c r="BX1788" s="2"/>
      <c r="BY1788" s="2">
        <v>1200</v>
      </c>
      <c r="BZ1788" s="2"/>
      <c r="CA1788" s="2" t="s">
        <v>129</v>
      </c>
      <c r="CB1788" s="2"/>
      <c r="CC1788" s="2" t="s">
        <v>287</v>
      </c>
      <c r="CD1788" s="2">
        <v>1947</v>
      </c>
      <c r="CE1788" s="2" t="s">
        <v>108</v>
      </c>
      <c r="CF1788" s="5">
        <v>42667</v>
      </c>
      <c r="CG1788" s="2"/>
      <c r="CH1788" s="2"/>
      <c r="CI1788" s="2">
        <v>1</v>
      </c>
      <c r="CJ1788" s="2">
        <v>1</v>
      </c>
      <c r="CK1788" s="2">
        <v>21</v>
      </c>
      <c r="CL1788" s="2" t="s">
        <v>88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"FES1162507889"</f>
        <v>FES1162507889</v>
      </c>
      <c r="F1789" s="3">
        <v>42662</v>
      </c>
      <c r="G1789" s="2">
        <v>201704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218</v>
      </c>
      <c r="M1789" s="2" t="s">
        <v>219</v>
      </c>
      <c r="N1789" s="2" t="s">
        <v>220</v>
      </c>
      <c r="O1789" s="2" t="s">
        <v>96</v>
      </c>
      <c r="P1789" s="2" t="str">
        <f>"2170530392                    "</f>
        <v xml:space="preserve">2170530392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3.32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0.5</v>
      </c>
      <c r="BJ1789" s="2">
        <v>0.2</v>
      </c>
      <c r="BK1789" s="2">
        <v>0.5</v>
      </c>
      <c r="BL1789" s="2">
        <v>40.76</v>
      </c>
      <c r="BM1789" s="2">
        <v>5.71</v>
      </c>
      <c r="BN1789" s="2">
        <v>46.47</v>
      </c>
      <c r="BO1789" s="2">
        <v>46.47</v>
      </c>
      <c r="BP1789" s="2"/>
      <c r="BQ1789" s="2" t="s">
        <v>91</v>
      </c>
      <c r="BR1789" s="2" t="s">
        <v>83</v>
      </c>
      <c r="BS1789" s="3">
        <v>42663</v>
      </c>
      <c r="BT1789" s="4">
        <v>0.47916666666666669</v>
      </c>
      <c r="BU1789" s="2" t="s">
        <v>1881</v>
      </c>
      <c r="BV1789" s="2" t="s">
        <v>85</v>
      </c>
      <c r="BW1789" s="2"/>
      <c r="BX1789" s="2"/>
      <c r="BY1789" s="2">
        <v>1200</v>
      </c>
      <c r="BZ1789" s="2"/>
      <c r="CA1789" s="2"/>
      <c r="CB1789" s="2"/>
      <c r="CC1789" s="2" t="s">
        <v>219</v>
      </c>
      <c r="CD1789" s="2">
        <v>7600</v>
      </c>
      <c r="CE1789" s="2" t="s">
        <v>108</v>
      </c>
      <c r="CF1789" s="5">
        <v>42664</v>
      </c>
      <c r="CG1789" s="2"/>
      <c r="CH1789" s="2"/>
      <c r="CI1789" s="2">
        <v>1</v>
      </c>
      <c r="CJ1789" s="2">
        <v>1</v>
      </c>
      <c r="CK1789" s="2">
        <v>21</v>
      </c>
      <c r="CL1789" s="2" t="s">
        <v>88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"FES1162507825"</f>
        <v>FES1162507825</v>
      </c>
      <c r="F1790" s="3">
        <v>42662</v>
      </c>
      <c r="G1790" s="2">
        <v>201704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286</v>
      </c>
      <c r="M1790" s="2" t="s">
        <v>287</v>
      </c>
      <c r="N1790" s="2" t="s">
        <v>673</v>
      </c>
      <c r="O1790" s="2" t="s">
        <v>96</v>
      </c>
      <c r="P1790" s="2" t="str">
        <f>"2170528579                    "</f>
        <v xml:space="preserve">2170528579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3.32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0.5</v>
      </c>
      <c r="BJ1790" s="2">
        <v>0.2</v>
      </c>
      <c r="BK1790" s="2">
        <v>0.5</v>
      </c>
      <c r="BL1790" s="2">
        <v>40.76</v>
      </c>
      <c r="BM1790" s="2">
        <v>5.71</v>
      </c>
      <c r="BN1790" s="2">
        <v>46.47</v>
      </c>
      <c r="BO1790" s="2">
        <v>46.47</v>
      </c>
      <c r="BP1790" s="2"/>
      <c r="BQ1790" s="2" t="s">
        <v>674</v>
      </c>
      <c r="BR1790" s="2" t="s">
        <v>83</v>
      </c>
      <c r="BS1790" s="3">
        <v>42663</v>
      </c>
      <c r="BT1790" s="4">
        <v>0.41666666666666669</v>
      </c>
      <c r="BU1790" s="2" t="s">
        <v>1934</v>
      </c>
      <c r="BV1790" s="2" t="s">
        <v>85</v>
      </c>
      <c r="BW1790" s="2"/>
      <c r="BX1790" s="2"/>
      <c r="BY1790" s="2">
        <v>1200</v>
      </c>
      <c r="BZ1790" s="2"/>
      <c r="CA1790" s="2" t="s">
        <v>129</v>
      </c>
      <c r="CB1790" s="2"/>
      <c r="CC1790" s="2" t="s">
        <v>287</v>
      </c>
      <c r="CD1790" s="2">
        <v>1947</v>
      </c>
      <c r="CE1790" s="2" t="s">
        <v>108</v>
      </c>
      <c r="CF1790" s="5">
        <v>42667</v>
      </c>
      <c r="CG1790" s="2"/>
      <c r="CH1790" s="2"/>
      <c r="CI1790" s="2">
        <v>1</v>
      </c>
      <c r="CJ1790" s="2">
        <v>1</v>
      </c>
      <c r="CK1790" s="2">
        <v>21</v>
      </c>
      <c r="CL1790" s="2" t="s">
        <v>88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"FES1162507896"</f>
        <v>FES1162507896</v>
      </c>
      <c r="F1791" s="3">
        <v>42662</v>
      </c>
      <c r="G1791" s="2">
        <v>201704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218</v>
      </c>
      <c r="M1791" s="2" t="s">
        <v>219</v>
      </c>
      <c r="N1791" s="2" t="s">
        <v>220</v>
      </c>
      <c r="O1791" s="2" t="s">
        <v>96</v>
      </c>
      <c r="P1791" s="2" t="str">
        <f>"2170530889                    "</f>
        <v xml:space="preserve">2170530889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3.32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0.5</v>
      </c>
      <c r="BJ1791" s="2">
        <v>0.2</v>
      </c>
      <c r="BK1791" s="2">
        <v>0.5</v>
      </c>
      <c r="BL1791" s="2">
        <v>40.76</v>
      </c>
      <c r="BM1791" s="2">
        <v>5.71</v>
      </c>
      <c r="BN1791" s="2">
        <v>46.47</v>
      </c>
      <c r="BO1791" s="2">
        <v>46.47</v>
      </c>
      <c r="BP1791" s="2"/>
      <c r="BQ1791" s="2" t="s">
        <v>91</v>
      </c>
      <c r="BR1791" s="2" t="s">
        <v>83</v>
      </c>
      <c r="BS1791" s="3">
        <v>42663</v>
      </c>
      <c r="BT1791" s="4">
        <v>0.47916666666666669</v>
      </c>
      <c r="BU1791" s="2" t="s">
        <v>1881</v>
      </c>
      <c r="BV1791" s="2" t="s">
        <v>85</v>
      </c>
      <c r="BW1791" s="2"/>
      <c r="BX1791" s="2"/>
      <c r="BY1791" s="2">
        <v>1200</v>
      </c>
      <c r="BZ1791" s="2"/>
      <c r="CA1791" s="2"/>
      <c r="CB1791" s="2"/>
      <c r="CC1791" s="2" t="s">
        <v>219</v>
      </c>
      <c r="CD1791" s="2">
        <v>7600</v>
      </c>
      <c r="CE1791" s="2" t="s">
        <v>108</v>
      </c>
      <c r="CF1791" s="5">
        <v>42664</v>
      </c>
      <c r="CG1791" s="2"/>
      <c r="CH1791" s="2"/>
      <c r="CI1791" s="2">
        <v>1</v>
      </c>
      <c r="CJ1791" s="2">
        <v>1</v>
      </c>
      <c r="CK1791" s="2">
        <v>21</v>
      </c>
      <c r="CL1791" s="2" t="s">
        <v>88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"FES1162507992"</f>
        <v>FES1162507992</v>
      </c>
      <c r="F1792" s="3">
        <v>42662</v>
      </c>
      <c r="G1792" s="2">
        <v>201704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93</v>
      </c>
      <c r="M1792" s="2" t="s">
        <v>94</v>
      </c>
      <c r="N1792" s="2" t="s">
        <v>130</v>
      </c>
      <c r="O1792" s="2" t="s">
        <v>96</v>
      </c>
      <c r="P1792" s="2" t="str">
        <f>"2170531313                    "</f>
        <v xml:space="preserve">2170531313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3.32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0.5</v>
      </c>
      <c r="BJ1792" s="2">
        <v>0.2</v>
      </c>
      <c r="BK1792" s="2">
        <v>0.5</v>
      </c>
      <c r="BL1792" s="2">
        <v>40.76</v>
      </c>
      <c r="BM1792" s="2">
        <v>5.71</v>
      </c>
      <c r="BN1792" s="2">
        <v>46.47</v>
      </c>
      <c r="BO1792" s="2">
        <v>46.47</v>
      </c>
      <c r="BP1792" s="2"/>
      <c r="BQ1792" s="2" t="s">
        <v>131</v>
      </c>
      <c r="BR1792" s="2" t="s">
        <v>83</v>
      </c>
      <c r="BS1792" s="3">
        <v>42663</v>
      </c>
      <c r="BT1792" s="4">
        <v>0.4375</v>
      </c>
      <c r="BU1792" s="2" t="s">
        <v>132</v>
      </c>
      <c r="BV1792" s="2" t="s">
        <v>85</v>
      </c>
      <c r="BW1792" s="2"/>
      <c r="BX1792" s="2"/>
      <c r="BY1792" s="2">
        <v>1200</v>
      </c>
      <c r="BZ1792" s="2"/>
      <c r="CA1792" s="2"/>
      <c r="CB1792" s="2"/>
      <c r="CC1792" s="2" t="s">
        <v>94</v>
      </c>
      <c r="CD1792" s="2">
        <v>4302</v>
      </c>
      <c r="CE1792" s="2" t="s">
        <v>108</v>
      </c>
      <c r="CF1792" s="5">
        <v>42664</v>
      </c>
      <c r="CG1792" s="2"/>
      <c r="CH1792" s="2"/>
      <c r="CI1792" s="2">
        <v>1</v>
      </c>
      <c r="CJ1792" s="2">
        <v>1</v>
      </c>
      <c r="CK1792" s="2">
        <v>21</v>
      </c>
      <c r="CL1792" s="2" t="s">
        <v>88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"FES1162508015"</f>
        <v>FES1162508015</v>
      </c>
      <c r="F1793" s="3">
        <v>42662</v>
      </c>
      <c r="G1793" s="2">
        <v>201704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148</v>
      </c>
      <c r="M1793" s="2" t="s">
        <v>149</v>
      </c>
      <c r="N1793" s="2" t="s">
        <v>1397</v>
      </c>
      <c r="O1793" s="2" t="s">
        <v>96</v>
      </c>
      <c r="P1793" s="2" t="str">
        <f>"2170530046                    "</f>
        <v xml:space="preserve">2170530046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3.32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0.5</v>
      </c>
      <c r="BJ1793" s="2">
        <v>0.2</v>
      </c>
      <c r="BK1793" s="2">
        <v>0.5</v>
      </c>
      <c r="BL1793" s="2">
        <v>40.76</v>
      </c>
      <c r="BM1793" s="2">
        <v>5.71</v>
      </c>
      <c r="BN1793" s="2">
        <v>46.47</v>
      </c>
      <c r="BO1793" s="2">
        <v>46.47</v>
      </c>
      <c r="BP1793" s="2"/>
      <c r="BQ1793" s="2" t="s">
        <v>1935</v>
      </c>
      <c r="BR1793" s="2" t="s">
        <v>83</v>
      </c>
      <c r="BS1793" s="3">
        <v>42663</v>
      </c>
      <c r="BT1793" s="4">
        <v>0.38750000000000001</v>
      </c>
      <c r="BU1793" s="2" t="s">
        <v>1936</v>
      </c>
      <c r="BV1793" s="2" t="s">
        <v>85</v>
      </c>
      <c r="BW1793" s="2"/>
      <c r="BX1793" s="2"/>
      <c r="BY1793" s="2">
        <v>1200</v>
      </c>
      <c r="BZ1793" s="2"/>
      <c r="CA1793" s="2"/>
      <c r="CB1793" s="2"/>
      <c r="CC1793" s="2" t="s">
        <v>149</v>
      </c>
      <c r="CD1793" s="2">
        <v>4051</v>
      </c>
      <c r="CE1793" s="2" t="s">
        <v>108</v>
      </c>
      <c r="CF1793" s="5">
        <v>42664</v>
      </c>
      <c r="CG1793" s="2"/>
      <c r="CH1793" s="2"/>
      <c r="CI1793" s="2">
        <v>1</v>
      </c>
      <c r="CJ1793" s="2">
        <v>1</v>
      </c>
      <c r="CK1793" s="2">
        <v>21</v>
      </c>
      <c r="CL1793" s="2" t="s">
        <v>88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"FES1162507968"</f>
        <v>FES1162507968</v>
      </c>
      <c r="F1794" s="3">
        <v>42662</v>
      </c>
      <c r="G1794" s="2">
        <v>201704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148</v>
      </c>
      <c r="M1794" s="2" t="s">
        <v>149</v>
      </c>
      <c r="N1794" s="2" t="s">
        <v>1937</v>
      </c>
      <c r="O1794" s="2" t="s">
        <v>96</v>
      </c>
      <c r="P1794" s="2" t="str">
        <f>"2170531279                    "</f>
        <v xml:space="preserve">2170531279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3.32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0.5</v>
      </c>
      <c r="BJ1794" s="2">
        <v>0.2</v>
      </c>
      <c r="BK1794" s="2">
        <v>0.5</v>
      </c>
      <c r="BL1794" s="2">
        <v>40.76</v>
      </c>
      <c r="BM1794" s="2">
        <v>5.71</v>
      </c>
      <c r="BN1794" s="2">
        <v>46.47</v>
      </c>
      <c r="BO1794" s="2">
        <v>46.47</v>
      </c>
      <c r="BP1794" s="2"/>
      <c r="BQ1794" s="2" t="s">
        <v>1938</v>
      </c>
      <c r="BR1794" s="2" t="s">
        <v>83</v>
      </c>
      <c r="BS1794" s="3">
        <v>42663</v>
      </c>
      <c r="BT1794" s="4">
        <v>0.30763888888888891</v>
      </c>
      <c r="BU1794" s="2" t="s">
        <v>1939</v>
      </c>
      <c r="BV1794" s="2" t="s">
        <v>85</v>
      </c>
      <c r="BW1794" s="2"/>
      <c r="BX1794" s="2"/>
      <c r="BY1794" s="2">
        <v>1200</v>
      </c>
      <c r="BZ1794" s="2"/>
      <c r="CA1794" s="2" t="s">
        <v>129</v>
      </c>
      <c r="CB1794" s="2"/>
      <c r="CC1794" s="2" t="s">
        <v>149</v>
      </c>
      <c r="CD1794" s="2">
        <v>4051</v>
      </c>
      <c r="CE1794" s="2" t="s">
        <v>108</v>
      </c>
      <c r="CF1794" s="5">
        <v>42664</v>
      </c>
      <c r="CG1794" s="2"/>
      <c r="CH1794" s="2"/>
      <c r="CI1794" s="2">
        <v>1</v>
      </c>
      <c r="CJ1794" s="2">
        <v>1</v>
      </c>
      <c r="CK1794" s="2">
        <v>21</v>
      </c>
      <c r="CL1794" s="2" t="s">
        <v>88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"FES1162508023"</f>
        <v>FES1162508023</v>
      </c>
      <c r="F1795" s="3">
        <v>42662</v>
      </c>
      <c r="G1795" s="2">
        <v>201704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160</v>
      </c>
      <c r="M1795" s="2" t="s">
        <v>161</v>
      </c>
      <c r="N1795" s="2" t="s">
        <v>176</v>
      </c>
      <c r="O1795" s="2" t="s">
        <v>96</v>
      </c>
      <c r="P1795" s="2" t="str">
        <f>"2170531344                    "</f>
        <v xml:space="preserve">2170531344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3.32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0.4</v>
      </c>
      <c r="BJ1795" s="2">
        <v>1.7</v>
      </c>
      <c r="BK1795" s="2">
        <v>2</v>
      </c>
      <c r="BL1795" s="2">
        <v>40.76</v>
      </c>
      <c r="BM1795" s="2">
        <v>5.71</v>
      </c>
      <c r="BN1795" s="2">
        <v>46.47</v>
      </c>
      <c r="BO1795" s="2">
        <v>46.47</v>
      </c>
      <c r="BP1795" s="2"/>
      <c r="BQ1795" s="2" t="s">
        <v>177</v>
      </c>
      <c r="BR1795" s="2" t="s">
        <v>83</v>
      </c>
      <c r="BS1795" s="3">
        <v>42663</v>
      </c>
      <c r="BT1795" s="4">
        <v>0.41111111111111115</v>
      </c>
      <c r="BU1795" s="2" t="s">
        <v>178</v>
      </c>
      <c r="BV1795" s="2" t="s">
        <v>85</v>
      </c>
      <c r="BW1795" s="2"/>
      <c r="BX1795" s="2"/>
      <c r="BY1795" s="2">
        <v>8293.48</v>
      </c>
      <c r="BZ1795" s="2"/>
      <c r="CA1795" s="2"/>
      <c r="CB1795" s="2"/>
      <c r="CC1795" s="2" t="s">
        <v>161</v>
      </c>
      <c r="CD1795" s="2">
        <v>7530</v>
      </c>
      <c r="CE1795" s="2" t="s">
        <v>108</v>
      </c>
      <c r="CF1795" s="5">
        <v>42664</v>
      </c>
      <c r="CG1795" s="2"/>
      <c r="CH1795" s="2"/>
      <c r="CI1795" s="2">
        <v>1</v>
      </c>
      <c r="CJ1795" s="2">
        <v>1</v>
      </c>
      <c r="CK1795" s="2">
        <v>21</v>
      </c>
      <c r="CL1795" s="2" t="s">
        <v>88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"FES1162507744"</f>
        <v>FES1162507744</v>
      </c>
      <c r="F1796" s="3">
        <v>42662</v>
      </c>
      <c r="G1796" s="2">
        <v>201704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93</v>
      </c>
      <c r="M1796" s="2" t="s">
        <v>94</v>
      </c>
      <c r="N1796" s="2" t="s">
        <v>536</v>
      </c>
      <c r="O1796" s="2" t="s">
        <v>96</v>
      </c>
      <c r="P1796" s="2" t="str">
        <f>"2170528753                    "</f>
        <v xml:space="preserve">2170528753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3.32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0.5</v>
      </c>
      <c r="BJ1796" s="2">
        <v>0.2</v>
      </c>
      <c r="BK1796" s="2">
        <v>0.5</v>
      </c>
      <c r="BL1796" s="2">
        <v>40.76</v>
      </c>
      <c r="BM1796" s="2">
        <v>5.71</v>
      </c>
      <c r="BN1796" s="2">
        <v>46.47</v>
      </c>
      <c r="BO1796" s="2">
        <v>46.47</v>
      </c>
      <c r="BP1796" s="2"/>
      <c r="BQ1796" s="2" t="s">
        <v>537</v>
      </c>
      <c r="BR1796" s="2" t="s">
        <v>83</v>
      </c>
      <c r="BS1796" s="3">
        <v>42663</v>
      </c>
      <c r="BT1796" s="4">
        <v>0.4375</v>
      </c>
      <c r="BU1796" s="2" t="s">
        <v>538</v>
      </c>
      <c r="BV1796" s="2" t="s">
        <v>85</v>
      </c>
      <c r="BW1796" s="2"/>
      <c r="BX1796" s="2"/>
      <c r="BY1796" s="2">
        <v>1200</v>
      </c>
      <c r="BZ1796" s="2"/>
      <c r="CA1796" s="2"/>
      <c r="CB1796" s="2"/>
      <c r="CC1796" s="2" t="s">
        <v>94</v>
      </c>
      <c r="CD1796" s="2">
        <v>4300</v>
      </c>
      <c r="CE1796" s="2" t="s">
        <v>108</v>
      </c>
      <c r="CF1796" s="5">
        <v>42664</v>
      </c>
      <c r="CG1796" s="2"/>
      <c r="CH1796" s="2"/>
      <c r="CI1796" s="2">
        <v>1</v>
      </c>
      <c r="CJ1796" s="2">
        <v>1</v>
      </c>
      <c r="CK1796" s="2">
        <v>21</v>
      </c>
      <c r="CL1796" s="2" t="s">
        <v>88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"FES1162507681"</f>
        <v>FES1162507681</v>
      </c>
      <c r="F1797" s="3">
        <v>42662</v>
      </c>
      <c r="G1797" s="2">
        <v>201704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269</v>
      </c>
      <c r="M1797" s="2" t="s">
        <v>270</v>
      </c>
      <c r="N1797" s="2" t="s">
        <v>1104</v>
      </c>
      <c r="O1797" s="2" t="s">
        <v>96</v>
      </c>
      <c r="P1797" s="2" t="str">
        <f>"2170526406                    "</f>
        <v xml:space="preserve">2170526406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3.32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0.5</v>
      </c>
      <c r="BJ1797" s="2">
        <v>0.2</v>
      </c>
      <c r="BK1797" s="2">
        <v>0.5</v>
      </c>
      <c r="BL1797" s="2">
        <v>40.76</v>
      </c>
      <c r="BM1797" s="2">
        <v>5.71</v>
      </c>
      <c r="BN1797" s="2">
        <v>46.47</v>
      </c>
      <c r="BO1797" s="2">
        <v>46.47</v>
      </c>
      <c r="BP1797" s="2"/>
      <c r="BQ1797" s="2" t="s">
        <v>82</v>
      </c>
      <c r="BR1797" s="2" t="s">
        <v>83</v>
      </c>
      <c r="BS1797" s="3">
        <v>42663</v>
      </c>
      <c r="BT1797" s="4">
        <v>0.40902777777777777</v>
      </c>
      <c r="BU1797" s="2" t="s">
        <v>1940</v>
      </c>
      <c r="BV1797" s="2" t="s">
        <v>85</v>
      </c>
      <c r="BW1797" s="2"/>
      <c r="BX1797" s="2"/>
      <c r="BY1797" s="2">
        <v>1200</v>
      </c>
      <c r="BZ1797" s="2"/>
      <c r="CA1797" s="2" t="s">
        <v>129</v>
      </c>
      <c r="CB1797" s="2"/>
      <c r="CC1797" s="2" t="s">
        <v>270</v>
      </c>
      <c r="CD1797" s="2">
        <v>3610</v>
      </c>
      <c r="CE1797" s="2" t="s">
        <v>108</v>
      </c>
      <c r="CF1797" s="5">
        <v>42664</v>
      </c>
      <c r="CG1797" s="2"/>
      <c r="CH1797" s="2"/>
      <c r="CI1797" s="2">
        <v>1</v>
      </c>
      <c r="CJ1797" s="2">
        <v>1</v>
      </c>
      <c r="CK1797" s="2">
        <v>21</v>
      </c>
      <c r="CL1797" s="2" t="s">
        <v>88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"FES1162507673"</f>
        <v>FES1162507673</v>
      </c>
      <c r="F1798" s="3">
        <v>42662</v>
      </c>
      <c r="G1798" s="2">
        <v>201704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93</v>
      </c>
      <c r="M1798" s="2" t="s">
        <v>94</v>
      </c>
      <c r="N1798" s="2" t="s">
        <v>536</v>
      </c>
      <c r="O1798" s="2" t="s">
        <v>96</v>
      </c>
      <c r="P1798" s="2" t="str">
        <f>"2170524618                    "</f>
        <v xml:space="preserve">2170524618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7.46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0.5</v>
      </c>
      <c r="BJ1798" s="2">
        <v>4.4000000000000004</v>
      </c>
      <c r="BK1798" s="2">
        <v>4.5</v>
      </c>
      <c r="BL1798" s="2">
        <v>91.7</v>
      </c>
      <c r="BM1798" s="2">
        <v>12.84</v>
      </c>
      <c r="BN1798" s="2">
        <v>104.54</v>
      </c>
      <c r="BO1798" s="2">
        <v>104.54</v>
      </c>
      <c r="BP1798" s="2"/>
      <c r="BQ1798" s="2" t="s">
        <v>537</v>
      </c>
      <c r="BR1798" s="2" t="s">
        <v>83</v>
      </c>
      <c r="BS1798" s="3">
        <v>42663</v>
      </c>
      <c r="BT1798" s="4">
        <v>0.4375</v>
      </c>
      <c r="BU1798" s="2" t="s">
        <v>538</v>
      </c>
      <c r="BV1798" s="2" t="s">
        <v>85</v>
      </c>
      <c r="BW1798" s="2"/>
      <c r="BX1798" s="2"/>
      <c r="BY1798" s="2">
        <v>21873</v>
      </c>
      <c r="BZ1798" s="2"/>
      <c r="CA1798" s="2"/>
      <c r="CB1798" s="2"/>
      <c r="CC1798" s="2" t="s">
        <v>94</v>
      </c>
      <c r="CD1798" s="2">
        <v>4300</v>
      </c>
      <c r="CE1798" s="2" t="s">
        <v>108</v>
      </c>
      <c r="CF1798" s="5">
        <v>42664</v>
      </c>
      <c r="CG1798" s="2"/>
      <c r="CH1798" s="2"/>
      <c r="CI1798" s="2">
        <v>1</v>
      </c>
      <c r="CJ1798" s="2">
        <v>1</v>
      </c>
      <c r="CK1798" s="2">
        <v>21</v>
      </c>
      <c r="CL1798" s="2" t="s">
        <v>88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"FES1162508022"</f>
        <v>FES1162508022</v>
      </c>
      <c r="F1799" s="3">
        <v>42662</v>
      </c>
      <c r="G1799" s="2">
        <v>201704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98</v>
      </c>
      <c r="M1799" s="2" t="s">
        <v>99</v>
      </c>
      <c r="N1799" s="2" t="s">
        <v>350</v>
      </c>
      <c r="O1799" s="2" t="s">
        <v>96</v>
      </c>
      <c r="P1799" s="2" t="str">
        <f>"2170531342                    "</f>
        <v xml:space="preserve">2170531342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3.32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0.5</v>
      </c>
      <c r="BJ1799" s="2">
        <v>0.2</v>
      </c>
      <c r="BK1799" s="2">
        <v>0.5</v>
      </c>
      <c r="BL1799" s="2">
        <v>40.76</v>
      </c>
      <c r="BM1799" s="2">
        <v>5.71</v>
      </c>
      <c r="BN1799" s="2">
        <v>46.47</v>
      </c>
      <c r="BO1799" s="2">
        <v>46.47</v>
      </c>
      <c r="BP1799" s="2"/>
      <c r="BQ1799" s="2" t="s">
        <v>351</v>
      </c>
      <c r="BR1799" s="2" t="s">
        <v>83</v>
      </c>
      <c r="BS1799" s="3">
        <v>42663</v>
      </c>
      <c r="BT1799" s="4">
        <v>0.3125</v>
      </c>
      <c r="BU1799" s="2" t="s">
        <v>637</v>
      </c>
      <c r="BV1799" s="2" t="s">
        <v>85</v>
      </c>
      <c r="BW1799" s="2"/>
      <c r="BX1799" s="2"/>
      <c r="BY1799" s="2">
        <v>1200</v>
      </c>
      <c r="BZ1799" s="2"/>
      <c r="CA1799" s="2" t="s">
        <v>107</v>
      </c>
      <c r="CB1799" s="2"/>
      <c r="CC1799" s="2" t="s">
        <v>99</v>
      </c>
      <c r="CD1799" s="2">
        <v>6001</v>
      </c>
      <c r="CE1799" s="2" t="s">
        <v>108</v>
      </c>
      <c r="CF1799" s="5">
        <v>42663</v>
      </c>
      <c r="CG1799" s="2"/>
      <c r="CH1799" s="2"/>
      <c r="CI1799" s="2">
        <v>1</v>
      </c>
      <c r="CJ1799" s="2">
        <v>1</v>
      </c>
      <c r="CK1799" s="2">
        <v>21</v>
      </c>
      <c r="CL1799" s="2" t="s">
        <v>88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"FES1162507989"</f>
        <v>FES1162507989</v>
      </c>
      <c r="F1800" s="3">
        <v>42662</v>
      </c>
      <c r="G1800" s="2">
        <v>201704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921</v>
      </c>
      <c r="M1800" s="2" t="s">
        <v>922</v>
      </c>
      <c r="N1800" s="2" t="s">
        <v>923</v>
      </c>
      <c r="O1800" s="2" t="s">
        <v>96</v>
      </c>
      <c r="P1800" s="2" t="str">
        <f>"2170531308                    "</f>
        <v xml:space="preserve">2170531308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6.43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0.5</v>
      </c>
      <c r="BJ1800" s="2">
        <v>0.2</v>
      </c>
      <c r="BK1800" s="2">
        <v>0.5</v>
      </c>
      <c r="BL1800" s="2">
        <v>78.97</v>
      </c>
      <c r="BM1800" s="2">
        <v>11.06</v>
      </c>
      <c r="BN1800" s="2">
        <v>90.03</v>
      </c>
      <c r="BO1800" s="2">
        <v>90.03</v>
      </c>
      <c r="BP1800" s="2"/>
      <c r="BQ1800" s="2" t="s">
        <v>117</v>
      </c>
      <c r="BR1800" s="2" t="s">
        <v>83</v>
      </c>
      <c r="BS1800" s="3">
        <v>42663</v>
      </c>
      <c r="BT1800" s="4">
        <v>0.43124999999999997</v>
      </c>
      <c r="BU1800" s="2" t="s">
        <v>924</v>
      </c>
      <c r="BV1800" s="2" t="s">
        <v>85</v>
      </c>
      <c r="BW1800" s="2"/>
      <c r="BX1800" s="2"/>
      <c r="BY1800" s="2">
        <v>1200</v>
      </c>
      <c r="BZ1800" s="2"/>
      <c r="CA1800" s="2"/>
      <c r="CB1800" s="2"/>
      <c r="CC1800" s="2" t="s">
        <v>922</v>
      </c>
      <c r="CD1800" s="2">
        <v>3238</v>
      </c>
      <c r="CE1800" s="2" t="s">
        <v>108</v>
      </c>
      <c r="CF1800" s="5">
        <v>42664</v>
      </c>
      <c r="CG1800" s="2"/>
      <c r="CH1800" s="2"/>
      <c r="CI1800" s="2">
        <v>1</v>
      </c>
      <c r="CJ1800" s="2">
        <v>1</v>
      </c>
      <c r="CK1800" s="2">
        <v>23</v>
      </c>
      <c r="CL1800" s="2" t="s">
        <v>88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"FES1162507960"</f>
        <v>FES1162507960</v>
      </c>
      <c r="F1801" s="3">
        <v>42662</v>
      </c>
      <c r="G1801" s="2">
        <v>201704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148</v>
      </c>
      <c r="M1801" s="2" t="s">
        <v>149</v>
      </c>
      <c r="N1801" s="2" t="s">
        <v>1647</v>
      </c>
      <c r="O1801" s="2" t="s">
        <v>96</v>
      </c>
      <c r="P1801" s="2" t="str">
        <f>"2170531270                    "</f>
        <v xml:space="preserve">2170531270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3.32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0.5</v>
      </c>
      <c r="BJ1801" s="2">
        <v>0.2</v>
      </c>
      <c r="BK1801" s="2">
        <v>0.5</v>
      </c>
      <c r="BL1801" s="2">
        <v>40.76</v>
      </c>
      <c r="BM1801" s="2">
        <v>5.71</v>
      </c>
      <c r="BN1801" s="2">
        <v>46.47</v>
      </c>
      <c r="BO1801" s="2">
        <v>46.47</v>
      </c>
      <c r="BP1801" s="2"/>
      <c r="BQ1801" s="2" t="s">
        <v>1648</v>
      </c>
      <c r="BR1801" s="2" t="s">
        <v>83</v>
      </c>
      <c r="BS1801" s="3">
        <v>42663</v>
      </c>
      <c r="BT1801" s="4">
        <v>0.4375</v>
      </c>
      <c r="BU1801" s="2" t="s">
        <v>1941</v>
      </c>
      <c r="BV1801" s="2" t="s">
        <v>85</v>
      </c>
      <c r="BW1801" s="2"/>
      <c r="BX1801" s="2"/>
      <c r="BY1801" s="2">
        <v>1200</v>
      </c>
      <c r="BZ1801" s="2"/>
      <c r="CA1801" s="2" t="s">
        <v>129</v>
      </c>
      <c r="CB1801" s="2"/>
      <c r="CC1801" s="2" t="s">
        <v>149</v>
      </c>
      <c r="CD1801" s="2">
        <v>4001</v>
      </c>
      <c r="CE1801" s="2" t="s">
        <v>108</v>
      </c>
      <c r="CF1801" s="5">
        <v>42664</v>
      </c>
      <c r="CG1801" s="2"/>
      <c r="CH1801" s="2"/>
      <c r="CI1801" s="2">
        <v>1</v>
      </c>
      <c r="CJ1801" s="2">
        <v>1</v>
      </c>
      <c r="CK1801" s="2">
        <v>21</v>
      </c>
      <c r="CL1801" s="2" t="s">
        <v>88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"FES1162508078"</f>
        <v>FES1162508078</v>
      </c>
      <c r="F1802" s="3">
        <v>42662</v>
      </c>
      <c r="G1802" s="2">
        <v>201704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98</v>
      </c>
      <c r="M1802" s="2" t="s">
        <v>99</v>
      </c>
      <c r="N1802" s="2" t="s">
        <v>109</v>
      </c>
      <c r="O1802" s="2" t="s">
        <v>96</v>
      </c>
      <c r="P1802" s="2" t="str">
        <f>"2170531051                    "</f>
        <v xml:space="preserve">2170531051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19.07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11.2</v>
      </c>
      <c r="BJ1802" s="2">
        <v>3.3</v>
      </c>
      <c r="BK1802" s="2">
        <v>11.5</v>
      </c>
      <c r="BL1802" s="2">
        <v>234.35</v>
      </c>
      <c r="BM1802" s="2">
        <v>32.81</v>
      </c>
      <c r="BN1802" s="2">
        <v>267.16000000000003</v>
      </c>
      <c r="BO1802" s="2">
        <v>267.16000000000003</v>
      </c>
      <c r="BP1802" s="2"/>
      <c r="BQ1802" s="2" t="s">
        <v>110</v>
      </c>
      <c r="BR1802" s="2" t="s">
        <v>83</v>
      </c>
      <c r="BS1802" s="3">
        <v>42663</v>
      </c>
      <c r="BT1802" s="4">
        <v>0.37152777777777773</v>
      </c>
      <c r="BU1802" s="2" t="s">
        <v>1872</v>
      </c>
      <c r="BV1802" s="2" t="s">
        <v>85</v>
      </c>
      <c r="BW1802" s="2"/>
      <c r="BX1802" s="2"/>
      <c r="BY1802" s="2">
        <v>16268.8</v>
      </c>
      <c r="BZ1802" s="2"/>
      <c r="CA1802" s="2" t="s">
        <v>107</v>
      </c>
      <c r="CB1802" s="2"/>
      <c r="CC1802" s="2" t="s">
        <v>99</v>
      </c>
      <c r="CD1802" s="2">
        <v>6001</v>
      </c>
      <c r="CE1802" s="2" t="s">
        <v>86</v>
      </c>
      <c r="CF1802" s="5">
        <v>42663</v>
      </c>
      <c r="CG1802" s="2"/>
      <c r="CH1802" s="2"/>
      <c r="CI1802" s="2">
        <v>1</v>
      </c>
      <c r="CJ1802" s="2">
        <v>1</v>
      </c>
      <c r="CK1802" s="2">
        <v>21</v>
      </c>
      <c r="CL1802" s="2" t="s">
        <v>88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"FES1162507980"</f>
        <v>FES1162507980</v>
      </c>
      <c r="F1803" s="3">
        <v>42662</v>
      </c>
      <c r="G1803" s="2">
        <v>201704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148</v>
      </c>
      <c r="M1803" s="2" t="s">
        <v>149</v>
      </c>
      <c r="N1803" s="2" t="s">
        <v>743</v>
      </c>
      <c r="O1803" s="2" t="s">
        <v>96</v>
      </c>
      <c r="P1803" s="2" t="str">
        <f>"2170531292                    "</f>
        <v xml:space="preserve">2170531292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3.32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0.5</v>
      </c>
      <c r="BJ1803" s="2">
        <v>0.2</v>
      </c>
      <c r="BK1803" s="2">
        <v>0.5</v>
      </c>
      <c r="BL1803" s="2">
        <v>40.76</v>
      </c>
      <c r="BM1803" s="2">
        <v>5.71</v>
      </c>
      <c r="BN1803" s="2">
        <v>46.47</v>
      </c>
      <c r="BO1803" s="2">
        <v>46.47</v>
      </c>
      <c r="BP1803" s="2"/>
      <c r="BQ1803" s="2" t="s">
        <v>91</v>
      </c>
      <c r="BR1803" s="2" t="s">
        <v>83</v>
      </c>
      <c r="BS1803" s="3">
        <v>42663</v>
      </c>
      <c r="BT1803" s="4">
        <v>0.4375</v>
      </c>
      <c r="BU1803" s="2" t="s">
        <v>1942</v>
      </c>
      <c r="BV1803" s="2"/>
      <c r="BW1803" s="2"/>
      <c r="BX1803" s="2"/>
      <c r="BY1803" s="2">
        <v>1200</v>
      </c>
      <c r="BZ1803" s="2"/>
      <c r="CA1803" s="2"/>
      <c r="CB1803" s="2"/>
      <c r="CC1803" s="2" t="s">
        <v>149</v>
      </c>
      <c r="CD1803" s="2">
        <v>4001</v>
      </c>
      <c r="CE1803" s="2" t="s">
        <v>108</v>
      </c>
      <c r="CF1803" s="5">
        <v>42664</v>
      </c>
      <c r="CG1803" s="2"/>
      <c r="CH1803" s="2"/>
      <c r="CI1803" s="2">
        <v>0</v>
      </c>
      <c r="CJ1803" s="2">
        <v>0</v>
      </c>
      <c r="CK1803" s="2">
        <v>21</v>
      </c>
      <c r="CL1803" s="2" t="s">
        <v>88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"FES1162507768"</f>
        <v>FES1162507768</v>
      </c>
      <c r="F1804" s="3">
        <v>42662</v>
      </c>
      <c r="G1804" s="2">
        <v>201704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503</v>
      </c>
      <c r="M1804" s="2" t="s">
        <v>504</v>
      </c>
      <c r="N1804" s="2" t="s">
        <v>505</v>
      </c>
      <c r="O1804" s="2" t="s">
        <v>96</v>
      </c>
      <c r="P1804" s="2" t="str">
        <f>"2170529193                    "</f>
        <v xml:space="preserve">2170529193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6.43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0.5</v>
      </c>
      <c r="BJ1804" s="2">
        <v>0.2</v>
      </c>
      <c r="BK1804" s="2">
        <v>0.5</v>
      </c>
      <c r="BL1804" s="2">
        <v>78.97</v>
      </c>
      <c r="BM1804" s="2">
        <v>11.06</v>
      </c>
      <c r="BN1804" s="2">
        <v>90.03</v>
      </c>
      <c r="BO1804" s="2">
        <v>90.03</v>
      </c>
      <c r="BP1804" s="2"/>
      <c r="BQ1804" s="2" t="s">
        <v>91</v>
      </c>
      <c r="BR1804" s="2" t="s">
        <v>83</v>
      </c>
      <c r="BS1804" s="3">
        <v>42663</v>
      </c>
      <c r="BT1804" s="4">
        <v>0.41666666666666669</v>
      </c>
      <c r="BU1804" s="2" t="s">
        <v>506</v>
      </c>
      <c r="BV1804" s="2" t="s">
        <v>85</v>
      </c>
      <c r="BW1804" s="2"/>
      <c r="BX1804" s="2"/>
      <c r="BY1804" s="2">
        <v>1200</v>
      </c>
      <c r="BZ1804" s="2"/>
      <c r="CA1804" s="2"/>
      <c r="CB1804" s="2"/>
      <c r="CC1804" s="2" t="s">
        <v>504</v>
      </c>
      <c r="CD1804" s="2">
        <v>7349</v>
      </c>
      <c r="CE1804" s="2" t="s">
        <v>108</v>
      </c>
      <c r="CF1804" s="5">
        <v>42664</v>
      </c>
      <c r="CG1804" s="2"/>
      <c r="CH1804" s="2"/>
      <c r="CI1804" s="2">
        <v>1</v>
      </c>
      <c r="CJ1804" s="2">
        <v>1</v>
      </c>
      <c r="CK1804" s="2">
        <v>23</v>
      </c>
      <c r="CL1804" s="2" t="s">
        <v>88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"FES1162507895"</f>
        <v>FES1162507895</v>
      </c>
      <c r="F1805" s="3">
        <v>42662</v>
      </c>
      <c r="G1805" s="2">
        <v>201704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160</v>
      </c>
      <c r="M1805" s="2" t="s">
        <v>161</v>
      </c>
      <c r="N1805" s="2" t="s">
        <v>1729</v>
      </c>
      <c r="O1805" s="2" t="s">
        <v>96</v>
      </c>
      <c r="P1805" s="2" t="str">
        <f>"2170530863                    "</f>
        <v xml:space="preserve">2170530863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3.32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0.5</v>
      </c>
      <c r="BJ1805" s="2">
        <v>0.2</v>
      </c>
      <c r="BK1805" s="2">
        <v>0.5</v>
      </c>
      <c r="BL1805" s="2">
        <v>40.76</v>
      </c>
      <c r="BM1805" s="2">
        <v>5.71</v>
      </c>
      <c r="BN1805" s="2">
        <v>46.47</v>
      </c>
      <c r="BO1805" s="2">
        <v>46.47</v>
      </c>
      <c r="BP1805" s="2"/>
      <c r="BQ1805" s="2" t="s">
        <v>1730</v>
      </c>
      <c r="BR1805" s="2" t="s">
        <v>83</v>
      </c>
      <c r="BS1805" s="3">
        <v>42663</v>
      </c>
      <c r="BT1805" s="4">
        <v>0.40277777777777773</v>
      </c>
      <c r="BU1805" s="2" t="s">
        <v>1943</v>
      </c>
      <c r="BV1805" s="2" t="s">
        <v>85</v>
      </c>
      <c r="BW1805" s="2"/>
      <c r="BX1805" s="2"/>
      <c r="BY1805" s="2">
        <v>1200</v>
      </c>
      <c r="BZ1805" s="2"/>
      <c r="CA1805" s="2"/>
      <c r="CB1805" s="2"/>
      <c r="CC1805" s="2" t="s">
        <v>161</v>
      </c>
      <c r="CD1805" s="2">
        <v>7441</v>
      </c>
      <c r="CE1805" s="2" t="s">
        <v>108</v>
      </c>
      <c r="CF1805" s="5">
        <v>42664</v>
      </c>
      <c r="CG1805" s="2"/>
      <c r="CH1805" s="2"/>
      <c r="CI1805" s="2">
        <v>1</v>
      </c>
      <c r="CJ1805" s="2">
        <v>1</v>
      </c>
      <c r="CK1805" s="2">
        <v>21</v>
      </c>
      <c r="CL1805" s="2" t="s">
        <v>88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"FES1162507788"</f>
        <v>FES1162507788</v>
      </c>
      <c r="F1806" s="3">
        <v>42662</v>
      </c>
      <c r="G1806" s="2">
        <v>201704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682</v>
      </c>
      <c r="M1806" s="2" t="s">
        <v>682</v>
      </c>
      <c r="N1806" s="2" t="s">
        <v>683</v>
      </c>
      <c r="O1806" s="2" t="s">
        <v>96</v>
      </c>
      <c r="P1806" s="2" t="str">
        <f>"2170531053                    "</f>
        <v xml:space="preserve">2170531053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3.32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0.5</v>
      </c>
      <c r="BJ1806" s="2">
        <v>0.2</v>
      </c>
      <c r="BK1806" s="2">
        <v>0.5</v>
      </c>
      <c r="BL1806" s="2">
        <v>40.76</v>
      </c>
      <c r="BM1806" s="2">
        <v>5.71</v>
      </c>
      <c r="BN1806" s="2">
        <v>46.47</v>
      </c>
      <c r="BO1806" s="2">
        <v>46.47</v>
      </c>
      <c r="BP1806" s="2"/>
      <c r="BQ1806" s="2" t="s">
        <v>117</v>
      </c>
      <c r="BR1806" s="2" t="s">
        <v>83</v>
      </c>
      <c r="BS1806" s="3">
        <v>42664</v>
      </c>
      <c r="BT1806" s="4">
        <v>0.41666666666666669</v>
      </c>
      <c r="BU1806" s="2" t="s">
        <v>1944</v>
      </c>
      <c r="BV1806" s="2" t="s">
        <v>85</v>
      </c>
      <c r="BW1806" s="2"/>
      <c r="BX1806" s="2"/>
      <c r="BY1806" s="2">
        <v>1200</v>
      </c>
      <c r="BZ1806" s="2"/>
      <c r="CA1806" s="2"/>
      <c r="CB1806" s="2"/>
      <c r="CC1806" s="2" t="s">
        <v>682</v>
      </c>
      <c r="CD1806" s="2">
        <v>6835</v>
      </c>
      <c r="CE1806" s="2" t="s">
        <v>108</v>
      </c>
      <c r="CF1806" s="5">
        <v>42668</v>
      </c>
      <c r="CG1806" s="2"/>
      <c r="CH1806" s="2"/>
      <c r="CI1806" s="2">
        <v>3</v>
      </c>
      <c r="CJ1806" s="2">
        <v>2</v>
      </c>
      <c r="CK1806" s="2">
        <v>21</v>
      </c>
      <c r="CL1806" s="2" t="s">
        <v>88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"FES1162507890"</f>
        <v>FES1162507890</v>
      </c>
      <c r="F1807" s="3">
        <v>42662</v>
      </c>
      <c r="G1807" s="2">
        <v>201704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218</v>
      </c>
      <c r="M1807" s="2" t="s">
        <v>219</v>
      </c>
      <c r="N1807" s="2" t="s">
        <v>220</v>
      </c>
      <c r="O1807" s="2" t="s">
        <v>96</v>
      </c>
      <c r="P1807" s="2" t="str">
        <f>"2170530512                    "</f>
        <v xml:space="preserve">2170530512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3.32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0.5</v>
      </c>
      <c r="BJ1807" s="2">
        <v>0.2</v>
      </c>
      <c r="BK1807" s="2">
        <v>0.5</v>
      </c>
      <c r="BL1807" s="2">
        <v>40.76</v>
      </c>
      <c r="BM1807" s="2">
        <v>5.71</v>
      </c>
      <c r="BN1807" s="2">
        <v>46.47</v>
      </c>
      <c r="BO1807" s="2">
        <v>46.47</v>
      </c>
      <c r="BP1807" s="2"/>
      <c r="BQ1807" s="2" t="s">
        <v>91</v>
      </c>
      <c r="BR1807" s="2" t="s">
        <v>83</v>
      </c>
      <c r="BS1807" s="3">
        <v>42663</v>
      </c>
      <c r="BT1807" s="4">
        <v>0.47916666666666669</v>
      </c>
      <c r="BU1807" s="2" t="s">
        <v>1881</v>
      </c>
      <c r="BV1807" s="2" t="s">
        <v>85</v>
      </c>
      <c r="BW1807" s="2"/>
      <c r="BX1807" s="2"/>
      <c r="BY1807" s="2">
        <v>1200</v>
      </c>
      <c r="BZ1807" s="2"/>
      <c r="CA1807" s="2"/>
      <c r="CB1807" s="2"/>
      <c r="CC1807" s="2" t="s">
        <v>219</v>
      </c>
      <c r="CD1807" s="2">
        <v>7600</v>
      </c>
      <c r="CE1807" s="2" t="s">
        <v>108</v>
      </c>
      <c r="CF1807" s="5">
        <v>42664</v>
      </c>
      <c r="CG1807" s="2"/>
      <c r="CH1807" s="2"/>
      <c r="CI1807" s="2">
        <v>1</v>
      </c>
      <c r="CJ1807" s="2">
        <v>1</v>
      </c>
      <c r="CK1807" s="2">
        <v>21</v>
      </c>
      <c r="CL1807" s="2" t="s">
        <v>88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"FES1162508061"</f>
        <v>FES1162508061</v>
      </c>
      <c r="F1808" s="3">
        <v>42662</v>
      </c>
      <c r="G1808" s="2">
        <v>201704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153</v>
      </c>
      <c r="M1808" s="2" t="s">
        <v>153</v>
      </c>
      <c r="N1808" s="2" t="s">
        <v>501</v>
      </c>
      <c r="O1808" s="2" t="s">
        <v>96</v>
      </c>
      <c r="P1808" s="2" t="str">
        <f>"2170531394                    "</f>
        <v xml:space="preserve">2170531394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3.32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0.5</v>
      </c>
      <c r="BJ1808" s="2">
        <v>0.2</v>
      </c>
      <c r="BK1808" s="2">
        <v>0.5</v>
      </c>
      <c r="BL1808" s="2">
        <v>40.76</v>
      </c>
      <c r="BM1808" s="2">
        <v>5.71</v>
      </c>
      <c r="BN1808" s="2">
        <v>46.47</v>
      </c>
      <c r="BO1808" s="2">
        <v>46.47</v>
      </c>
      <c r="BP1808" s="2"/>
      <c r="BQ1808" s="2" t="s">
        <v>82</v>
      </c>
      <c r="BR1808" s="2" t="s">
        <v>83</v>
      </c>
      <c r="BS1808" s="3">
        <v>42663</v>
      </c>
      <c r="BT1808" s="4">
        <v>0.53472222222222221</v>
      </c>
      <c r="BU1808" s="2" t="s">
        <v>1486</v>
      </c>
      <c r="BV1808" s="2" t="s">
        <v>85</v>
      </c>
      <c r="BW1808" s="2"/>
      <c r="BX1808" s="2"/>
      <c r="BY1808" s="2">
        <v>1200</v>
      </c>
      <c r="BZ1808" s="2"/>
      <c r="CA1808" s="2"/>
      <c r="CB1808" s="2"/>
      <c r="CC1808" s="2" t="s">
        <v>153</v>
      </c>
      <c r="CD1808" s="2">
        <v>7620</v>
      </c>
      <c r="CE1808" s="2" t="s">
        <v>108</v>
      </c>
      <c r="CF1808" s="5">
        <v>42664</v>
      </c>
      <c r="CG1808" s="2"/>
      <c r="CH1808" s="2"/>
      <c r="CI1808" s="2">
        <v>1</v>
      </c>
      <c r="CJ1808" s="2">
        <v>1</v>
      </c>
      <c r="CK1808" s="2">
        <v>21</v>
      </c>
      <c r="CL1808" s="2" t="s">
        <v>88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"FES1162507753"</f>
        <v>FES1162507753</v>
      </c>
      <c r="F1809" s="3">
        <v>42662</v>
      </c>
      <c r="G1809" s="2">
        <v>201704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124</v>
      </c>
      <c r="M1809" s="2" t="s">
        <v>125</v>
      </c>
      <c r="N1809" s="2" t="s">
        <v>583</v>
      </c>
      <c r="O1809" s="2" t="s">
        <v>96</v>
      </c>
      <c r="P1809" s="2" t="str">
        <f>"2170528858                    "</f>
        <v xml:space="preserve">2170528858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3.32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0.5</v>
      </c>
      <c r="BJ1809" s="2">
        <v>0.2</v>
      </c>
      <c r="BK1809" s="2">
        <v>0.5</v>
      </c>
      <c r="BL1809" s="2">
        <v>40.76</v>
      </c>
      <c r="BM1809" s="2">
        <v>5.71</v>
      </c>
      <c r="BN1809" s="2">
        <v>46.47</v>
      </c>
      <c r="BO1809" s="2">
        <v>46.47</v>
      </c>
      <c r="BP1809" s="2"/>
      <c r="BQ1809" s="2" t="s">
        <v>117</v>
      </c>
      <c r="BR1809" s="2" t="s">
        <v>83</v>
      </c>
      <c r="BS1809" s="3">
        <v>42663</v>
      </c>
      <c r="BT1809" s="4">
        <v>0.55208333333333337</v>
      </c>
      <c r="BU1809" s="2" t="s">
        <v>1945</v>
      </c>
      <c r="BV1809" s="2" t="s">
        <v>85</v>
      </c>
      <c r="BW1809" s="2"/>
      <c r="BX1809" s="2"/>
      <c r="BY1809" s="2">
        <v>1200</v>
      </c>
      <c r="BZ1809" s="2"/>
      <c r="CA1809" s="2" t="s">
        <v>129</v>
      </c>
      <c r="CB1809" s="2"/>
      <c r="CC1809" s="2" t="s">
        <v>125</v>
      </c>
      <c r="CD1809" s="2">
        <v>7140</v>
      </c>
      <c r="CE1809" s="2" t="s">
        <v>108</v>
      </c>
      <c r="CF1809" s="5">
        <v>42664</v>
      </c>
      <c r="CG1809" s="2"/>
      <c r="CH1809" s="2"/>
      <c r="CI1809" s="2">
        <v>1</v>
      </c>
      <c r="CJ1809" s="2">
        <v>1</v>
      </c>
      <c r="CK1809" s="2">
        <v>21</v>
      </c>
      <c r="CL1809" s="2" t="s">
        <v>88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"FES1162507863"</f>
        <v>FES1162507863</v>
      </c>
      <c r="F1810" s="3">
        <v>42662</v>
      </c>
      <c r="G1810" s="2">
        <v>201704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503</v>
      </c>
      <c r="M1810" s="2" t="s">
        <v>504</v>
      </c>
      <c r="N1810" s="2" t="s">
        <v>505</v>
      </c>
      <c r="O1810" s="2" t="s">
        <v>96</v>
      </c>
      <c r="P1810" s="2" t="str">
        <f>"2170531157                    "</f>
        <v xml:space="preserve">2170531157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6.43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0.5</v>
      </c>
      <c r="BJ1810" s="2">
        <v>0.2</v>
      </c>
      <c r="BK1810" s="2">
        <v>0.5</v>
      </c>
      <c r="BL1810" s="2">
        <v>78.97</v>
      </c>
      <c r="BM1810" s="2">
        <v>11.06</v>
      </c>
      <c r="BN1810" s="2">
        <v>90.03</v>
      </c>
      <c r="BO1810" s="2">
        <v>90.03</v>
      </c>
      <c r="BP1810" s="2"/>
      <c r="BQ1810" s="2" t="s">
        <v>91</v>
      </c>
      <c r="BR1810" s="2" t="s">
        <v>83</v>
      </c>
      <c r="BS1810" s="3">
        <v>42663</v>
      </c>
      <c r="BT1810" s="4">
        <v>0.41666666666666669</v>
      </c>
      <c r="BU1810" s="2" t="s">
        <v>506</v>
      </c>
      <c r="BV1810" s="2" t="s">
        <v>85</v>
      </c>
      <c r="BW1810" s="2"/>
      <c r="BX1810" s="2"/>
      <c r="BY1810" s="2">
        <v>1200</v>
      </c>
      <c r="BZ1810" s="2"/>
      <c r="CA1810" s="2"/>
      <c r="CB1810" s="2"/>
      <c r="CC1810" s="2" t="s">
        <v>504</v>
      </c>
      <c r="CD1810" s="2">
        <v>7349</v>
      </c>
      <c r="CE1810" s="2" t="s">
        <v>108</v>
      </c>
      <c r="CF1810" s="5">
        <v>42664</v>
      </c>
      <c r="CG1810" s="2"/>
      <c r="CH1810" s="2"/>
      <c r="CI1810" s="2">
        <v>1</v>
      </c>
      <c r="CJ1810" s="2">
        <v>1</v>
      </c>
      <c r="CK1810" s="2">
        <v>23</v>
      </c>
      <c r="CL1810" s="2" t="s">
        <v>88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"FES1162508069"</f>
        <v>FES1162508069</v>
      </c>
      <c r="F1811" s="3">
        <v>42662</v>
      </c>
      <c r="G1811" s="2">
        <v>201704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119</v>
      </c>
      <c r="M1811" s="2" t="s">
        <v>120</v>
      </c>
      <c r="N1811" s="2" t="s">
        <v>585</v>
      </c>
      <c r="O1811" s="2" t="s">
        <v>96</v>
      </c>
      <c r="P1811" s="2" t="str">
        <f>"2170531396                    "</f>
        <v xml:space="preserve">2170531396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3.32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0.5</v>
      </c>
      <c r="BJ1811" s="2">
        <v>0.2</v>
      </c>
      <c r="BK1811" s="2">
        <v>0.5</v>
      </c>
      <c r="BL1811" s="2">
        <v>40.76</v>
      </c>
      <c r="BM1811" s="2">
        <v>5.71</v>
      </c>
      <c r="BN1811" s="2">
        <v>46.47</v>
      </c>
      <c r="BO1811" s="2">
        <v>46.47</v>
      </c>
      <c r="BP1811" s="2"/>
      <c r="BQ1811" s="2" t="s">
        <v>586</v>
      </c>
      <c r="BR1811" s="2" t="s">
        <v>83</v>
      </c>
      <c r="BS1811" s="3">
        <v>42663</v>
      </c>
      <c r="BT1811" s="4">
        <v>0.37916666666666665</v>
      </c>
      <c r="BU1811" s="2" t="s">
        <v>587</v>
      </c>
      <c r="BV1811" s="2" t="s">
        <v>85</v>
      </c>
      <c r="BW1811" s="2"/>
      <c r="BX1811" s="2"/>
      <c r="BY1811" s="2">
        <v>1200</v>
      </c>
      <c r="BZ1811" s="2"/>
      <c r="CA1811" s="2"/>
      <c r="CB1811" s="2"/>
      <c r="CC1811" s="2" t="s">
        <v>120</v>
      </c>
      <c r="CD1811" s="2">
        <v>6229</v>
      </c>
      <c r="CE1811" s="2" t="s">
        <v>108</v>
      </c>
      <c r="CF1811" s="5">
        <v>42664</v>
      </c>
      <c r="CG1811" s="2"/>
      <c r="CH1811" s="2"/>
      <c r="CI1811" s="2">
        <v>1</v>
      </c>
      <c r="CJ1811" s="2">
        <v>1</v>
      </c>
      <c r="CK1811" s="2">
        <v>21</v>
      </c>
      <c r="CL1811" s="2" t="s">
        <v>88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"FES1162507784"</f>
        <v>FES1162507784</v>
      </c>
      <c r="F1812" s="3">
        <v>42662</v>
      </c>
      <c r="G1812" s="2">
        <v>201704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160</v>
      </c>
      <c r="M1812" s="2" t="s">
        <v>161</v>
      </c>
      <c r="N1812" s="2" t="s">
        <v>659</v>
      </c>
      <c r="O1812" s="2" t="s">
        <v>96</v>
      </c>
      <c r="P1812" s="2" t="str">
        <f>"2170530920                    "</f>
        <v xml:space="preserve">2170530920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3.32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0.6</v>
      </c>
      <c r="BJ1812" s="2">
        <v>1.4</v>
      </c>
      <c r="BK1812" s="2">
        <v>1.5</v>
      </c>
      <c r="BL1812" s="2">
        <v>40.76</v>
      </c>
      <c r="BM1812" s="2">
        <v>5.71</v>
      </c>
      <c r="BN1812" s="2">
        <v>46.47</v>
      </c>
      <c r="BO1812" s="2">
        <v>46.47</v>
      </c>
      <c r="BP1812" s="2"/>
      <c r="BQ1812" s="2" t="s">
        <v>91</v>
      </c>
      <c r="BR1812" s="2" t="s">
        <v>83</v>
      </c>
      <c r="BS1812" s="3">
        <v>42663</v>
      </c>
      <c r="BT1812" s="4">
        <v>0.41666666666666669</v>
      </c>
      <c r="BU1812" s="2" t="s">
        <v>660</v>
      </c>
      <c r="BV1812" s="2" t="s">
        <v>85</v>
      </c>
      <c r="BW1812" s="2"/>
      <c r="BX1812" s="2"/>
      <c r="BY1812" s="2">
        <v>7017.86</v>
      </c>
      <c r="BZ1812" s="2"/>
      <c r="CA1812" s="2"/>
      <c r="CB1812" s="2"/>
      <c r="CC1812" s="2" t="s">
        <v>161</v>
      </c>
      <c r="CD1812" s="2">
        <v>7460</v>
      </c>
      <c r="CE1812" s="2" t="s">
        <v>108</v>
      </c>
      <c r="CF1812" s="5">
        <v>42664</v>
      </c>
      <c r="CG1812" s="2"/>
      <c r="CH1812" s="2"/>
      <c r="CI1812" s="2">
        <v>1</v>
      </c>
      <c r="CJ1812" s="2">
        <v>1</v>
      </c>
      <c r="CK1812" s="2">
        <v>21</v>
      </c>
      <c r="CL1812" s="2" t="s">
        <v>88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"FES1162508045"</f>
        <v>FES1162508045</v>
      </c>
      <c r="F1813" s="3">
        <v>42662</v>
      </c>
      <c r="G1813" s="2">
        <v>201704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137</v>
      </c>
      <c r="M1813" s="2" t="s">
        <v>138</v>
      </c>
      <c r="N1813" s="2" t="s">
        <v>420</v>
      </c>
      <c r="O1813" s="2" t="s">
        <v>96</v>
      </c>
      <c r="P1813" s="2" t="str">
        <f>"2170531360                    "</f>
        <v xml:space="preserve">2170531360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3.32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1</v>
      </c>
      <c r="BI1813" s="2">
        <v>0.5</v>
      </c>
      <c r="BJ1813" s="2">
        <v>0.2</v>
      </c>
      <c r="BK1813" s="2">
        <v>0.5</v>
      </c>
      <c r="BL1813" s="2">
        <v>40.76</v>
      </c>
      <c r="BM1813" s="2">
        <v>5.71</v>
      </c>
      <c r="BN1813" s="2">
        <v>46.47</v>
      </c>
      <c r="BO1813" s="2">
        <v>46.47</v>
      </c>
      <c r="BP1813" s="2"/>
      <c r="BQ1813" s="2" t="s">
        <v>117</v>
      </c>
      <c r="BR1813" s="2" t="s">
        <v>83</v>
      </c>
      <c r="BS1813" s="3">
        <v>42663</v>
      </c>
      <c r="BT1813" s="4">
        <v>0.4375</v>
      </c>
      <c r="BU1813" s="2" t="s">
        <v>1668</v>
      </c>
      <c r="BV1813" s="2" t="s">
        <v>85</v>
      </c>
      <c r="BW1813" s="2"/>
      <c r="BX1813" s="2"/>
      <c r="BY1813" s="2">
        <v>1200</v>
      </c>
      <c r="BZ1813" s="2"/>
      <c r="CA1813" s="2" t="s">
        <v>613</v>
      </c>
      <c r="CB1813" s="2"/>
      <c r="CC1813" s="2" t="s">
        <v>138</v>
      </c>
      <c r="CD1813" s="2">
        <v>3201</v>
      </c>
      <c r="CE1813" s="2" t="s">
        <v>108</v>
      </c>
      <c r="CF1813" s="5">
        <v>42663</v>
      </c>
      <c r="CG1813" s="2"/>
      <c r="CH1813" s="2"/>
      <c r="CI1813" s="2">
        <v>1</v>
      </c>
      <c r="CJ1813" s="2">
        <v>1</v>
      </c>
      <c r="CK1813" s="2">
        <v>21</v>
      </c>
      <c r="CL1813" s="2" t="s">
        <v>88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"FES1162508048"</f>
        <v>FES1162508048</v>
      </c>
      <c r="F1814" s="3">
        <v>42662</v>
      </c>
      <c r="G1814" s="2">
        <v>201704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614</v>
      </c>
      <c r="M1814" s="2" t="s">
        <v>615</v>
      </c>
      <c r="N1814" s="2" t="s">
        <v>1946</v>
      </c>
      <c r="O1814" s="2" t="s">
        <v>96</v>
      </c>
      <c r="P1814" s="2" t="str">
        <f>"2170531367                    "</f>
        <v xml:space="preserve">2170531367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3.32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0.5</v>
      </c>
      <c r="BJ1814" s="2">
        <v>0.2</v>
      </c>
      <c r="BK1814" s="2">
        <v>0.5</v>
      </c>
      <c r="BL1814" s="2">
        <v>40.76</v>
      </c>
      <c r="BM1814" s="2">
        <v>5.71</v>
      </c>
      <c r="BN1814" s="2">
        <v>46.47</v>
      </c>
      <c r="BO1814" s="2">
        <v>46.47</v>
      </c>
      <c r="BP1814" s="2"/>
      <c r="BQ1814" s="2" t="s">
        <v>1947</v>
      </c>
      <c r="BR1814" s="2" t="s">
        <v>83</v>
      </c>
      <c r="BS1814" s="3">
        <v>42663</v>
      </c>
      <c r="BT1814" s="4">
        <v>0.4375</v>
      </c>
      <c r="BU1814" s="2" t="s">
        <v>1948</v>
      </c>
      <c r="BV1814" s="2" t="s">
        <v>85</v>
      </c>
      <c r="BW1814" s="2"/>
      <c r="BX1814" s="2"/>
      <c r="BY1814" s="2">
        <v>1200</v>
      </c>
      <c r="BZ1814" s="2"/>
      <c r="CA1814" s="2" t="s">
        <v>129</v>
      </c>
      <c r="CB1814" s="2"/>
      <c r="CC1814" s="2" t="s">
        <v>615</v>
      </c>
      <c r="CD1814" s="2">
        <v>4026</v>
      </c>
      <c r="CE1814" s="2" t="s">
        <v>108</v>
      </c>
      <c r="CF1814" s="5">
        <v>42664</v>
      </c>
      <c r="CG1814" s="2"/>
      <c r="CH1814" s="2"/>
      <c r="CI1814" s="2">
        <v>1</v>
      </c>
      <c r="CJ1814" s="2">
        <v>1</v>
      </c>
      <c r="CK1814" s="2">
        <v>21</v>
      </c>
      <c r="CL1814" s="2" t="s">
        <v>88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"FES1162508019"</f>
        <v>FES1162508019</v>
      </c>
      <c r="F1815" s="3">
        <v>42662</v>
      </c>
      <c r="G1815" s="2">
        <v>201704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160</v>
      </c>
      <c r="M1815" s="2" t="s">
        <v>161</v>
      </c>
      <c r="N1815" s="2" t="s">
        <v>601</v>
      </c>
      <c r="O1815" s="2" t="s">
        <v>96</v>
      </c>
      <c r="P1815" s="2" t="str">
        <f>"2170531334                    "</f>
        <v xml:space="preserve">2170531334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234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3.32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0.5</v>
      </c>
      <c r="BJ1815" s="2">
        <v>0.2</v>
      </c>
      <c r="BK1815" s="2">
        <v>0.5</v>
      </c>
      <c r="BL1815" s="2">
        <v>274.76</v>
      </c>
      <c r="BM1815" s="2">
        <v>38.47</v>
      </c>
      <c r="BN1815" s="2">
        <v>313.23</v>
      </c>
      <c r="BO1815" s="2">
        <v>313.23</v>
      </c>
      <c r="BP1815" s="2" t="s">
        <v>487</v>
      </c>
      <c r="BQ1815" s="2" t="s">
        <v>602</v>
      </c>
      <c r="BR1815" s="2" t="s">
        <v>83</v>
      </c>
      <c r="BS1815" s="3">
        <v>42662</v>
      </c>
      <c r="BT1815" s="4">
        <v>0.35416666666666669</v>
      </c>
      <c r="BU1815" s="2" t="s">
        <v>602</v>
      </c>
      <c r="BV1815" s="2" t="s">
        <v>85</v>
      </c>
      <c r="BW1815" s="2"/>
      <c r="BX1815" s="2"/>
      <c r="BY1815" s="2">
        <v>1200</v>
      </c>
      <c r="BZ1815" s="2" t="s">
        <v>25</v>
      </c>
      <c r="CA1815" s="2"/>
      <c r="CB1815" s="2"/>
      <c r="CC1815" s="2" t="s">
        <v>161</v>
      </c>
      <c r="CD1815" s="2">
        <v>7945</v>
      </c>
      <c r="CE1815" s="2" t="s">
        <v>108</v>
      </c>
      <c r="CF1815" s="5">
        <v>42664</v>
      </c>
      <c r="CG1815" s="2"/>
      <c r="CH1815" s="2"/>
      <c r="CI1815" s="2">
        <v>1</v>
      </c>
      <c r="CJ1815" s="2">
        <v>0</v>
      </c>
      <c r="CK1815" s="2">
        <v>21</v>
      </c>
      <c r="CL1815" s="2" t="s">
        <v>85</v>
      </c>
      <c r="CM1815" s="4">
        <v>0.35416666666666669</v>
      </c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"FES1162508493"</f>
        <v>FES1162508493</v>
      </c>
      <c r="F1816" s="3">
        <v>42664</v>
      </c>
      <c r="G1816" s="2">
        <v>201704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137</v>
      </c>
      <c r="M1816" s="2" t="s">
        <v>138</v>
      </c>
      <c r="N1816" s="2" t="s">
        <v>203</v>
      </c>
      <c r="O1816" s="2" t="s">
        <v>96</v>
      </c>
      <c r="P1816" s="2" t="str">
        <f>"2170531764                    "</f>
        <v xml:space="preserve">2170531764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3.32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1</v>
      </c>
      <c r="BJ1816" s="2">
        <v>0.2</v>
      </c>
      <c r="BK1816" s="2">
        <v>1</v>
      </c>
      <c r="BL1816" s="2">
        <v>40.76</v>
      </c>
      <c r="BM1816" s="2">
        <v>5.71</v>
      </c>
      <c r="BN1816" s="2">
        <v>46.47</v>
      </c>
      <c r="BO1816" s="2">
        <v>46.47</v>
      </c>
      <c r="BP1816" s="2"/>
      <c r="BQ1816" s="2" t="s">
        <v>168</v>
      </c>
      <c r="BR1816" s="2" t="s">
        <v>83</v>
      </c>
      <c r="BS1816" s="3">
        <v>42667</v>
      </c>
      <c r="BT1816" s="4">
        <v>0.41666666666666669</v>
      </c>
      <c r="BU1816" s="2" t="s">
        <v>1949</v>
      </c>
      <c r="BV1816" s="2"/>
      <c r="BW1816" s="2"/>
      <c r="BX1816" s="2"/>
      <c r="BY1816" s="2">
        <v>1200</v>
      </c>
      <c r="BZ1816" s="2"/>
      <c r="CA1816" s="2"/>
      <c r="CB1816" s="2"/>
      <c r="CC1816" s="2" t="s">
        <v>138</v>
      </c>
      <c r="CD1816" s="2">
        <v>3201</v>
      </c>
      <c r="CE1816" s="2" t="s">
        <v>108</v>
      </c>
      <c r="CF1816" s="5">
        <v>42668</v>
      </c>
      <c r="CG1816" s="2"/>
      <c r="CH1816" s="2"/>
      <c r="CI1816" s="2">
        <v>0</v>
      </c>
      <c r="CJ1816" s="2">
        <v>0</v>
      </c>
      <c r="CK1816" s="2">
        <v>21</v>
      </c>
      <c r="CL1816" s="2" t="s">
        <v>88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"FES1162508500"</f>
        <v>FES1162508500</v>
      </c>
      <c r="F1817" s="3">
        <v>42664</v>
      </c>
      <c r="G1817" s="2">
        <v>201704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137</v>
      </c>
      <c r="M1817" s="2" t="s">
        <v>138</v>
      </c>
      <c r="N1817" s="2" t="s">
        <v>1950</v>
      </c>
      <c r="O1817" s="2" t="s">
        <v>96</v>
      </c>
      <c r="P1817" s="2" t="str">
        <f>"2170531777                    "</f>
        <v xml:space="preserve">2170531777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3.32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1</v>
      </c>
      <c r="BJ1817" s="2">
        <v>0.2</v>
      </c>
      <c r="BK1817" s="2">
        <v>1</v>
      </c>
      <c r="BL1817" s="2">
        <v>40.76</v>
      </c>
      <c r="BM1817" s="2">
        <v>5.71</v>
      </c>
      <c r="BN1817" s="2">
        <v>46.47</v>
      </c>
      <c r="BO1817" s="2">
        <v>46.47</v>
      </c>
      <c r="BP1817" s="2"/>
      <c r="BQ1817" s="2" t="s">
        <v>1951</v>
      </c>
      <c r="BR1817" s="2" t="s">
        <v>83</v>
      </c>
      <c r="BS1817" s="3">
        <v>42667</v>
      </c>
      <c r="BT1817" s="4">
        <v>0.38541666666666669</v>
      </c>
      <c r="BU1817" s="2" t="s">
        <v>1952</v>
      </c>
      <c r="BV1817" s="2" t="s">
        <v>85</v>
      </c>
      <c r="BW1817" s="2"/>
      <c r="BX1817" s="2"/>
      <c r="BY1817" s="2">
        <v>1200</v>
      </c>
      <c r="BZ1817" s="2"/>
      <c r="CA1817" s="2" t="s">
        <v>129</v>
      </c>
      <c r="CB1817" s="2"/>
      <c r="CC1817" s="2" t="s">
        <v>138</v>
      </c>
      <c r="CD1817" s="2">
        <v>3201</v>
      </c>
      <c r="CE1817" s="2" t="s">
        <v>108</v>
      </c>
      <c r="CF1817" s="5">
        <v>42667</v>
      </c>
      <c r="CG1817" s="2"/>
      <c r="CH1817" s="2"/>
      <c r="CI1817" s="2">
        <v>1</v>
      </c>
      <c r="CJ1817" s="2">
        <v>1</v>
      </c>
      <c r="CK1817" s="2">
        <v>21</v>
      </c>
      <c r="CL1817" s="2" t="s">
        <v>88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"FES1162507792"</f>
        <v>FES1162507792</v>
      </c>
      <c r="F1818" s="3">
        <v>42662</v>
      </c>
      <c r="G1818" s="2">
        <v>201704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269</v>
      </c>
      <c r="M1818" s="2" t="s">
        <v>270</v>
      </c>
      <c r="N1818" s="2" t="s">
        <v>299</v>
      </c>
      <c r="O1818" s="2" t="s">
        <v>96</v>
      </c>
      <c r="P1818" s="2" t="str">
        <f>"2170531141                    "</f>
        <v xml:space="preserve">2170531141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4.1500000000000004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2.1</v>
      </c>
      <c r="BJ1818" s="2">
        <v>0.9</v>
      </c>
      <c r="BK1818" s="2">
        <v>2.5</v>
      </c>
      <c r="BL1818" s="2">
        <v>50.95</v>
      </c>
      <c r="BM1818" s="2">
        <v>7.13</v>
      </c>
      <c r="BN1818" s="2">
        <v>58.08</v>
      </c>
      <c r="BO1818" s="2">
        <v>58.08</v>
      </c>
      <c r="BP1818" s="2"/>
      <c r="BQ1818" s="2" t="s">
        <v>300</v>
      </c>
      <c r="BR1818" s="2" t="s">
        <v>83</v>
      </c>
      <c r="BS1818" s="3">
        <v>42663</v>
      </c>
      <c r="BT1818" s="4">
        <v>0.4375</v>
      </c>
      <c r="BU1818" s="2" t="s">
        <v>238</v>
      </c>
      <c r="BV1818" s="2" t="s">
        <v>85</v>
      </c>
      <c r="BW1818" s="2"/>
      <c r="BX1818" s="2"/>
      <c r="BY1818" s="2">
        <v>4389.87</v>
      </c>
      <c r="BZ1818" s="2"/>
      <c r="CA1818" s="2"/>
      <c r="CB1818" s="2"/>
      <c r="CC1818" s="2" t="s">
        <v>270</v>
      </c>
      <c r="CD1818" s="2">
        <v>3610</v>
      </c>
      <c r="CE1818" s="2" t="s">
        <v>86</v>
      </c>
      <c r="CF1818" s="5">
        <v>42664</v>
      </c>
      <c r="CG1818" s="2"/>
      <c r="CH1818" s="2"/>
      <c r="CI1818" s="2">
        <v>1</v>
      </c>
      <c r="CJ1818" s="2">
        <v>1</v>
      </c>
      <c r="CK1818" s="2">
        <v>21</v>
      </c>
      <c r="CL1818" s="2" t="s">
        <v>88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"FES1162507785"</f>
        <v>FES1162507785</v>
      </c>
      <c r="F1819" s="3">
        <v>42662</v>
      </c>
      <c r="G1819" s="2">
        <v>201704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253</v>
      </c>
      <c r="M1819" s="2" t="s">
        <v>254</v>
      </c>
      <c r="N1819" s="2" t="s">
        <v>255</v>
      </c>
      <c r="O1819" s="2" t="s">
        <v>96</v>
      </c>
      <c r="P1819" s="2" t="str">
        <f>"2170530976                    "</f>
        <v xml:space="preserve">2170530976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6.43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0.4</v>
      </c>
      <c r="BJ1819" s="2">
        <v>1.3</v>
      </c>
      <c r="BK1819" s="2">
        <v>1.5</v>
      </c>
      <c r="BL1819" s="2">
        <v>78.97</v>
      </c>
      <c r="BM1819" s="2">
        <v>11.06</v>
      </c>
      <c r="BN1819" s="2">
        <v>90.03</v>
      </c>
      <c r="BO1819" s="2">
        <v>90.03</v>
      </c>
      <c r="BP1819" s="2"/>
      <c r="BQ1819" s="2" t="s">
        <v>117</v>
      </c>
      <c r="BR1819" s="2" t="s">
        <v>83</v>
      </c>
      <c r="BS1819" s="3">
        <v>42663</v>
      </c>
      <c r="BT1819" s="4">
        <v>0.52083333333333337</v>
      </c>
      <c r="BU1819" s="2" t="s">
        <v>974</v>
      </c>
      <c r="BV1819" s="2" t="s">
        <v>85</v>
      </c>
      <c r="BW1819" s="2"/>
      <c r="BX1819" s="2"/>
      <c r="BY1819" s="2">
        <v>6489.91</v>
      </c>
      <c r="BZ1819" s="2"/>
      <c r="CA1819" s="2"/>
      <c r="CB1819" s="2"/>
      <c r="CC1819" s="2" t="s">
        <v>254</v>
      </c>
      <c r="CD1819" s="2">
        <v>3370</v>
      </c>
      <c r="CE1819" s="2" t="s">
        <v>108</v>
      </c>
      <c r="CF1819" s="5">
        <v>42667</v>
      </c>
      <c r="CG1819" s="2"/>
      <c r="CH1819" s="2"/>
      <c r="CI1819" s="2">
        <v>3</v>
      </c>
      <c r="CJ1819" s="2">
        <v>1</v>
      </c>
      <c r="CK1819" s="2">
        <v>23</v>
      </c>
      <c r="CL1819" s="2" t="s">
        <v>88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"FES1162507754"</f>
        <v>FES1162507754</v>
      </c>
      <c r="F1820" s="3">
        <v>42662</v>
      </c>
      <c r="G1820" s="2">
        <v>201704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153</v>
      </c>
      <c r="M1820" s="2" t="s">
        <v>153</v>
      </c>
      <c r="N1820" s="2" t="s">
        <v>200</v>
      </c>
      <c r="O1820" s="2" t="s">
        <v>96</v>
      </c>
      <c r="P1820" s="2" t="str">
        <f>"2170528862                    "</f>
        <v xml:space="preserve">2170528862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4.9800000000000004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2.6</v>
      </c>
      <c r="BJ1820" s="2">
        <v>0.8</v>
      </c>
      <c r="BK1820" s="2">
        <v>3</v>
      </c>
      <c r="BL1820" s="2">
        <v>61.14</v>
      </c>
      <c r="BM1820" s="2">
        <v>8.56</v>
      </c>
      <c r="BN1820" s="2">
        <v>69.7</v>
      </c>
      <c r="BO1820" s="2">
        <v>69.7</v>
      </c>
      <c r="BP1820" s="2"/>
      <c r="BQ1820" s="2" t="s">
        <v>201</v>
      </c>
      <c r="BR1820" s="2" t="s">
        <v>83</v>
      </c>
      <c r="BS1820" s="3">
        <v>42663</v>
      </c>
      <c r="BT1820" s="4">
        <v>0.41666666666666669</v>
      </c>
      <c r="BU1820" s="2" t="s">
        <v>1953</v>
      </c>
      <c r="BV1820" s="2" t="s">
        <v>85</v>
      </c>
      <c r="BW1820" s="2"/>
      <c r="BX1820" s="2"/>
      <c r="BY1820" s="2">
        <v>3839.71</v>
      </c>
      <c r="BZ1820" s="2"/>
      <c r="CA1820" s="2"/>
      <c r="CB1820" s="2"/>
      <c r="CC1820" s="2" t="s">
        <v>153</v>
      </c>
      <c r="CD1820" s="2">
        <v>7646</v>
      </c>
      <c r="CE1820" s="2" t="s">
        <v>86</v>
      </c>
      <c r="CF1820" s="5">
        <v>42664</v>
      </c>
      <c r="CG1820" s="2"/>
      <c r="CH1820" s="2"/>
      <c r="CI1820" s="2">
        <v>1</v>
      </c>
      <c r="CJ1820" s="2">
        <v>1</v>
      </c>
      <c r="CK1820" s="2">
        <v>21</v>
      </c>
      <c r="CL1820" s="2" t="s">
        <v>88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"FES1162507663"</f>
        <v>FES1162507663</v>
      </c>
      <c r="F1821" s="3">
        <v>42662</v>
      </c>
      <c r="G1821" s="2">
        <v>201704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788</v>
      </c>
      <c r="M1821" s="2" t="s">
        <v>789</v>
      </c>
      <c r="N1821" s="2" t="s">
        <v>790</v>
      </c>
      <c r="O1821" s="2" t="s">
        <v>96</v>
      </c>
      <c r="P1821" s="2" t="str">
        <f>"2170530996                    "</f>
        <v xml:space="preserve">2170530996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10.78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2.8</v>
      </c>
      <c r="BJ1821" s="2">
        <v>3.5</v>
      </c>
      <c r="BK1821" s="2">
        <v>3.5</v>
      </c>
      <c r="BL1821" s="2">
        <v>132.46</v>
      </c>
      <c r="BM1821" s="2">
        <v>18.54</v>
      </c>
      <c r="BN1821" s="2">
        <v>151</v>
      </c>
      <c r="BO1821" s="2">
        <v>151</v>
      </c>
      <c r="BP1821" s="2"/>
      <c r="BQ1821" s="2" t="s">
        <v>82</v>
      </c>
      <c r="BR1821" s="2" t="s">
        <v>83</v>
      </c>
      <c r="BS1821" s="3">
        <v>42663</v>
      </c>
      <c r="BT1821" s="4">
        <v>0.6479166666666667</v>
      </c>
      <c r="BU1821" s="2" t="s">
        <v>1920</v>
      </c>
      <c r="BV1821" s="2" t="s">
        <v>85</v>
      </c>
      <c r="BW1821" s="2"/>
      <c r="BX1821" s="2"/>
      <c r="BY1821" s="2">
        <v>17440.599999999999</v>
      </c>
      <c r="BZ1821" s="2"/>
      <c r="CA1821" s="2"/>
      <c r="CB1821" s="2"/>
      <c r="CC1821" s="2" t="s">
        <v>789</v>
      </c>
      <c r="CD1821" s="2">
        <v>6300</v>
      </c>
      <c r="CE1821" s="2" t="s">
        <v>86</v>
      </c>
      <c r="CF1821" s="5">
        <v>42664</v>
      </c>
      <c r="CG1821" s="2"/>
      <c r="CH1821" s="2"/>
      <c r="CI1821" s="2">
        <v>3</v>
      </c>
      <c r="CJ1821" s="2">
        <v>1</v>
      </c>
      <c r="CK1821" s="2">
        <v>23</v>
      </c>
      <c r="CL1821" s="2" t="s">
        <v>88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"FES1162507891"</f>
        <v>FES1162507891</v>
      </c>
      <c r="F1822" s="3">
        <v>42662</v>
      </c>
      <c r="G1822" s="2">
        <v>201704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1954</v>
      </c>
      <c r="M1822" s="2" t="s">
        <v>1955</v>
      </c>
      <c r="N1822" s="2" t="s">
        <v>1956</v>
      </c>
      <c r="O1822" s="2" t="s">
        <v>96</v>
      </c>
      <c r="P1822" s="2" t="str">
        <f>"2170530544                    "</f>
        <v xml:space="preserve">2170530544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10.78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3.3</v>
      </c>
      <c r="BJ1822" s="2">
        <v>0.9</v>
      </c>
      <c r="BK1822" s="2">
        <v>3.5</v>
      </c>
      <c r="BL1822" s="2">
        <v>132.46</v>
      </c>
      <c r="BM1822" s="2">
        <v>18.54</v>
      </c>
      <c r="BN1822" s="2">
        <v>151</v>
      </c>
      <c r="BO1822" s="2">
        <v>151</v>
      </c>
      <c r="BP1822" s="2"/>
      <c r="BQ1822" s="2" t="s">
        <v>117</v>
      </c>
      <c r="BR1822" s="2" t="s">
        <v>83</v>
      </c>
      <c r="BS1822" s="3">
        <v>42663</v>
      </c>
      <c r="BT1822" s="4">
        <v>0.54166666666666663</v>
      </c>
      <c r="BU1822" s="2" t="s">
        <v>1957</v>
      </c>
      <c r="BV1822" s="2" t="s">
        <v>85</v>
      </c>
      <c r="BW1822" s="2"/>
      <c r="BX1822" s="2"/>
      <c r="BY1822" s="2">
        <v>4366.47</v>
      </c>
      <c r="BZ1822" s="2"/>
      <c r="CA1822" s="2"/>
      <c r="CB1822" s="2"/>
      <c r="CC1822" s="2" t="s">
        <v>1955</v>
      </c>
      <c r="CD1822" s="2">
        <v>4252</v>
      </c>
      <c r="CE1822" s="2" t="s">
        <v>86</v>
      </c>
      <c r="CF1822" s="5">
        <v>42664</v>
      </c>
      <c r="CG1822" s="2"/>
      <c r="CH1822" s="2"/>
      <c r="CI1822" s="2">
        <v>1</v>
      </c>
      <c r="CJ1822" s="2">
        <v>1</v>
      </c>
      <c r="CK1822" s="2">
        <v>23</v>
      </c>
      <c r="CL1822" s="2" t="s">
        <v>88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"FES1162507774"</f>
        <v>FES1162507774</v>
      </c>
      <c r="F1823" s="3">
        <v>42662</v>
      </c>
      <c r="G1823" s="2">
        <v>201704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143</v>
      </c>
      <c r="M1823" s="2" t="s">
        <v>144</v>
      </c>
      <c r="N1823" s="2" t="s">
        <v>273</v>
      </c>
      <c r="O1823" s="2" t="s">
        <v>96</v>
      </c>
      <c r="P1823" s="2" t="str">
        <f>"2170530067                    "</f>
        <v xml:space="preserve">2170530067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3.32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0.7</v>
      </c>
      <c r="BJ1823" s="2">
        <v>1.3</v>
      </c>
      <c r="BK1823" s="2">
        <v>1.5</v>
      </c>
      <c r="BL1823" s="2">
        <v>40.76</v>
      </c>
      <c r="BM1823" s="2">
        <v>5.71</v>
      </c>
      <c r="BN1823" s="2">
        <v>46.47</v>
      </c>
      <c r="BO1823" s="2">
        <v>46.47</v>
      </c>
      <c r="BP1823" s="2"/>
      <c r="BQ1823" s="2" t="s">
        <v>274</v>
      </c>
      <c r="BR1823" s="2" t="s">
        <v>83</v>
      </c>
      <c r="BS1823" s="3">
        <v>42664</v>
      </c>
      <c r="BT1823" s="4">
        <v>0.5</v>
      </c>
      <c r="BU1823" s="2" t="s">
        <v>1958</v>
      </c>
      <c r="BV1823" s="2" t="s">
        <v>88</v>
      </c>
      <c r="BW1823" s="2" t="s">
        <v>277</v>
      </c>
      <c r="BX1823" s="2" t="s">
        <v>1959</v>
      </c>
      <c r="BY1823" s="2">
        <v>6507.6</v>
      </c>
      <c r="BZ1823" s="2"/>
      <c r="CA1823" s="2"/>
      <c r="CB1823" s="2"/>
      <c r="CC1823" s="2" t="s">
        <v>144</v>
      </c>
      <c r="CD1823" s="2">
        <v>5201</v>
      </c>
      <c r="CE1823" s="2" t="s">
        <v>108</v>
      </c>
      <c r="CF1823" s="5">
        <v>42668</v>
      </c>
      <c r="CG1823" s="2"/>
      <c r="CH1823" s="2"/>
      <c r="CI1823" s="2">
        <v>1</v>
      </c>
      <c r="CJ1823" s="2">
        <v>2</v>
      </c>
      <c r="CK1823" s="2">
        <v>21</v>
      </c>
      <c r="CL1823" s="2" t="s">
        <v>88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"FES1162507721"</f>
        <v>FES1162507721</v>
      </c>
      <c r="F1824" s="3">
        <v>42662</v>
      </c>
      <c r="G1824" s="2">
        <v>201704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148</v>
      </c>
      <c r="M1824" s="2" t="s">
        <v>149</v>
      </c>
      <c r="N1824" s="2" t="s">
        <v>560</v>
      </c>
      <c r="O1824" s="2" t="s">
        <v>96</v>
      </c>
      <c r="P1824" s="2" t="str">
        <f>"2170528275                    "</f>
        <v xml:space="preserve">2170528275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29.03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17.100000000000001</v>
      </c>
      <c r="BJ1824" s="2">
        <v>4.9000000000000004</v>
      </c>
      <c r="BK1824" s="2">
        <v>17.5</v>
      </c>
      <c r="BL1824" s="2">
        <v>356.63</v>
      </c>
      <c r="BM1824" s="2">
        <v>49.93</v>
      </c>
      <c r="BN1824" s="2">
        <v>406.56</v>
      </c>
      <c r="BO1824" s="2">
        <v>406.56</v>
      </c>
      <c r="BP1824" s="2"/>
      <c r="BQ1824" s="2" t="s">
        <v>91</v>
      </c>
      <c r="BR1824" s="2" t="s">
        <v>83</v>
      </c>
      <c r="BS1824" s="3">
        <v>42663</v>
      </c>
      <c r="BT1824" s="4">
        <v>0.4375</v>
      </c>
      <c r="BU1824" s="2" t="s">
        <v>1960</v>
      </c>
      <c r="BV1824" s="2"/>
      <c r="BW1824" s="2"/>
      <c r="BX1824" s="2"/>
      <c r="BY1824" s="2">
        <v>24492.720000000001</v>
      </c>
      <c r="BZ1824" s="2"/>
      <c r="CA1824" s="2" t="s">
        <v>129</v>
      </c>
      <c r="CB1824" s="2"/>
      <c r="CC1824" s="2" t="s">
        <v>149</v>
      </c>
      <c r="CD1824" s="2">
        <v>4001</v>
      </c>
      <c r="CE1824" s="2" t="s">
        <v>86</v>
      </c>
      <c r="CF1824" s="5">
        <v>42664</v>
      </c>
      <c r="CG1824" s="2"/>
      <c r="CH1824" s="2"/>
      <c r="CI1824" s="2">
        <v>0</v>
      </c>
      <c r="CJ1824" s="2">
        <v>0</v>
      </c>
      <c r="CK1824" s="2">
        <v>21</v>
      </c>
      <c r="CL1824" s="2" t="s">
        <v>88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"FES1162507915"</f>
        <v>FES1162507915</v>
      </c>
      <c r="F1825" s="3">
        <v>42662</v>
      </c>
      <c r="G1825" s="2">
        <v>201704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510</v>
      </c>
      <c r="M1825" s="2" t="s">
        <v>511</v>
      </c>
      <c r="N1825" s="2" t="s">
        <v>1495</v>
      </c>
      <c r="O1825" s="2" t="s">
        <v>96</v>
      </c>
      <c r="P1825" s="2" t="str">
        <f>"2170531207                    "</f>
        <v xml:space="preserve">2170531207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3.32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0.9</v>
      </c>
      <c r="BJ1825" s="2">
        <v>0.9</v>
      </c>
      <c r="BK1825" s="2">
        <v>1</v>
      </c>
      <c r="BL1825" s="2">
        <v>40.76</v>
      </c>
      <c r="BM1825" s="2">
        <v>5.71</v>
      </c>
      <c r="BN1825" s="2">
        <v>46.47</v>
      </c>
      <c r="BO1825" s="2">
        <v>46.47</v>
      </c>
      <c r="BP1825" s="2"/>
      <c r="BQ1825" s="2" t="s">
        <v>82</v>
      </c>
      <c r="BR1825" s="2" t="s">
        <v>83</v>
      </c>
      <c r="BS1825" s="3">
        <v>42663</v>
      </c>
      <c r="BT1825" s="4">
        <v>0.60416666666666663</v>
      </c>
      <c r="BU1825" s="2" t="s">
        <v>1000</v>
      </c>
      <c r="BV1825" s="2" t="s">
        <v>85</v>
      </c>
      <c r="BW1825" s="2"/>
      <c r="BX1825" s="2"/>
      <c r="BY1825" s="2">
        <v>4297.5</v>
      </c>
      <c r="BZ1825" s="2"/>
      <c r="CA1825" s="2"/>
      <c r="CB1825" s="2"/>
      <c r="CC1825" s="2" t="s">
        <v>511</v>
      </c>
      <c r="CD1825" s="2">
        <v>3280</v>
      </c>
      <c r="CE1825" s="2" t="s">
        <v>86</v>
      </c>
      <c r="CF1825" s="5">
        <v>42664</v>
      </c>
      <c r="CG1825" s="2"/>
      <c r="CH1825" s="2"/>
      <c r="CI1825" s="2">
        <v>1</v>
      </c>
      <c r="CJ1825" s="2">
        <v>1</v>
      </c>
      <c r="CK1825" s="2">
        <v>21</v>
      </c>
      <c r="CL1825" s="2" t="s">
        <v>88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"FES1162507657"</f>
        <v>FES1162507657</v>
      </c>
      <c r="F1826" s="3">
        <v>42662</v>
      </c>
      <c r="G1826" s="2">
        <v>201704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137</v>
      </c>
      <c r="M1826" s="2" t="s">
        <v>138</v>
      </c>
      <c r="N1826" s="2" t="s">
        <v>139</v>
      </c>
      <c r="O1826" s="2" t="s">
        <v>96</v>
      </c>
      <c r="P1826" s="2" t="str">
        <f>"2170531127                    "</f>
        <v xml:space="preserve">2170531127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3.32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1.8</v>
      </c>
      <c r="BJ1826" s="2">
        <v>1</v>
      </c>
      <c r="BK1826" s="2">
        <v>2</v>
      </c>
      <c r="BL1826" s="2">
        <v>40.76</v>
      </c>
      <c r="BM1826" s="2">
        <v>5.71</v>
      </c>
      <c r="BN1826" s="2">
        <v>46.47</v>
      </c>
      <c r="BO1826" s="2">
        <v>46.47</v>
      </c>
      <c r="BP1826" s="2"/>
      <c r="BQ1826" s="2" t="s">
        <v>140</v>
      </c>
      <c r="BR1826" s="2" t="s">
        <v>83</v>
      </c>
      <c r="BS1826" s="3">
        <v>42663</v>
      </c>
      <c r="BT1826" s="4">
        <v>0.42708333333333331</v>
      </c>
      <c r="BU1826" s="2" t="s">
        <v>141</v>
      </c>
      <c r="BV1826" s="2"/>
      <c r="BW1826" s="2"/>
      <c r="BX1826" s="2"/>
      <c r="BY1826" s="2">
        <v>5008.0200000000004</v>
      </c>
      <c r="BZ1826" s="2"/>
      <c r="CA1826" s="2" t="s">
        <v>142</v>
      </c>
      <c r="CB1826" s="2"/>
      <c r="CC1826" s="2" t="s">
        <v>138</v>
      </c>
      <c r="CD1826" s="2">
        <v>3201</v>
      </c>
      <c r="CE1826" s="2" t="s">
        <v>86</v>
      </c>
      <c r="CF1826" s="5">
        <v>42664</v>
      </c>
      <c r="CG1826" s="2"/>
      <c r="CH1826" s="2"/>
      <c r="CI1826" s="2">
        <v>0</v>
      </c>
      <c r="CJ1826" s="2">
        <v>0</v>
      </c>
      <c r="CK1826" s="2">
        <v>21</v>
      </c>
      <c r="CL1826" s="2" t="s">
        <v>88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"FES1162507705"</f>
        <v>FES1162507705</v>
      </c>
      <c r="F1827" s="3">
        <v>42662</v>
      </c>
      <c r="G1827" s="2">
        <v>201704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269</v>
      </c>
      <c r="M1827" s="2" t="s">
        <v>270</v>
      </c>
      <c r="N1827" s="2" t="s">
        <v>299</v>
      </c>
      <c r="O1827" s="2" t="s">
        <v>96</v>
      </c>
      <c r="P1827" s="2" t="str">
        <f>"2170528138                    "</f>
        <v xml:space="preserve">2170528138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3.32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1.1000000000000001</v>
      </c>
      <c r="BJ1827" s="2">
        <v>1.4</v>
      </c>
      <c r="BK1827" s="2">
        <v>1.5</v>
      </c>
      <c r="BL1827" s="2">
        <v>40.76</v>
      </c>
      <c r="BM1827" s="2">
        <v>5.71</v>
      </c>
      <c r="BN1827" s="2">
        <v>46.47</v>
      </c>
      <c r="BO1827" s="2">
        <v>46.47</v>
      </c>
      <c r="BP1827" s="2"/>
      <c r="BQ1827" s="2" t="s">
        <v>300</v>
      </c>
      <c r="BR1827" s="2" t="s">
        <v>83</v>
      </c>
      <c r="BS1827" s="3">
        <v>42663</v>
      </c>
      <c r="BT1827" s="4">
        <v>0.4375</v>
      </c>
      <c r="BU1827" s="2" t="s">
        <v>238</v>
      </c>
      <c r="BV1827" s="2" t="s">
        <v>85</v>
      </c>
      <c r="BW1827" s="2"/>
      <c r="BX1827" s="2"/>
      <c r="BY1827" s="2">
        <v>6973.57</v>
      </c>
      <c r="BZ1827" s="2"/>
      <c r="CA1827" s="2"/>
      <c r="CB1827" s="2"/>
      <c r="CC1827" s="2" t="s">
        <v>270</v>
      </c>
      <c r="CD1827" s="2">
        <v>3610</v>
      </c>
      <c r="CE1827" s="2" t="s">
        <v>108</v>
      </c>
      <c r="CF1827" s="5">
        <v>42664</v>
      </c>
      <c r="CG1827" s="2"/>
      <c r="CH1827" s="2"/>
      <c r="CI1827" s="2">
        <v>1</v>
      </c>
      <c r="CJ1827" s="2">
        <v>1</v>
      </c>
      <c r="CK1827" s="2">
        <v>21</v>
      </c>
      <c r="CL1827" s="2" t="s">
        <v>88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"FES1162507958"</f>
        <v>FES1162507958</v>
      </c>
      <c r="F1828" s="3">
        <v>42662</v>
      </c>
      <c r="G1828" s="2">
        <v>201704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98</v>
      </c>
      <c r="M1828" s="2" t="s">
        <v>99</v>
      </c>
      <c r="N1828" s="2" t="s">
        <v>176</v>
      </c>
      <c r="O1828" s="2" t="s">
        <v>96</v>
      </c>
      <c r="P1828" s="2" t="str">
        <f>"2170531267                    "</f>
        <v xml:space="preserve">2170531267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4.1500000000000004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2.4</v>
      </c>
      <c r="BJ1828" s="2">
        <v>2.2000000000000002</v>
      </c>
      <c r="BK1828" s="2">
        <v>2.5</v>
      </c>
      <c r="BL1828" s="2">
        <v>50.95</v>
      </c>
      <c r="BM1828" s="2">
        <v>7.13</v>
      </c>
      <c r="BN1828" s="2">
        <v>58.08</v>
      </c>
      <c r="BO1828" s="2">
        <v>58.08</v>
      </c>
      <c r="BP1828" s="2"/>
      <c r="BQ1828" s="2">
        <v>1162507958</v>
      </c>
      <c r="BR1828" s="2" t="s">
        <v>83</v>
      </c>
      <c r="BS1828" s="3">
        <v>42663</v>
      </c>
      <c r="BT1828" s="4">
        <v>0.43055555555555558</v>
      </c>
      <c r="BU1828" s="2" t="s">
        <v>724</v>
      </c>
      <c r="BV1828" s="2" t="s">
        <v>85</v>
      </c>
      <c r="BW1828" s="2"/>
      <c r="BX1828" s="2"/>
      <c r="BY1828" s="2">
        <v>10863.76</v>
      </c>
      <c r="BZ1828" s="2"/>
      <c r="CA1828" s="2" t="s">
        <v>129</v>
      </c>
      <c r="CB1828" s="2"/>
      <c r="CC1828" s="2" t="s">
        <v>99</v>
      </c>
      <c r="CD1828" s="2">
        <v>6020</v>
      </c>
      <c r="CE1828" s="2" t="s">
        <v>108</v>
      </c>
      <c r="CF1828" s="5">
        <v>42664</v>
      </c>
      <c r="CG1828" s="2"/>
      <c r="CH1828" s="2"/>
      <c r="CI1828" s="2">
        <v>1</v>
      </c>
      <c r="CJ1828" s="2">
        <v>1</v>
      </c>
      <c r="CK1828" s="2">
        <v>21</v>
      </c>
      <c r="CL1828" s="2" t="s">
        <v>88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"FES1162507981"</f>
        <v>FES1162507981</v>
      </c>
      <c r="F1829" s="3">
        <v>42662</v>
      </c>
      <c r="G1829" s="2">
        <v>201704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160</v>
      </c>
      <c r="M1829" s="2" t="s">
        <v>161</v>
      </c>
      <c r="N1829" s="2" t="s">
        <v>734</v>
      </c>
      <c r="O1829" s="2" t="s">
        <v>96</v>
      </c>
      <c r="P1829" s="2" t="str">
        <f>"2170531293                    "</f>
        <v xml:space="preserve">2170531293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4.9800000000000004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1.9</v>
      </c>
      <c r="BJ1829" s="2">
        <v>2.9</v>
      </c>
      <c r="BK1829" s="2">
        <v>3</v>
      </c>
      <c r="BL1829" s="2">
        <v>61.14</v>
      </c>
      <c r="BM1829" s="2">
        <v>8.56</v>
      </c>
      <c r="BN1829" s="2">
        <v>69.7</v>
      </c>
      <c r="BO1829" s="2">
        <v>69.7</v>
      </c>
      <c r="BP1829" s="2"/>
      <c r="BQ1829" s="2" t="s">
        <v>91</v>
      </c>
      <c r="BR1829" s="2" t="s">
        <v>83</v>
      </c>
      <c r="BS1829" s="3">
        <v>42663</v>
      </c>
      <c r="BT1829" s="4">
        <v>0.41666666666666669</v>
      </c>
      <c r="BU1829" s="2" t="s">
        <v>1961</v>
      </c>
      <c r="BV1829" s="2" t="s">
        <v>85</v>
      </c>
      <c r="BW1829" s="2"/>
      <c r="BX1829" s="2"/>
      <c r="BY1829" s="2">
        <v>14524.03</v>
      </c>
      <c r="BZ1829" s="2"/>
      <c r="CA1829" s="2" t="s">
        <v>129</v>
      </c>
      <c r="CB1829" s="2"/>
      <c r="CC1829" s="2" t="s">
        <v>161</v>
      </c>
      <c r="CD1829" s="2">
        <v>7405</v>
      </c>
      <c r="CE1829" s="2" t="s">
        <v>86</v>
      </c>
      <c r="CF1829" s="5">
        <v>42664</v>
      </c>
      <c r="CG1829" s="2"/>
      <c r="CH1829" s="2"/>
      <c r="CI1829" s="2">
        <v>1</v>
      </c>
      <c r="CJ1829" s="2">
        <v>1</v>
      </c>
      <c r="CK1829" s="2">
        <v>21</v>
      </c>
      <c r="CL1829" s="2" t="s">
        <v>88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"FES1162507720"</f>
        <v>FES1162507720</v>
      </c>
      <c r="F1830" s="3">
        <v>42662</v>
      </c>
      <c r="G1830" s="2">
        <v>201704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137</v>
      </c>
      <c r="M1830" s="2" t="s">
        <v>138</v>
      </c>
      <c r="N1830" s="2" t="s">
        <v>203</v>
      </c>
      <c r="O1830" s="2" t="s">
        <v>96</v>
      </c>
      <c r="P1830" s="2" t="str">
        <f>"2170528271                    "</f>
        <v xml:space="preserve">2170528271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29.85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7.7</v>
      </c>
      <c r="BJ1830" s="2">
        <v>18</v>
      </c>
      <c r="BK1830" s="2">
        <v>18</v>
      </c>
      <c r="BL1830" s="2">
        <v>366.81</v>
      </c>
      <c r="BM1830" s="2">
        <v>51.35</v>
      </c>
      <c r="BN1830" s="2">
        <v>418.16</v>
      </c>
      <c r="BO1830" s="2">
        <v>418.16</v>
      </c>
      <c r="BP1830" s="2"/>
      <c r="BQ1830" s="2" t="s">
        <v>168</v>
      </c>
      <c r="BR1830" s="2" t="s">
        <v>83</v>
      </c>
      <c r="BS1830" s="3">
        <v>42663</v>
      </c>
      <c r="BT1830" s="4">
        <v>0.41736111111111113</v>
      </c>
      <c r="BU1830" s="2" t="s">
        <v>768</v>
      </c>
      <c r="BV1830" s="2"/>
      <c r="BW1830" s="2"/>
      <c r="BX1830" s="2"/>
      <c r="BY1830" s="2">
        <v>90091.39</v>
      </c>
      <c r="BZ1830" s="2"/>
      <c r="CA1830" s="2" t="s">
        <v>613</v>
      </c>
      <c r="CB1830" s="2"/>
      <c r="CC1830" s="2" t="s">
        <v>138</v>
      </c>
      <c r="CD1830" s="2">
        <v>3201</v>
      </c>
      <c r="CE1830" s="2" t="s">
        <v>86</v>
      </c>
      <c r="CF1830" s="5">
        <v>42663</v>
      </c>
      <c r="CG1830" s="2"/>
      <c r="CH1830" s="2"/>
      <c r="CI1830" s="2">
        <v>0</v>
      </c>
      <c r="CJ1830" s="2">
        <v>0</v>
      </c>
      <c r="CK1830" s="2">
        <v>21</v>
      </c>
      <c r="CL1830" s="2" t="s">
        <v>88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"FES1162507801"</f>
        <v>FES1162507801</v>
      </c>
      <c r="F1831" s="3">
        <v>42662</v>
      </c>
      <c r="G1831" s="2">
        <v>201704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98</v>
      </c>
      <c r="M1831" s="2" t="s">
        <v>99</v>
      </c>
      <c r="N1831" s="2" t="s">
        <v>109</v>
      </c>
      <c r="O1831" s="2" t="s">
        <v>96</v>
      </c>
      <c r="P1831" s="2" t="str">
        <f>"2170528030                    "</f>
        <v xml:space="preserve">2170528030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3.32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0.8</v>
      </c>
      <c r="BJ1831" s="2">
        <v>1.6</v>
      </c>
      <c r="BK1831" s="2">
        <v>2</v>
      </c>
      <c r="BL1831" s="2">
        <v>40.76</v>
      </c>
      <c r="BM1831" s="2">
        <v>5.71</v>
      </c>
      <c r="BN1831" s="2">
        <v>46.47</v>
      </c>
      <c r="BO1831" s="2">
        <v>46.47</v>
      </c>
      <c r="BP1831" s="2"/>
      <c r="BQ1831" s="2" t="s">
        <v>110</v>
      </c>
      <c r="BR1831" s="2" t="s">
        <v>83</v>
      </c>
      <c r="BS1831" s="3">
        <v>42663</v>
      </c>
      <c r="BT1831" s="4">
        <v>0.37152777777777773</v>
      </c>
      <c r="BU1831" s="2" t="s">
        <v>1872</v>
      </c>
      <c r="BV1831" s="2" t="s">
        <v>85</v>
      </c>
      <c r="BW1831" s="2"/>
      <c r="BX1831" s="2"/>
      <c r="BY1831" s="2">
        <v>8024.69</v>
      </c>
      <c r="BZ1831" s="2"/>
      <c r="CA1831" s="2" t="s">
        <v>107</v>
      </c>
      <c r="CB1831" s="2"/>
      <c r="CC1831" s="2" t="s">
        <v>99</v>
      </c>
      <c r="CD1831" s="2">
        <v>6001</v>
      </c>
      <c r="CE1831" s="2" t="s">
        <v>108</v>
      </c>
      <c r="CF1831" s="5">
        <v>42663</v>
      </c>
      <c r="CG1831" s="2"/>
      <c r="CH1831" s="2"/>
      <c r="CI1831" s="2">
        <v>1</v>
      </c>
      <c r="CJ1831" s="2">
        <v>1</v>
      </c>
      <c r="CK1831" s="2">
        <v>21</v>
      </c>
      <c r="CL1831" s="2" t="s">
        <v>88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"FES1162507707"</f>
        <v>FES1162507707</v>
      </c>
      <c r="F1832" s="3">
        <v>42662</v>
      </c>
      <c r="G1832" s="2">
        <v>201704</v>
      </c>
      <c r="H1832" s="2" t="s">
        <v>74</v>
      </c>
      <c r="I1832" s="2" t="s">
        <v>75</v>
      </c>
      <c r="J1832" s="2" t="s">
        <v>76</v>
      </c>
      <c r="K1832" s="2" t="s">
        <v>77</v>
      </c>
      <c r="L1832" s="2" t="s">
        <v>153</v>
      </c>
      <c r="M1832" s="2" t="s">
        <v>153</v>
      </c>
      <c r="N1832" s="2" t="s">
        <v>200</v>
      </c>
      <c r="O1832" s="2" t="s">
        <v>96</v>
      </c>
      <c r="P1832" s="2" t="str">
        <f>"2170528152                    "</f>
        <v xml:space="preserve">2170528152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3.32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0.6</v>
      </c>
      <c r="BJ1832" s="2">
        <v>1</v>
      </c>
      <c r="BK1832" s="2">
        <v>1</v>
      </c>
      <c r="BL1832" s="2">
        <v>40.76</v>
      </c>
      <c r="BM1832" s="2">
        <v>5.71</v>
      </c>
      <c r="BN1832" s="2">
        <v>46.47</v>
      </c>
      <c r="BO1832" s="2">
        <v>46.47</v>
      </c>
      <c r="BP1832" s="2"/>
      <c r="BQ1832" s="2" t="s">
        <v>201</v>
      </c>
      <c r="BR1832" s="2" t="s">
        <v>83</v>
      </c>
      <c r="BS1832" s="3">
        <v>42663</v>
      </c>
      <c r="BT1832" s="4">
        <v>0.41666666666666669</v>
      </c>
      <c r="BU1832" s="2" t="s">
        <v>448</v>
      </c>
      <c r="BV1832" s="2" t="s">
        <v>85</v>
      </c>
      <c r="BW1832" s="2"/>
      <c r="BX1832" s="2"/>
      <c r="BY1832" s="2">
        <v>5195.2</v>
      </c>
      <c r="BZ1832" s="2"/>
      <c r="CA1832" s="2"/>
      <c r="CB1832" s="2"/>
      <c r="CC1832" s="2" t="s">
        <v>153</v>
      </c>
      <c r="CD1832" s="2">
        <v>7646</v>
      </c>
      <c r="CE1832" s="2" t="s">
        <v>86</v>
      </c>
      <c r="CF1832" s="5">
        <v>42664</v>
      </c>
      <c r="CG1832" s="2"/>
      <c r="CH1832" s="2"/>
      <c r="CI1832" s="2">
        <v>1</v>
      </c>
      <c r="CJ1832" s="2">
        <v>1</v>
      </c>
      <c r="CK1832" s="2">
        <v>21</v>
      </c>
      <c r="CL1832" s="2" t="s">
        <v>88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"FES1162507797"</f>
        <v>FES1162507797</v>
      </c>
      <c r="F1833" s="3">
        <v>42662</v>
      </c>
      <c r="G1833" s="2">
        <v>201704</v>
      </c>
      <c r="H1833" s="2" t="s">
        <v>74</v>
      </c>
      <c r="I1833" s="2" t="s">
        <v>75</v>
      </c>
      <c r="J1833" s="2" t="s">
        <v>76</v>
      </c>
      <c r="K1833" s="2" t="s">
        <v>77</v>
      </c>
      <c r="L1833" s="2" t="s">
        <v>148</v>
      </c>
      <c r="M1833" s="2" t="s">
        <v>149</v>
      </c>
      <c r="N1833" s="2" t="s">
        <v>473</v>
      </c>
      <c r="O1833" s="2" t="s">
        <v>96</v>
      </c>
      <c r="P1833" s="2" t="str">
        <f>"2170527910                    "</f>
        <v xml:space="preserve">2170527910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3.32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1.8</v>
      </c>
      <c r="BJ1833" s="2">
        <v>1</v>
      </c>
      <c r="BK1833" s="2">
        <v>2</v>
      </c>
      <c r="BL1833" s="2">
        <v>40.76</v>
      </c>
      <c r="BM1833" s="2">
        <v>5.71</v>
      </c>
      <c r="BN1833" s="2">
        <v>46.47</v>
      </c>
      <c r="BO1833" s="2">
        <v>46.47</v>
      </c>
      <c r="BP1833" s="2"/>
      <c r="BQ1833" s="2" t="s">
        <v>117</v>
      </c>
      <c r="BR1833" s="2" t="s">
        <v>83</v>
      </c>
      <c r="BS1833" s="3">
        <v>42663</v>
      </c>
      <c r="BT1833" s="4">
        <v>0.4375</v>
      </c>
      <c r="BU1833" s="2" t="s">
        <v>728</v>
      </c>
      <c r="BV1833" s="2" t="s">
        <v>85</v>
      </c>
      <c r="BW1833" s="2"/>
      <c r="BX1833" s="2"/>
      <c r="BY1833" s="2">
        <v>5023.3999999999996</v>
      </c>
      <c r="BZ1833" s="2"/>
      <c r="CA1833" s="2" t="s">
        <v>129</v>
      </c>
      <c r="CB1833" s="2"/>
      <c r="CC1833" s="2" t="s">
        <v>149</v>
      </c>
      <c r="CD1833" s="2">
        <v>4052</v>
      </c>
      <c r="CE1833" s="2" t="s">
        <v>86</v>
      </c>
      <c r="CF1833" s="5">
        <v>42664</v>
      </c>
      <c r="CG1833" s="2"/>
      <c r="CH1833" s="2"/>
      <c r="CI1833" s="2">
        <v>1</v>
      </c>
      <c r="CJ1833" s="2">
        <v>1</v>
      </c>
      <c r="CK1833" s="2">
        <v>21</v>
      </c>
      <c r="CL1833" s="2" t="s">
        <v>88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"FES1162507811"</f>
        <v>FES1162507811</v>
      </c>
      <c r="F1834" s="3">
        <v>42662</v>
      </c>
      <c r="G1834" s="2">
        <v>201704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160</v>
      </c>
      <c r="M1834" s="2" t="s">
        <v>161</v>
      </c>
      <c r="N1834" s="2" t="s">
        <v>179</v>
      </c>
      <c r="O1834" s="2" t="s">
        <v>96</v>
      </c>
      <c r="P1834" s="2" t="str">
        <f>"2170528600                    "</f>
        <v xml:space="preserve">2170528600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3.32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0.8</v>
      </c>
      <c r="BJ1834" s="2">
        <v>1.1000000000000001</v>
      </c>
      <c r="BK1834" s="2">
        <v>1.5</v>
      </c>
      <c r="BL1834" s="2">
        <v>40.76</v>
      </c>
      <c r="BM1834" s="2">
        <v>5.71</v>
      </c>
      <c r="BN1834" s="2">
        <v>46.47</v>
      </c>
      <c r="BO1834" s="2">
        <v>46.47</v>
      </c>
      <c r="BP1834" s="2"/>
      <c r="BQ1834" s="2" t="s">
        <v>180</v>
      </c>
      <c r="BR1834" s="2" t="s">
        <v>83</v>
      </c>
      <c r="BS1834" s="3">
        <v>42663</v>
      </c>
      <c r="BT1834" s="4">
        <v>0.41666666666666669</v>
      </c>
      <c r="BU1834" s="2" t="s">
        <v>1909</v>
      </c>
      <c r="BV1834" s="2" t="s">
        <v>85</v>
      </c>
      <c r="BW1834" s="2"/>
      <c r="BX1834" s="2"/>
      <c r="BY1834" s="2">
        <v>5742.91</v>
      </c>
      <c r="BZ1834" s="2"/>
      <c r="CA1834" s="2"/>
      <c r="CB1834" s="2"/>
      <c r="CC1834" s="2" t="s">
        <v>161</v>
      </c>
      <c r="CD1834" s="2">
        <v>7405</v>
      </c>
      <c r="CE1834" s="2" t="s">
        <v>108</v>
      </c>
      <c r="CF1834" s="5">
        <v>42664</v>
      </c>
      <c r="CG1834" s="2"/>
      <c r="CH1834" s="2"/>
      <c r="CI1834" s="2">
        <v>1</v>
      </c>
      <c r="CJ1834" s="2">
        <v>1</v>
      </c>
      <c r="CK1834" s="2">
        <v>21</v>
      </c>
      <c r="CL1834" s="2" t="s">
        <v>88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"FES1162507805"</f>
        <v>FES1162507805</v>
      </c>
      <c r="F1835" s="3">
        <v>42662</v>
      </c>
      <c r="G1835" s="2">
        <v>201704</v>
      </c>
      <c r="H1835" s="2" t="s">
        <v>74</v>
      </c>
      <c r="I1835" s="2" t="s">
        <v>75</v>
      </c>
      <c r="J1835" s="2" t="s">
        <v>76</v>
      </c>
      <c r="K1835" s="2" t="s">
        <v>77</v>
      </c>
      <c r="L1835" s="2" t="s">
        <v>1954</v>
      </c>
      <c r="M1835" s="2" t="s">
        <v>1955</v>
      </c>
      <c r="N1835" s="2" t="s">
        <v>1962</v>
      </c>
      <c r="O1835" s="2" t="s">
        <v>96</v>
      </c>
      <c r="P1835" s="2" t="str">
        <f>"2170528250                    "</f>
        <v xml:space="preserve">2170528250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9.33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2.6</v>
      </c>
      <c r="BJ1835" s="2">
        <v>1</v>
      </c>
      <c r="BK1835" s="2">
        <v>3</v>
      </c>
      <c r="BL1835" s="2">
        <v>114.63</v>
      </c>
      <c r="BM1835" s="2">
        <v>16.05</v>
      </c>
      <c r="BN1835" s="2">
        <v>130.68</v>
      </c>
      <c r="BO1835" s="2">
        <v>130.68</v>
      </c>
      <c r="BP1835" s="2"/>
      <c r="BQ1835" s="2"/>
      <c r="BR1835" s="2" t="s">
        <v>83</v>
      </c>
      <c r="BS1835" s="3">
        <v>42664</v>
      </c>
      <c r="BT1835" s="4">
        <v>0.5</v>
      </c>
      <c r="BU1835" s="2" t="s">
        <v>433</v>
      </c>
      <c r="BV1835" s="2" t="s">
        <v>88</v>
      </c>
      <c r="BW1835" s="2"/>
      <c r="BX1835" s="2"/>
      <c r="BY1835" s="2">
        <v>5038.47</v>
      </c>
      <c r="BZ1835" s="2"/>
      <c r="CA1835" s="2"/>
      <c r="CB1835" s="2"/>
      <c r="CC1835" s="2" t="s">
        <v>1955</v>
      </c>
      <c r="CD1835" s="2">
        <v>4242</v>
      </c>
      <c r="CE1835" s="2" t="s">
        <v>86</v>
      </c>
      <c r="CF1835" s="5">
        <v>42669</v>
      </c>
      <c r="CG1835" s="2"/>
      <c r="CH1835" s="2"/>
      <c r="CI1835" s="2">
        <v>1</v>
      </c>
      <c r="CJ1835" s="2">
        <v>2</v>
      </c>
      <c r="CK1835" s="2">
        <v>23</v>
      </c>
      <c r="CL1835" s="2" t="s">
        <v>88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"FES1162507878"</f>
        <v>FES1162507878</v>
      </c>
      <c r="F1836" s="3">
        <v>42662</v>
      </c>
      <c r="G1836" s="2">
        <v>201704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269</v>
      </c>
      <c r="M1836" s="2" t="s">
        <v>270</v>
      </c>
      <c r="N1836" s="2" t="s">
        <v>389</v>
      </c>
      <c r="O1836" s="2" t="s">
        <v>96</v>
      </c>
      <c r="P1836" s="2" t="str">
        <f>"2170530091                    "</f>
        <v xml:space="preserve">2170530091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9.1199999999999992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3.6</v>
      </c>
      <c r="BJ1836" s="2">
        <v>5.5</v>
      </c>
      <c r="BK1836" s="2">
        <v>5.5</v>
      </c>
      <c r="BL1836" s="2">
        <v>112.08</v>
      </c>
      <c r="BM1836" s="2">
        <v>15.69</v>
      </c>
      <c r="BN1836" s="2">
        <v>127.77</v>
      </c>
      <c r="BO1836" s="2">
        <v>127.77</v>
      </c>
      <c r="BP1836" s="2"/>
      <c r="BQ1836" s="2" t="s">
        <v>91</v>
      </c>
      <c r="BR1836" s="2" t="s">
        <v>83</v>
      </c>
      <c r="BS1836" s="3">
        <v>42663</v>
      </c>
      <c r="BT1836" s="4">
        <v>0.43402777777777773</v>
      </c>
      <c r="BU1836" s="2" t="s">
        <v>1907</v>
      </c>
      <c r="BV1836" s="2" t="s">
        <v>85</v>
      </c>
      <c r="BW1836" s="2"/>
      <c r="BX1836" s="2"/>
      <c r="BY1836" s="2">
        <v>27270.04</v>
      </c>
      <c r="BZ1836" s="2"/>
      <c r="CA1836" s="2" t="s">
        <v>129</v>
      </c>
      <c r="CB1836" s="2"/>
      <c r="CC1836" s="2" t="s">
        <v>270</v>
      </c>
      <c r="CD1836" s="2">
        <v>3610</v>
      </c>
      <c r="CE1836" s="2" t="s">
        <v>86</v>
      </c>
      <c r="CF1836" s="5">
        <v>42664</v>
      </c>
      <c r="CG1836" s="2"/>
      <c r="CH1836" s="2"/>
      <c r="CI1836" s="2">
        <v>1</v>
      </c>
      <c r="CJ1836" s="2">
        <v>1</v>
      </c>
      <c r="CK1836" s="2">
        <v>21</v>
      </c>
      <c r="CL1836" s="2" t="s">
        <v>88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"FES1162507885"</f>
        <v>FES1162507885</v>
      </c>
      <c r="F1837" s="3">
        <v>42662</v>
      </c>
      <c r="G1837" s="2">
        <v>201704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510</v>
      </c>
      <c r="M1837" s="2" t="s">
        <v>511</v>
      </c>
      <c r="N1837" s="2" t="s">
        <v>982</v>
      </c>
      <c r="O1837" s="2" t="s">
        <v>96</v>
      </c>
      <c r="P1837" s="2" t="str">
        <f>"2170531179                    "</f>
        <v xml:space="preserve">2170531179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3.32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0.9</v>
      </c>
      <c r="BJ1837" s="2">
        <v>1.7</v>
      </c>
      <c r="BK1837" s="2">
        <v>2</v>
      </c>
      <c r="BL1837" s="2">
        <v>40.76</v>
      </c>
      <c r="BM1837" s="2">
        <v>5.71</v>
      </c>
      <c r="BN1837" s="2">
        <v>46.47</v>
      </c>
      <c r="BO1837" s="2">
        <v>46.47</v>
      </c>
      <c r="BP1837" s="2"/>
      <c r="BQ1837" s="2" t="s">
        <v>983</v>
      </c>
      <c r="BR1837" s="2" t="s">
        <v>83</v>
      </c>
      <c r="BS1837" s="3">
        <v>42663</v>
      </c>
      <c r="BT1837" s="4">
        <v>0.40972222222222227</v>
      </c>
      <c r="BU1837" s="2" t="s">
        <v>1229</v>
      </c>
      <c r="BV1837" s="2" t="s">
        <v>85</v>
      </c>
      <c r="BW1837" s="2"/>
      <c r="BX1837" s="2"/>
      <c r="BY1837" s="2">
        <v>8727.84</v>
      </c>
      <c r="BZ1837" s="2"/>
      <c r="CA1837" s="2"/>
      <c r="CB1837" s="2"/>
      <c r="CC1837" s="2" t="s">
        <v>511</v>
      </c>
      <c r="CD1837" s="2">
        <v>3290</v>
      </c>
      <c r="CE1837" s="2" t="s">
        <v>108</v>
      </c>
      <c r="CF1837" s="5">
        <v>42664</v>
      </c>
      <c r="CG1837" s="2"/>
      <c r="CH1837" s="2"/>
      <c r="CI1837" s="2">
        <v>1</v>
      </c>
      <c r="CJ1837" s="2">
        <v>1</v>
      </c>
      <c r="CK1837" s="2">
        <v>21</v>
      </c>
      <c r="CL1837" s="2" t="s">
        <v>88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"FES1162507809"</f>
        <v>FES1162507809</v>
      </c>
      <c r="F1838" s="3">
        <v>42662</v>
      </c>
      <c r="G1838" s="2">
        <v>201704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98</v>
      </c>
      <c r="M1838" s="2" t="s">
        <v>99</v>
      </c>
      <c r="N1838" s="2" t="s">
        <v>330</v>
      </c>
      <c r="O1838" s="2" t="s">
        <v>96</v>
      </c>
      <c r="P1838" s="2" t="str">
        <f>"2170528423                    "</f>
        <v xml:space="preserve">2170528423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11.61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6.8</v>
      </c>
      <c r="BJ1838" s="2">
        <v>5.2</v>
      </c>
      <c r="BK1838" s="2">
        <v>7</v>
      </c>
      <c r="BL1838" s="2">
        <v>142.65</v>
      </c>
      <c r="BM1838" s="2">
        <v>19.97</v>
      </c>
      <c r="BN1838" s="2">
        <v>162.62</v>
      </c>
      <c r="BO1838" s="2">
        <v>162.62</v>
      </c>
      <c r="BP1838" s="2"/>
      <c r="BQ1838" s="2" t="s">
        <v>331</v>
      </c>
      <c r="BR1838" s="2" t="s">
        <v>83</v>
      </c>
      <c r="BS1838" s="3">
        <v>42663</v>
      </c>
      <c r="BT1838" s="4">
        <v>0.4291666666666667</v>
      </c>
      <c r="BU1838" s="2" t="s">
        <v>332</v>
      </c>
      <c r="BV1838" s="2" t="s">
        <v>85</v>
      </c>
      <c r="BW1838" s="2"/>
      <c r="BX1838" s="2"/>
      <c r="BY1838" s="2">
        <v>26130.63</v>
      </c>
      <c r="BZ1838" s="2"/>
      <c r="CA1838" s="2" t="s">
        <v>333</v>
      </c>
      <c r="CB1838" s="2"/>
      <c r="CC1838" s="2" t="s">
        <v>99</v>
      </c>
      <c r="CD1838" s="2">
        <v>6070</v>
      </c>
      <c r="CE1838" s="2" t="s">
        <v>86</v>
      </c>
      <c r="CF1838" s="5">
        <v>42664</v>
      </c>
      <c r="CG1838" s="2"/>
      <c r="CH1838" s="2"/>
      <c r="CI1838" s="2">
        <v>1</v>
      </c>
      <c r="CJ1838" s="2">
        <v>1</v>
      </c>
      <c r="CK1838" s="2">
        <v>21</v>
      </c>
      <c r="CL1838" s="2" t="s">
        <v>88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"FES1162507842"</f>
        <v>FES1162507842</v>
      </c>
      <c r="F1839" s="3">
        <v>42662</v>
      </c>
      <c r="G1839" s="2">
        <v>201704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323</v>
      </c>
      <c r="M1839" s="2" t="s">
        <v>324</v>
      </c>
      <c r="N1839" s="2" t="s">
        <v>325</v>
      </c>
      <c r="O1839" s="2" t="s">
        <v>96</v>
      </c>
      <c r="P1839" s="2" t="str">
        <f>"2170528970                    "</f>
        <v xml:space="preserve">2170528970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3.32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1.3</v>
      </c>
      <c r="BJ1839" s="2">
        <v>0.9</v>
      </c>
      <c r="BK1839" s="2">
        <v>1.5</v>
      </c>
      <c r="BL1839" s="2">
        <v>40.76</v>
      </c>
      <c r="BM1839" s="2">
        <v>5.71</v>
      </c>
      <c r="BN1839" s="2">
        <v>46.47</v>
      </c>
      <c r="BO1839" s="2">
        <v>46.47</v>
      </c>
      <c r="BP1839" s="2"/>
      <c r="BQ1839" s="2" t="s">
        <v>117</v>
      </c>
      <c r="BR1839" s="2" t="s">
        <v>83</v>
      </c>
      <c r="BS1839" s="3">
        <v>42663</v>
      </c>
      <c r="BT1839" s="4">
        <v>0.4236111111111111</v>
      </c>
      <c r="BU1839" s="2" t="s">
        <v>1963</v>
      </c>
      <c r="BV1839" s="2"/>
      <c r="BW1839" s="2"/>
      <c r="BX1839" s="2"/>
      <c r="BY1839" s="2">
        <v>4534.72</v>
      </c>
      <c r="BZ1839" s="2"/>
      <c r="CA1839" s="2"/>
      <c r="CB1839" s="2"/>
      <c r="CC1839" s="2" t="s">
        <v>324</v>
      </c>
      <c r="CD1839" s="2">
        <v>9301</v>
      </c>
      <c r="CE1839" s="2" t="s">
        <v>86</v>
      </c>
      <c r="CF1839" s="5">
        <v>42667</v>
      </c>
      <c r="CG1839" s="2"/>
      <c r="CH1839" s="2"/>
      <c r="CI1839" s="2">
        <v>0</v>
      </c>
      <c r="CJ1839" s="2">
        <v>0</v>
      </c>
      <c r="CK1839" s="2">
        <v>21</v>
      </c>
      <c r="CL1839" s="2" t="s">
        <v>88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"FES1162507787"</f>
        <v>FES1162507787</v>
      </c>
      <c r="F1840" s="3">
        <v>42662</v>
      </c>
      <c r="G1840" s="2">
        <v>201704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93</v>
      </c>
      <c r="M1840" s="2" t="s">
        <v>94</v>
      </c>
      <c r="N1840" s="2" t="s">
        <v>130</v>
      </c>
      <c r="O1840" s="2" t="s">
        <v>96</v>
      </c>
      <c r="P1840" s="2" t="str">
        <f>"2170531047                    "</f>
        <v xml:space="preserve">2170531047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31.51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18.7</v>
      </c>
      <c r="BJ1840" s="2">
        <v>9.3000000000000007</v>
      </c>
      <c r="BK1840" s="2">
        <v>19</v>
      </c>
      <c r="BL1840" s="2">
        <v>387.19</v>
      </c>
      <c r="BM1840" s="2">
        <v>54.21</v>
      </c>
      <c r="BN1840" s="2">
        <v>441.4</v>
      </c>
      <c r="BO1840" s="2">
        <v>441.4</v>
      </c>
      <c r="BP1840" s="2"/>
      <c r="BQ1840" s="2" t="s">
        <v>131</v>
      </c>
      <c r="BR1840" s="2" t="s">
        <v>83</v>
      </c>
      <c r="BS1840" s="3">
        <v>42663</v>
      </c>
      <c r="BT1840" s="4">
        <v>0.4375</v>
      </c>
      <c r="BU1840" s="2" t="s">
        <v>132</v>
      </c>
      <c r="BV1840" s="2" t="s">
        <v>85</v>
      </c>
      <c r="BW1840" s="2"/>
      <c r="BX1840" s="2"/>
      <c r="BY1840" s="2">
        <v>46267.19</v>
      </c>
      <c r="BZ1840" s="2"/>
      <c r="CA1840" s="2"/>
      <c r="CB1840" s="2"/>
      <c r="CC1840" s="2" t="s">
        <v>94</v>
      </c>
      <c r="CD1840" s="2">
        <v>4302</v>
      </c>
      <c r="CE1840" s="2" t="s">
        <v>86</v>
      </c>
      <c r="CF1840" s="5">
        <v>42664</v>
      </c>
      <c r="CG1840" s="2"/>
      <c r="CH1840" s="2"/>
      <c r="CI1840" s="2">
        <v>1</v>
      </c>
      <c r="CJ1840" s="2">
        <v>1</v>
      </c>
      <c r="CK1840" s="2">
        <v>21</v>
      </c>
      <c r="CL1840" s="2" t="s">
        <v>88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"FES1162507897"</f>
        <v>FES1162507897</v>
      </c>
      <c r="F1841" s="3">
        <v>42662</v>
      </c>
      <c r="G1841" s="2">
        <v>201704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143</v>
      </c>
      <c r="M1841" s="2" t="s">
        <v>144</v>
      </c>
      <c r="N1841" s="2" t="s">
        <v>667</v>
      </c>
      <c r="O1841" s="2" t="s">
        <v>96</v>
      </c>
      <c r="P1841" s="2" t="str">
        <f>"2170531140                    "</f>
        <v xml:space="preserve">2170531140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3.32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0.7</v>
      </c>
      <c r="BJ1841" s="2">
        <v>1</v>
      </c>
      <c r="BK1841" s="2">
        <v>1</v>
      </c>
      <c r="BL1841" s="2">
        <v>40.76</v>
      </c>
      <c r="BM1841" s="2">
        <v>5.71</v>
      </c>
      <c r="BN1841" s="2">
        <v>46.47</v>
      </c>
      <c r="BO1841" s="2">
        <v>46.47</v>
      </c>
      <c r="BP1841" s="2"/>
      <c r="BQ1841" s="2" t="s">
        <v>91</v>
      </c>
      <c r="BR1841" s="2" t="s">
        <v>83</v>
      </c>
      <c r="BS1841" s="3">
        <v>42663</v>
      </c>
      <c r="BT1841" s="4">
        <v>0.4375</v>
      </c>
      <c r="BU1841" s="2" t="s">
        <v>1964</v>
      </c>
      <c r="BV1841" s="2"/>
      <c r="BW1841" s="2"/>
      <c r="BX1841" s="2"/>
      <c r="BY1841" s="2">
        <v>4868.2</v>
      </c>
      <c r="BZ1841" s="2"/>
      <c r="CA1841" s="2"/>
      <c r="CB1841" s="2"/>
      <c r="CC1841" s="2" t="s">
        <v>144</v>
      </c>
      <c r="CD1841" s="2">
        <v>5201</v>
      </c>
      <c r="CE1841" s="2" t="s">
        <v>86</v>
      </c>
      <c r="CF1841" s="5">
        <v>42667</v>
      </c>
      <c r="CG1841" s="2"/>
      <c r="CH1841" s="2"/>
      <c r="CI1841" s="2">
        <v>0</v>
      </c>
      <c r="CJ1841" s="2">
        <v>0</v>
      </c>
      <c r="CK1841" s="2">
        <v>21</v>
      </c>
      <c r="CL1841" s="2" t="s">
        <v>88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"FES1162507737"</f>
        <v>FES1162507737</v>
      </c>
      <c r="F1842" s="3">
        <v>42662</v>
      </c>
      <c r="G1842" s="2">
        <v>201704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98</v>
      </c>
      <c r="M1842" s="2" t="s">
        <v>99</v>
      </c>
      <c r="N1842" s="2" t="s">
        <v>1011</v>
      </c>
      <c r="O1842" s="2" t="s">
        <v>96</v>
      </c>
      <c r="P1842" s="2" t="str">
        <f>"2170528621                    "</f>
        <v xml:space="preserve">2170528621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3.32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1.2</v>
      </c>
      <c r="BJ1842" s="2">
        <v>1.7</v>
      </c>
      <c r="BK1842" s="2">
        <v>2</v>
      </c>
      <c r="BL1842" s="2">
        <v>40.76</v>
      </c>
      <c r="BM1842" s="2">
        <v>5.71</v>
      </c>
      <c r="BN1842" s="2">
        <v>46.47</v>
      </c>
      <c r="BO1842" s="2">
        <v>46.47</v>
      </c>
      <c r="BP1842" s="2"/>
      <c r="BQ1842" s="2" t="s">
        <v>117</v>
      </c>
      <c r="BR1842" s="2" t="s">
        <v>83</v>
      </c>
      <c r="BS1842" s="3">
        <v>42663</v>
      </c>
      <c r="BT1842" s="4">
        <v>0.33333333333333331</v>
      </c>
      <c r="BU1842" s="2" t="s">
        <v>1266</v>
      </c>
      <c r="BV1842" s="2" t="s">
        <v>85</v>
      </c>
      <c r="BW1842" s="2"/>
      <c r="BX1842" s="2"/>
      <c r="BY1842" s="2">
        <v>8674.57</v>
      </c>
      <c r="BZ1842" s="2"/>
      <c r="CA1842" s="2"/>
      <c r="CB1842" s="2"/>
      <c r="CC1842" s="2" t="s">
        <v>99</v>
      </c>
      <c r="CD1842" s="2">
        <v>6001</v>
      </c>
      <c r="CE1842" s="2" t="s">
        <v>108</v>
      </c>
      <c r="CF1842" s="5">
        <v>42664</v>
      </c>
      <c r="CG1842" s="2"/>
      <c r="CH1842" s="2"/>
      <c r="CI1842" s="2">
        <v>1</v>
      </c>
      <c r="CJ1842" s="2">
        <v>1</v>
      </c>
      <c r="CK1842" s="2">
        <v>21</v>
      </c>
      <c r="CL1842" s="2" t="s">
        <v>88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"FES1162507680"</f>
        <v>FES1162507680</v>
      </c>
      <c r="F1843" s="3">
        <v>42662</v>
      </c>
      <c r="G1843" s="2">
        <v>201704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137</v>
      </c>
      <c r="M1843" s="2" t="s">
        <v>138</v>
      </c>
      <c r="N1843" s="2" t="s">
        <v>526</v>
      </c>
      <c r="O1843" s="2" t="s">
        <v>96</v>
      </c>
      <c r="P1843" s="2" t="str">
        <f>"2170526269                    "</f>
        <v xml:space="preserve">2170526269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5.81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2.9</v>
      </c>
      <c r="BJ1843" s="2">
        <v>3.3</v>
      </c>
      <c r="BK1843" s="2">
        <v>3.5</v>
      </c>
      <c r="BL1843" s="2">
        <v>71.33</v>
      </c>
      <c r="BM1843" s="2">
        <v>9.99</v>
      </c>
      <c r="BN1843" s="2">
        <v>81.319999999999993</v>
      </c>
      <c r="BO1843" s="2">
        <v>81.319999999999993</v>
      </c>
      <c r="BP1843" s="2"/>
      <c r="BQ1843" s="2" t="s">
        <v>117</v>
      </c>
      <c r="BR1843" s="2" t="s">
        <v>83</v>
      </c>
      <c r="BS1843" s="3">
        <v>42663</v>
      </c>
      <c r="BT1843" s="4">
        <v>0.40277777777777773</v>
      </c>
      <c r="BU1843" s="2" t="s">
        <v>1372</v>
      </c>
      <c r="BV1843" s="2"/>
      <c r="BW1843" s="2"/>
      <c r="BX1843" s="2"/>
      <c r="BY1843" s="2">
        <v>16406.39</v>
      </c>
      <c r="BZ1843" s="2"/>
      <c r="CA1843" s="2" t="s">
        <v>1091</v>
      </c>
      <c r="CB1843" s="2"/>
      <c r="CC1843" s="2" t="s">
        <v>138</v>
      </c>
      <c r="CD1843" s="2">
        <v>3201</v>
      </c>
      <c r="CE1843" s="2" t="s">
        <v>86</v>
      </c>
      <c r="CF1843" s="5">
        <v>42663</v>
      </c>
      <c r="CG1843" s="2"/>
      <c r="CH1843" s="2"/>
      <c r="CI1843" s="2">
        <v>0</v>
      </c>
      <c r="CJ1843" s="2">
        <v>0</v>
      </c>
      <c r="CK1843" s="2">
        <v>21</v>
      </c>
      <c r="CL1843" s="2" t="s">
        <v>88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"FES1162507764"</f>
        <v>FES1162507764</v>
      </c>
      <c r="F1844" s="3">
        <v>42662</v>
      </c>
      <c r="G1844" s="2">
        <v>201704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148</v>
      </c>
      <c r="M1844" s="2" t="s">
        <v>149</v>
      </c>
      <c r="N1844" s="2" t="s">
        <v>1132</v>
      </c>
      <c r="O1844" s="2" t="s">
        <v>96</v>
      </c>
      <c r="P1844" s="2" t="str">
        <f>"2170529068                    "</f>
        <v xml:space="preserve">2170529068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9.9499999999999993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5.7</v>
      </c>
      <c r="BJ1844" s="2">
        <v>3.4</v>
      </c>
      <c r="BK1844" s="2">
        <v>6</v>
      </c>
      <c r="BL1844" s="2">
        <v>122.27</v>
      </c>
      <c r="BM1844" s="2">
        <v>17.12</v>
      </c>
      <c r="BN1844" s="2">
        <v>139.38999999999999</v>
      </c>
      <c r="BO1844" s="2">
        <v>139.38999999999999</v>
      </c>
      <c r="BP1844" s="2"/>
      <c r="BQ1844" s="2" t="s">
        <v>91</v>
      </c>
      <c r="BR1844" s="2" t="s">
        <v>83</v>
      </c>
      <c r="BS1844" s="3">
        <v>42663</v>
      </c>
      <c r="BT1844" s="4">
        <v>0.4375</v>
      </c>
      <c r="BU1844" s="2" t="s">
        <v>584</v>
      </c>
      <c r="BV1844" s="2"/>
      <c r="BW1844" s="2"/>
      <c r="BX1844" s="2"/>
      <c r="BY1844" s="2">
        <v>17128.150000000001</v>
      </c>
      <c r="BZ1844" s="2"/>
      <c r="CA1844" s="2"/>
      <c r="CB1844" s="2"/>
      <c r="CC1844" s="2" t="s">
        <v>149</v>
      </c>
      <c r="CD1844" s="2">
        <v>4000</v>
      </c>
      <c r="CE1844" s="2" t="s">
        <v>86</v>
      </c>
      <c r="CF1844" s="5">
        <v>42664</v>
      </c>
      <c r="CG1844" s="2"/>
      <c r="CH1844" s="2"/>
      <c r="CI1844" s="2">
        <v>0</v>
      </c>
      <c r="CJ1844" s="2">
        <v>0</v>
      </c>
      <c r="CK1844" s="2">
        <v>21</v>
      </c>
      <c r="CL1844" s="2" t="s">
        <v>88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"FES1162507671"</f>
        <v>FES1162507671</v>
      </c>
      <c r="F1845" s="3">
        <v>42662</v>
      </c>
      <c r="G1845" s="2">
        <v>201704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207</v>
      </c>
      <c r="M1845" s="2" t="s">
        <v>208</v>
      </c>
      <c r="N1845" s="2" t="s">
        <v>661</v>
      </c>
      <c r="O1845" s="2" t="s">
        <v>96</v>
      </c>
      <c r="P1845" s="2" t="str">
        <f>"2170531139                    "</f>
        <v xml:space="preserve">2170531139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3.32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0.9</v>
      </c>
      <c r="BJ1845" s="2">
        <v>1.4</v>
      </c>
      <c r="BK1845" s="2">
        <v>1.5</v>
      </c>
      <c r="BL1845" s="2">
        <v>40.76</v>
      </c>
      <c r="BM1845" s="2">
        <v>5.71</v>
      </c>
      <c r="BN1845" s="2">
        <v>46.47</v>
      </c>
      <c r="BO1845" s="2">
        <v>46.47</v>
      </c>
      <c r="BP1845" s="2"/>
      <c r="BQ1845" s="2" t="s">
        <v>82</v>
      </c>
      <c r="BR1845" s="2" t="s">
        <v>83</v>
      </c>
      <c r="BS1845" s="3">
        <v>42663</v>
      </c>
      <c r="BT1845" s="4">
        <v>0.4375</v>
      </c>
      <c r="BU1845" s="2" t="s">
        <v>662</v>
      </c>
      <c r="BV1845" s="2" t="s">
        <v>85</v>
      </c>
      <c r="BW1845" s="2"/>
      <c r="BX1845" s="2"/>
      <c r="BY1845" s="2">
        <v>6896.05</v>
      </c>
      <c r="BZ1845" s="2"/>
      <c r="CA1845" s="2"/>
      <c r="CB1845" s="2"/>
      <c r="CC1845" s="2" t="s">
        <v>208</v>
      </c>
      <c r="CD1845" s="2">
        <v>4110</v>
      </c>
      <c r="CE1845" s="2" t="s">
        <v>108</v>
      </c>
      <c r="CF1845" s="5">
        <v>42664</v>
      </c>
      <c r="CG1845" s="2"/>
      <c r="CH1845" s="2"/>
      <c r="CI1845" s="2">
        <v>1</v>
      </c>
      <c r="CJ1845" s="2">
        <v>1</v>
      </c>
      <c r="CK1845" s="2">
        <v>21</v>
      </c>
      <c r="CL1845" s="2" t="s">
        <v>88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"FES1162507879"</f>
        <v>FES1162507879</v>
      </c>
      <c r="F1846" s="3">
        <v>42662</v>
      </c>
      <c r="G1846" s="2">
        <v>201704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253</v>
      </c>
      <c r="M1846" s="2" t="s">
        <v>254</v>
      </c>
      <c r="N1846" s="2" t="s">
        <v>255</v>
      </c>
      <c r="O1846" s="2" t="s">
        <v>96</v>
      </c>
      <c r="P1846" s="2" t="str">
        <f>"2170531147                    "</f>
        <v xml:space="preserve">2170531147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20.94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7</v>
      </c>
      <c r="BJ1846" s="2">
        <v>3.4</v>
      </c>
      <c r="BK1846" s="2">
        <v>7</v>
      </c>
      <c r="BL1846" s="2">
        <v>257.27999999999997</v>
      </c>
      <c r="BM1846" s="2">
        <v>36.020000000000003</v>
      </c>
      <c r="BN1846" s="2">
        <v>293.3</v>
      </c>
      <c r="BO1846" s="2">
        <v>293.3</v>
      </c>
      <c r="BP1846" s="2"/>
      <c r="BQ1846" s="2" t="s">
        <v>117</v>
      </c>
      <c r="BR1846" s="2" t="s">
        <v>83</v>
      </c>
      <c r="BS1846" s="3">
        <v>42663</v>
      </c>
      <c r="BT1846" s="4">
        <v>0.52083333333333337</v>
      </c>
      <c r="BU1846" s="2" t="s">
        <v>974</v>
      </c>
      <c r="BV1846" s="2" t="s">
        <v>85</v>
      </c>
      <c r="BW1846" s="2"/>
      <c r="BX1846" s="2"/>
      <c r="BY1846" s="2">
        <v>16837.599999999999</v>
      </c>
      <c r="BZ1846" s="2"/>
      <c r="CA1846" s="2"/>
      <c r="CB1846" s="2"/>
      <c r="CC1846" s="2" t="s">
        <v>254</v>
      </c>
      <c r="CD1846" s="2">
        <v>3370</v>
      </c>
      <c r="CE1846" s="2" t="s">
        <v>86</v>
      </c>
      <c r="CF1846" s="5">
        <v>42667</v>
      </c>
      <c r="CG1846" s="2"/>
      <c r="CH1846" s="2"/>
      <c r="CI1846" s="2">
        <v>3</v>
      </c>
      <c r="CJ1846" s="2">
        <v>1</v>
      </c>
      <c r="CK1846" s="2">
        <v>23</v>
      </c>
      <c r="CL1846" s="2" t="s">
        <v>88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"FES1162507661"</f>
        <v>FES1162507661</v>
      </c>
      <c r="F1847" s="3">
        <v>42662</v>
      </c>
      <c r="G1847" s="2">
        <v>201704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269</v>
      </c>
      <c r="M1847" s="2" t="s">
        <v>270</v>
      </c>
      <c r="N1847" s="2" t="s">
        <v>271</v>
      </c>
      <c r="O1847" s="2" t="s">
        <v>96</v>
      </c>
      <c r="P1847" s="2" t="str">
        <f>"2170531132                    "</f>
        <v xml:space="preserve">2170531132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3.32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1.8</v>
      </c>
      <c r="BJ1847" s="2">
        <v>1.4</v>
      </c>
      <c r="BK1847" s="2">
        <v>2</v>
      </c>
      <c r="BL1847" s="2">
        <v>40.76</v>
      </c>
      <c r="BM1847" s="2">
        <v>5.71</v>
      </c>
      <c r="BN1847" s="2">
        <v>46.47</v>
      </c>
      <c r="BO1847" s="2">
        <v>46.47</v>
      </c>
      <c r="BP1847" s="2"/>
      <c r="BQ1847" s="2" t="s">
        <v>91</v>
      </c>
      <c r="BR1847" s="2" t="s">
        <v>83</v>
      </c>
      <c r="BS1847" s="3">
        <v>42663</v>
      </c>
      <c r="BT1847" s="4">
        <v>0.43124999999999997</v>
      </c>
      <c r="BU1847" s="2" t="s">
        <v>1965</v>
      </c>
      <c r="BV1847" s="2" t="s">
        <v>85</v>
      </c>
      <c r="BW1847" s="2"/>
      <c r="BX1847" s="2"/>
      <c r="BY1847" s="2">
        <v>6937.16</v>
      </c>
      <c r="BZ1847" s="2"/>
      <c r="CA1847" s="2" t="s">
        <v>129</v>
      </c>
      <c r="CB1847" s="2"/>
      <c r="CC1847" s="2" t="s">
        <v>270</v>
      </c>
      <c r="CD1847" s="2">
        <v>3610</v>
      </c>
      <c r="CE1847" s="2" t="s">
        <v>108</v>
      </c>
      <c r="CF1847" s="5">
        <v>42664</v>
      </c>
      <c r="CG1847" s="2"/>
      <c r="CH1847" s="2"/>
      <c r="CI1847" s="2">
        <v>1</v>
      </c>
      <c r="CJ1847" s="2">
        <v>1</v>
      </c>
      <c r="CK1847" s="2">
        <v>21</v>
      </c>
      <c r="CL1847" s="2" t="s">
        <v>88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"FES1162507664"</f>
        <v>FES1162507664</v>
      </c>
      <c r="F1848" s="3">
        <v>42662</v>
      </c>
      <c r="G1848" s="2">
        <v>201704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137</v>
      </c>
      <c r="M1848" s="2" t="s">
        <v>138</v>
      </c>
      <c r="N1848" s="2" t="s">
        <v>526</v>
      </c>
      <c r="O1848" s="2" t="s">
        <v>96</v>
      </c>
      <c r="P1848" s="2" t="str">
        <f>"2170531026                    "</f>
        <v xml:space="preserve">2170531026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3.32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1.5</v>
      </c>
      <c r="BJ1848" s="2">
        <v>0.9</v>
      </c>
      <c r="BK1848" s="2">
        <v>1.5</v>
      </c>
      <c r="BL1848" s="2">
        <v>40.76</v>
      </c>
      <c r="BM1848" s="2">
        <v>5.71</v>
      </c>
      <c r="BN1848" s="2">
        <v>46.47</v>
      </c>
      <c r="BO1848" s="2">
        <v>46.47</v>
      </c>
      <c r="BP1848" s="2"/>
      <c r="BQ1848" s="2" t="s">
        <v>117</v>
      </c>
      <c r="BR1848" s="2" t="s">
        <v>83</v>
      </c>
      <c r="BS1848" s="3">
        <v>42663</v>
      </c>
      <c r="BT1848" s="4">
        <v>0.40277777777777773</v>
      </c>
      <c r="BU1848" s="2" t="s">
        <v>1372</v>
      </c>
      <c r="BV1848" s="2"/>
      <c r="BW1848" s="2"/>
      <c r="BX1848" s="2"/>
      <c r="BY1848" s="2">
        <v>4740.12</v>
      </c>
      <c r="BZ1848" s="2"/>
      <c r="CA1848" s="2" t="s">
        <v>1091</v>
      </c>
      <c r="CB1848" s="2"/>
      <c r="CC1848" s="2" t="s">
        <v>138</v>
      </c>
      <c r="CD1848" s="2">
        <v>3201</v>
      </c>
      <c r="CE1848" s="2" t="s">
        <v>86</v>
      </c>
      <c r="CF1848" s="5">
        <v>42663</v>
      </c>
      <c r="CG1848" s="2"/>
      <c r="CH1848" s="2"/>
      <c r="CI1848" s="2">
        <v>0</v>
      </c>
      <c r="CJ1848" s="2">
        <v>0</v>
      </c>
      <c r="CK1848" s="2">
        <v>21</v>
      </c>
      <c r="CL1848" s="2" t="s">
        <v>88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"FES1162507950"</f>
        <v>FES1162507950</v>
      </c>
      <c r="F1849" s="3">
        <v>42662</v>
      </c>
      <c r="G1849" s="2">
        <v>201704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372</v>
      </c>
      <c r="M1849" s="2" t="s">
        <v>373</v>
      </c>
      <c r="N1849" s="2" t="s">
        <v>1966</v>
      </c>
      <c r="O1849" s="2" t="s">
        <v>96</v>
      </c>
      <c r="P1849" s="2" t="str">
        <f>"2170531257                    "</f>
        <v xml:space="preserve">2170531257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6.43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1</v>
      </c>
      <c r="BJ1849" s="2">
        <v>0.2</v>
      </c>
      <c r="BK1849" s="2">
        <v>1</v>
      </c>
      <c r="BL1849" s="2">
        <v>78.97</v>
      </c>
      <c r="BM1849" s="2">
        <v>11.06</v>
      </c>
      <c r="BN1849" s="2">
        <v>90.03</v>
      </c>
      <c r="BO1849" s="2">
        <v>90.03</v>
      </c>
      <c r="BP1849" s="2"/>
      <c r="BQ1849" s="2" t="s">
        <v>82</v>
      </c>
      <c r="BR1849" s="2" t="s">
        <v>83</v>
      </c>
      <c r="BS1849" s="3">
        <v>42663</v>
      </c>
      <c r="BT1849" s="4">
        <v>0.52569444444444446</v>
      </c>
      <c r="BU1849" s="2" t="s">
        <v>1967</v>
      </c>
      <c r="BV1849" s="2" t="s">
        <v>85</v>
      </c>
      <c r="BW1849" s="2"/>
      <c r="BX1849" s="2"/>
      <c r="BY1849" s="2">
        <v>1200</v>
      </c>
      <c r="BZ1849" s="2"/>
      <c r="CA1849" s="2"/>
      <c r="CB1849" s="2"/>
      <c r="CC1849" s="2" t="s">
        <v>373</v>
      </c>
      <c r="CD1849" s="2">
        <v>9650</v>
      </c>
      <c r="CE1849" s="2" t="s">
        <v>108</v>
      </c>
      <c r="CF1849" s="5">
        <v>42668</v>
      </c>
      <c r="CG1849" s="2"/>
      <c r="CH1849" s="2"/>
      <c r="CI1849" s="2">
        <v>1</v>
      </c>
      <c r="CJ1849" s="2">
        <v>1</v>
      </c>
      <c r="CK1849" s="2">
        <v>23</v>
      </c>
      <c r="CL1849" s="2" t="s">
        <v>88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"FES1162508253"</f>
        <v>FES1162508253</v>
      </c>
      <c r="F1850" s="3">
        <v>42663</v>
      </c>
      <c r="G1850" s="2">
        <v>201704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98</v>
      </c>
      <c r="M1850" s="2" t="s">
        <v>99</v>
      </c>
      <c r="N1850" s="2" t="s">
        <v>350</v>
      </c>
      <c r="O1850" s="2" t="s">
        <v>96</v>
      </c>
      <c r="P1850" s="2" t="str">
        <f>"2170531556                    "</f>
        <v xml:space="preserve">2170531556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11.61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5.6</v>
      </c>
      <c r="BJ1850" s="2">
        <v>6.8</v>
      </c>
      <c r="BK1850" s="2">
        <v>7</v>
      </c>
      <c r="BL1850" s="2">
        <v>142.65</v>
      </c>
      <c r="BM1850" s="2">
        <v>19.97</v>
      </c>
      <c r="BN1850" s="2">
        <v>162.62</v>
      </c>
      <c r="BO1850" s="2">
        <v>162.62</v>
      </c>
      <c r="BP1850" s="2"/>
      <c r="BQ1850" s="2" t="s">
        <v>351</v>
      </c>
      <c r="BR1850" s="2" t="s">
        <v>83</v>
      </c>
      <c r="BS1850" s="3">
        <v>42664</v>
      </c>
      <c r="BT1850" s="4">
        <v>0.3923611111111111</v>
      </c>
      <c r="BU1850" s="2" t="s">
        <v>1968</v>
      </c>
      <c r="BV1850" s="2" t="s">
        <v>85</v>
      </c>
      <c r="BW1850" s="2"/>
      <c r="BX1850" s="2"/>
      <c r="BY1850" s="2">
        <v>34204</v>
      </c>
      <c r="BZ1850" s="2" t="s">
        <v>27</v>
      </c>
      <c r="CA1850" s="2" t="s">
        <v>1349</v>
      </c>
      <c r="CB1850" s="2"/>
      <c r="CC1850" s="2" t="s">
        <v>99</v>
      </c>
      <c r="CD1850" s="2">
        <v>6001</v>
      </c>
      <c r="CE1850" s="2" t="s">
        <v>86</v>
      </c>
      <c r="CF1850" s="5">
        <v>42667</v>
      </c>
      <c r="CG1850" s="2"/>
      <c r="CH1850" s="2"/>
      <c r="CI1850" s="2">
        <v>1</v>
      </c>
      <c r="CJ1850" s="2">
        <v>1</v>
      </c>
      <c r="CK1850" s="2">
        <v>21</v>
      </c>
      <c r="CL1850" s="2" t="s">
        <v>88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"FES1162510142"</f>
        <v>FES1162510142</v>
      </c>
      <c r="F1851" s="3">
        <v>42671</v>
      </c>
      <c r="G1851" s="2">
        <v>201704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160</v>
      </c>
      <c r="M1851" s="2" t="s">
        <v>161</v>
      </c>
      <c r="N1851" s="2" t="s">
        <v>162</v>
      </c>
      <c r="O1851" s="2" t="s">
        <v>96</v>
      </c>
      <c r="P1851" s="2" t="str">
        <f>"2170533007                    "</f>
        <v xml:space="preserve">2170533007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3.32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2</v>
      </c>
      <c r="BJ1851" s="2">
        <v>1.1000000000000001</v>
      </c>
      <c r="BK1851" s="2">
        <v>2</v>
      </c>
      <c r="BL1851" s="2">
        <v>40.76</v>
      </c>
      <c r="BM1851" s="2">
        <v>5.71</v>
      </c>
      <c r="BN1851" s="2">
        <v>46.47</v>
      </c>
      <c r="BO1851" s="2">
        <v>46.47</v>
      </c>
      <c r="BP1851" s="2"/>
      <c r="BQ1851" s="2" t="s">
        <v>163</v>
      </c>
      <c r="BR1851" s="2" t="s">
        <v>83</v>
      </c>
      <c r="BS1851" s="3">
        <v>42674</v>
      </c>
      <c r="BT1851" s="4">
        <v>0.41666666666666669</v>
      </c>
      <c r="BU1851" s="2" t="s">
        <v>1969</v>
      </c>
      <c r="BV1851" s="2" t="s">
        <v>85</v>
      </c>
      <c r="BW1851" s="2"/>
      <c r="BX1851" s="2"/>
      <c r="BY1851" s="2">
        <v>5320</v>
      </c>
      <c r="BZ1851" s="2"/>
      <c r="CA1851" s="2"/>
      <c r="CB1851" s="2"/>
      <c r="CC1851" s="2" t="s">
        <v>161</v>
      </c>
      <c r="CD1851" s="2">
        <v>7441</v>
      </c>
      <c r="CE1851" s="2" t="s">
        <v>86</v>
      </c>
      <c r="CF1851" s="5">
        <v>42675</v>
      </c>
      <c r="CG1851" s="2"/>
      <c r="CH1851" s="2"/>
      <c r="CI1851" s="2">
        <v>1</v>
      </c>
      <c r="CJ1851" s="2">
        <v>1</v>
      </c>
      <c r="CK1851" s="2">
        <v>21</v>
      </c>
      <c r="CL1851" s="2" t="s">
        <v>88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"FES1162507769"</f>
        <v>FES1162507769</v>
      </c>
      <c r="F1852" s="3">
        <v>42662</v>
      </c>
      <c r="G1852" s="2">
        <v>201704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98</v>
      </c>
      <c r="M1852" s="2" t="s">
        <v>99</v>
      </c>
      <c r="N1852" s="2" t="s">
        <v>104</v>
      </c>
      <c r="O1852" s="2" t="s">
        <v>96</v>
      </c>
      <c r="P1852" s="2" t="str">
        <f>"2170529438                    "</f>
        <v xml:space="preserve">2170529438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3.32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1</v>
      </c>
      <c r="BJ1852" s="2">
        <v>0.2</v>
      </c>
      <c r="BK1852" s="2">
        <v>1</v>
      </c>
      <c r="BL1852" s="2">
        <v>40.76</v>
      </c>
      <c r="BM1852" s="2">
        <v>5.71</v>
      </c>
      <c r="BN1852" s="2">
        <v>46.47</v>
      </c>
      <c r="BO1852" s="2">
        <v>46.47</v>
      </c>
      <c r="BP1852" s="2"/>
      <c r="BQ1852" s="2" t="s">
        <v>105</v>
      </c>
      <c r="BR1852" s="2" t="s">
        <v>83</v>
      </c>
      <c r="BS1852" s="3">
        <v>42663</v>
      </c>
      <c r="BT1852" s="4">
        <v>0.52083333333333337</v>
      </c>
      <c r="BU1852" s="2" t="s">
        <v>105</v>
      </c>
      <c r="BV1852" s="2" t="s">
        <v>88</v>
      </c>
      <c r="BW1852" s="2" t="s">
        <v>277</v>
      </c>
      <c r="BX1852" s="2" t="s">
        <v>1683</v>
      </c>
      <c r="BY1852" s="2">
        <v>1200</v>
      </c>
      <c r="BZ1852" s="2"/>
      <c r="CA1852" s="2"/>
      <c r="CB1852" s="2"/>
      <c r="CC1852" s="2" t="s">
        <v>99</v>
      </c>
      <c r="CD1852" s="2">
        <v>6001</v>
      </c>
      <c r="CE1852" s="2" t="s">
        <v>108</v>
      </c>
      <c r="CF1852" s="5">
        <v>42664</v>
      </c>
      <c r="CG1852" s="2"/>
      <c r="CH1852" s="2"/>
      <c r="CI1852" s="2">
        <v>1</v>
      </c>
      <c r="CJ1852" s="2">
        <v>1</v>
      </c>
      <c r="CK1852" s="2">
        <v>21</v>
      </c>
      <c r="CL1852" s="2" t="s">
        <v>88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"FES1162507519"</f>
        <v>FES1162507519</v>
      </c>
      <c r="F1853" s="3">
        <v>42661</v>
      </c>
      <c r="G1853" s="2">
        <v>201704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160</v>
      </c>
      <c r="M1853" s="2" t="s">
        <v>161</v>
      </c>
      <c r="N1853" s="2" t="s">
        <v>236</v>
      </c>
      <c r="O1853" s="2" t="s">
        <v>96</v>
      </c>
      <c r="P1853" s="2" t="str">
        <f>"2170530959                    "</f>
        <v xml:space="preserve">2170530959 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115.27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2</v>
      </c>
      <c r="BI1853" s="2">
        <v>69.3</v>
      </c>
      <c r="BJ1853" s="2">
        <v>17.5</v>
      </c>
      <c r="BK1853" s="2">
        <v>69.5</v>
      </c>
      <c r="BL1853" s="2">
        <v>1416.31</v>
      </c>
      <c r="BM1853" s="2">
        <v>198.28</v>
      </c>
      <c r="BN1853" s="2">
        <v>1614.59</v>
      </c>
      <c r="BO1853" s="2">
        <v>1614.59</v>
      </c>
      <c r="BP1853" s="2" t="s">
        <v>1970</v>
      </c>
      <c r="BQ1853" s="2" t="s">
        <v>237</v>
      </c>
      <c r="BR1853" s="2" t="s">
        <v>83</v>
      </c>
      <c r="BS1853" s="3">
        <v>42662</v>
      </c>
      <c r="BT1853" s="4">
        <v>0.41666666666666669</v>
      </c>
      <c r="BU1853" s="2" t="s">
        <v>1971</v>
      </c>
      <c r="BV1853" s="2" t="s">
        <v>85</v>
      </c>
      <c r="BW1853" s="2"/>
      <c r="BX1853" s="2"/>
      <c r="BY1853" s="2">
        <v>87443.55</v>
      </c>
      <c r="BZ1853" s="2" t="s">
        <v>27</v>
      </c>
      <c r="CA1853" s="2" t="s">
        <v>129</v>
      </c>
      <c r="CB1853" s="2"/>
      <c r="CC1853" s="2" t="s">
        <v>161</v>
      </c>
      <c r="CD1853" s="2">
        <v>7405</v>
      </c>
      <c r="CE1853" s="2" t="s">
        <v>904</v>
      </c>
      <c r="CF1853" s="5">
        <v>42663</v>
      </c>
      <c r="CG1853" s="2"/>
      <c r="CH1853" s="2"/>
      <c r="CI1853" s="2">
        <v>1</v>
      </c>
      <c r="CJ1853" s="2">
        <v>1</v>
      </c>
      <c r="CK1853" s="2">
        <v>21</v>
      </c>
      <c r="CL1853" s="2" t="s">
        <v>88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"FES1162505896"</f>
        <v>FES1162505896</v>
      </c>
      <c r="F1854" s="3">
        <v>42654</v>
      </c>
      <c r="G1854" s="2">
        <v>201704</v>
      </c>
      <c r="H1854" s="2" t="s">
        <v>74</v>
      </c>
      <c r="I1854" s="2" t="s">
        <v>75</v>
      </c>
      <c r="J1854" s="2" t="s">
        <v>189</v>
      </c>
      <c r="K1854" s="2" t="s">
        <v>77</v>
      </c>
      <c r="L1854" s="2" t="s">
        <v>1380</v>
      </c>
      <c r="M1854" s="2" t="s">
        <v>1381</v>
      </c>
      <c r="N1854" s="2" t="s">
        <v>1972</v>
      </c>
      <c r="O1854" s="2" t="s">
        <v>1973</v>
      </c>
      <c r="P1854" s="2" t="str">
        <f>"2170527647                    "</f>
        <v xml:space="preserve">2170527647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33.380000000000003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19.3</v>
      </c>
      <c r="BJ1854" s="2">
        <v>18.2</v>
      </c>
      <c r="BK1854" s="2">
        <v>20</v>
      </c>
      <c r="BL1854" s="2">
        <v>410.08</v>
      </c>
      <c r="BM1854" s="2">
        <v>57.41</v>
      </c>
      <c r="BN1854" s="2">
        <v>467.49</v>
      </c>
      <c r="BO1854" s="2">
        <v>467.49</v>
      </c>
      <c r="BP1854" s="2"/>
      <c r="BQ1854" s="2" t="s">
        <v>1974</v>
      </c>
      <c r="BR1854" s="2" t="s">
        <v>194</v>
      </c>
      <c r="BS1854" s="3">
        <v>42655</v>
      </c>
      <c r="BT1854" s="4">
        <v>0.54166666666666663</v>
      </c>
      <c r="BU1854" s="2" t="s">
        <v>1975</v>
      </c>
      <c r="BV1854" s="2" t="s">
        <v>85</v>
      </c>
      <c r="BW1854" s="2"/>
      <c r="BX1854" s="2"/>
      <c r="BY1854" s="2">
        <v>91060.52</v>
      </c>
      <c r="BZ1854" s="2" t="s">
        <v>27</v>
      </c>
      <c r="CA1854" s="2" t="s">
        <v>129</v>
      </c>
      <c r="CB1854" s="2"/>
      <c r="CC1854" s="2" t="s">
        <v>1381</v>
      </c>
      <c r="CD1854" s="2">
        <v>4339</v>
      </c>
      <c r="CE1854" s="2" t="s">
        <v>86</v>
      </c>
      <c r="CF1854" s="5">
        <v>42656</v>
      </c>
      <c r="CG1854" s="2"/>
      <c r="CH1854" s="2"/>
      <c r="CI1854" s="2">
        <v>1</v>
      </c>
      <c r="CJ1854" s="2">
        <v>1</v>
      </c>
      <c r="CK1854" s="2">
        <v>33</v>
      </c>
      <c r="CL1854" s="2" t="s">
        <v>88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"FES1162507288"</f>
        <v>FES1162507288</v>
      </c>
      <c r="F1855" s="3">
        <v>42661</v>
      </c>
      <c r="G1855" s="2">
        <v>201704</v>
      </c>
      <c r="H1855" s="2" t="s">
        <v>74</v>
      </c>
      <c r="I1855" s="2" t="s">
        <v>75</v>
      </c>
      <c r="J1855" s="2" t="s">
        <v>189</v>
      </c>
      <c r="K1855" s="2" t="s">
        <v>77</v>
      </c>
      <c r="L1855" s="2" t="s">
        <v>98</v>
      </c>
      <c r="M1855" s="2" t="s">
        <v>99</v>
      </c>
      <c r="N1855" s="2" t="s">
        <v>109</v>
      </c>
      <c r="O1855" s="2" t="s">
        <v>96</v>
      </c>
      <c r="P1855" s="2" t="str">
        <f>"2170526239                    "</f>
        <v xml:space="preserve">2170526239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3.32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</v>
      </c>
      <c r="BJ1855" s="2">
        <v>0.2</v>
      </c>
      <c r="BK1855" s="2">
        <v>1</v>
      </c>
      <c r="BL1855" s="2">
        <v>40.76</v>
      </c>
      <c r="BM1855" s="2">
        <v>5.71</v>
      </c>
      <c r="BN1855" s="2">
        <v>46.47</v>
      </c>
      <c r="BO1855" s="2">
        <v>46.47</v>
      </c>
      <c r="BP1855" s="2"/>
      <c r="BQ1855" s="2" t="s">
        <v>110</v>
      </c>
      <c r="BR1855" s="2" t="s">
        <v>194</v>
      </c>
      <c r="BS1855" s="3">
        <v>42662</v>
      </c>
      <c r="BT1855" s="4">
        <v>0.41666666666666669</v>
      </c>
      <c r="BU1855" s="2" t="s">
        <v>629</v>
      </c>
      <c r="BV1855" s="2" t="s">
        <v>85</v>
      </c>
      <c r="BW1855" s="2"/>
      <c r="BX1855" s="2"/>
      <c r="BY1855" s="2">
        <v>1200</v>
      </c>
      <c r="BZ1855" s="2" t="s">
        <v>27</v>
      </c>
      <c r="CA1855" s="2"/>
      <c r="CB1855" s="2"/>
      <c r="CC1855" s="2" t="s">
        <v>99</v>
      </c>
      <c r="CD1855" s="2">
        <v>6001</v>
      </c>
      <c r="CE1855" s="2" t="s">
        <v>108</v>
      </c>
      <c r="CF1855" s="5">
        <v>42663</v>
      </c>
      <c r="CG1855" s="2"/>
      <c r="CH1855" s="2"/>
      <c r="CI1855" s="2">
        <v>1</v>
      </c>
      <c r="CJ1855" s="2">
        <v>1</v>
      </c>
      <c r="CK1855" s="2">
        <v>21</v>
      </c>
      <c r="CL1855" s="2" t="s">
        <v>88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"029907652098"</f>
        <v>029907652098</v>
      </c>
      <c r="F1856" s="3">
        <v>42662</v>
      </c>
      <c r="G1856" s="2">
        <v>201704</v>
      </c>
      <c r="H1856" s="2" t="s">
        <v>137</v>
      </c>
      <c r="I1856" s="2" t="s">
        <v>138</v>
      </c>
      <c r="J1856" s="2" t="s">
        <v>189</v>
      </c>
      <c r="K1856" s="2" t="s">
        <v>77</v>
      </c>
      <c r="L1856" s="2" t="s">
        <v>74</v>
      </c>
      <c r="M1856" s="2" t="s">
        <v>75</v>
      </c>
      <c r="N1856" s="2" t="s">
        <v>189</v>
      </c>
      <c r="O1856" s="2" t="s">
        <v>81</v>
      </c>
      <c r="P1856" s="2" t="str">
        <f>"                              "</f>
        <v xml:space="preserve">          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6.22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4</v>
      </c>
      <c r="BJ1856" s="2">
        <v>1.6</v>
      </c>
      <c r="BK1856" s="2">
        <v>4</v>
      </c>
      <c r="BL1856" s="2">
        <v>81.42</v>
      </c>
      <c r="BM1856" s="2">
        <v>11.4</v>
      </c>
      <c r="BN1856" s="2">
        <v>92.82</v>
      </c>
      <c r="BO1856" s="2">
        <v>92.82</v>
      </c>
      <c r="BP1856" s="2"/>
      <c r="BQ1856" s="2"/>
      <c r="BR1856" s="2" t="s">
        <v>1186</v>
      </c>
      <c r="BS1856" s="3">
        <v>42664</v>
      </c>
      <c r="BT1856" s="4">
        <v>0.625</v>
      </c>
      <c r="BU1856" s="2" t="s">
        <v>381</v>
      </c>
      <c r="BV1856" s="2" t="s">
        <v>88</v>
      </c>
      <c r="BW1856" s="2"/>
      <c r="BX1856" s="2"/>
      <c r="BY1856" s="2">
        <v>8100</v>
      </c>
      <c r="BZ1856" s="2"/>
      <c r="CA1856" s="2"/>
      <c r="CB1856" s="2"/>
      <c r="CC1856" s="2" t="s">
        <v>75</v>
      </c>
      <c r="CD1856" s="2">
        <v>1600</v>
      </c>
      <c r="CE1856" s="2" t="s">
        <v>86</v>
      </c>
      <c r="CF1856" s="5">
        <v>42668</v>
      </c>
      <c r="CG1856" s="2"/>
      <c r="CH1856" s="2"/>
      <c r="CI1856" s="2">
        <v>1</v>
      </c>
      <c r="CJ1856" s="2">
        <v>2</v>
      </c>
      <c r="CK1856" s="2" t="s">
        <v>366</v>
      </c>
      <c r="CL1856" s="2" t="s">
        <v>88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"FES1162508361"</f>
        <v>FES1162508361</v>
      </c>
      <c r="F1857" s="3">
        <v>42663</v>
      </c>
      <c r="G1857" s="2">
        <v>201704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143</v>
      </c>
      <c r="M1857" s="2" t="s">
        <v>144</v>
      </c>
      <c r="N1857" s="2" t="s">
        <v>1976</v>
      </c>
      <c r="O1857" s="2" t="s">
        <v>96</v>
      </c>
      <c r="P1857" s="2" t="str">
        <f>"2170531495                    "</f>
        <v xml:space="preserve">2170531495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3.32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0.9</v>
      </c>
      <c r="BJ1857" s="2">
        <v>1.6</v>
      </c>
      <c r="BK1857" s="2">
        <v>2</v>
      </c>
      <c r="BL1857" s="2">
        <v>40.76</v>
      </c>
      <c r="BM1857" s="2">
        <v>5.71</v>
      </c>
      <c r="BN1857" s="2">
        <v>46.47</v>
      </c>
      <c r="BO1857" s="2">
        <v>46.47</v>
      </c>
      <c r="BP1857" s="2"/>
      <c r="BQ1857" s="2" t="s">
        <v>1977</v>
      </c>
      <c r="BR1857" s="2" t="s">
        <v>83</v>
      </c>
      <c r="BS1857" s="3">
        <v>42664</v>
      </c>
      <c r="BT1857" s="4">
        <v>0.45833333333333331</v>
      </c>
      <c r="BU1857" s="2" t="s">
        <v>1978</v>
      </c>
      <c r="BV1857" s="2"/>
      <c r="BW1857" s="2"/>
      <c r="BX1857" s="2"/>
      <c r="BY1857" s="2">
        <v>8202.3799999999992</v>
      </c>
      <c r="BZ1857" s="2"/>
      <c r="CA1857" s="2"/>
      <c r="CB1857" s="2"/>
      <c r="CC1857" s="2" t="s">
        <v>144</v>
      </c>
      <c r="CD1857" s="2">
        <v>5201</v>
      </c>
      <c r="CE1857" s="2" t="s">
        <v>108</v>
      </c>
      <c r="CF1857" s="5">
        <v>42668</v>
      </c>
      <c r="CG1857" s="2"/>
      <c r="CH1857" s="2"/>
      <c r="CI1857" s="2">
        <v>0</v>
      </c>
      <c r="CJ1857" s="2">
        <v>0</v>
      </c>
      <c r="CK1857" s="2">
        <v>21</v>
      </c>
      <c r="CL1857" s="2" t="s">
        <v>88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"080001464514"</f>
        <v>080001464514</v>
      </c>
      <c r="F1858" s="3">
        <v>42663</v>
      </c>
      <c r="G1858" s="2">
        <v>201704</v>
      </c>
      <c r="H1858" s="2" t="s">
        <v>119</v>
      </c>
      <c r="I1858" s="2" t="s">
        <v>120</v>
      </c>
      <c r="J1858" s="2" t="s">
        <v>1979</v>
      </c>
      <c r="K1858" s="2" t="s">
        <v>77</v>
      </c>
      <c r="L1858" s="2" t="s">
        <v>74</v>
      </c>
      <c r="M1858" s="2" t="s">
        <v>75</v>
      </c>
      <c r="N1858" s="2" t="s">
        <v>189</v>
      </c>
      <c r="O1858" s="2" t="s">
        <v>96</v>
      </c>
      <c r="P1858" s="2" t="str">
        <f>"ZA1000595450                  "</f>
        <v xml:space="preserve">ZA1000595450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6.63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4</v>
      </c>
      <c r="BJ1858" s="2">
        <v>3.6</v>
      </c>
      <c r="BK1858" s="2">
        <v>4</v>
      </c>
      <c r="BL1858" s="2">
        <v>81.510000000000005</v>
      </c>
      <c r="BM1858" s="2">
        <v>11.41</v>
      </c>
      <c r="BN1858" s="2">
        <v>92.92</v>
      </c>
      <c r="BO1858" s="2">
        <v>92.92</v>
      </c>
      <c r="BP1858" s="2" t="s">
        <v>776</v>
      </c>
      <c r="BQ1858" s="2" t="s">
        <v>381</v>
      </c>
      <c r="BR1858" s="2" t="s">
        <v>1980</v>
      </c>
      <c r="BS1858" s="3">
        <v>42664</v>
      </c>
      <c r="BT1858" s="4">
        <v>0.34166666666666662</v>
      </c>
      <c r="BU1858" s="2" t="s">
        <v>381</v>
      </c>
      <c r="BV1858" s="2" t="s">
        <v>85</v>
      </c>
      <c r="BW1858" s="2"/>
      <c r="BX1858" s="2"/>
      <c r="BY1858" s="2">
        <v>18000</v>
      </c>
      <c r="BZ1858" s="2"/>
      <c r="CA1858" s="2"/>
      <c r="CB1858" s="2"/>
      <c r="CC1858" s="2" t="s">
        <v>75</v>
      </c>
      <c r="CD1858" s="2">
        <v>1601</v>
      </c>
      <c r="CE1858" s="2" t="s">
        <v>86</v>
      </c>
      <c r="CF1858" s="5">
        <v>42667</v>
      </c>
      <c r="CG1858" s="2"/>
      <c r="CH1858" s="2"/>
      <c r="CI1858" s="2">
        <v>1</v>
      </c>
      <c r="CJ1858" s="2">
        <v>1</v>
      </c>
      <c r="CK1858" s="2">
        <v>21</v>
      </c>
      <c r="CL1858" s="2" t="s">
        <v>88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"080001464405"</f>
        <v>080001464405</v>
      </c>
      <c r="F1859" s="3">
        <v>42663</v>
      </c>
      <c r="G1859" s="2">
        <v>201704</v>
      </c>
      <c r="H1859" s="2" t="s">
        <v>1954</v>
      </c>
      <c r="I1859" s="2" t="s">
        <v>1955</v>
      </c>
      <c r="J1859" s="2" t="s">
        <v>1956</v>
      </c>
      <c r="K1859" s="2" t="s">
        <v>77</v>
      </c>
      <c r="L1859" s="2" t="s">
        <v>74</v>
      </c>
      <c r="M1859" s="2" t="s">
        <v>75</v>
      </c>
      <c r="N1859" s="2" t="s">
        <v>189</v>
      </c>
      <c r="O1859" s="2" t="s">
        <v>96</v>
      </c>
      <c r="P1859" s="2" t="str">
        <f>"ZA1000581410                  "</f>
        <v xml:space="preserve">ZA1000581410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6.43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1</v>
      </c>
      <c r="BJ1859" s="2">
        <v>0.2</v>
      </c>
      <c r="BK1859" s="2">
        <v>1</v>
      </c>
      <c r="BL1859" s="2">
        <v>78.97</v>
      </c>
      <c r="BM1859" s="2">
        <v>11.06</v>
      </c>
      <c r="BN1859" s="2">
        <v>90.03</v>
      </c>
      <c r="BO1859" s="2">
        <v>90.03</v>
      </c>
      <c r="BP1859" s="2" t="s">
        <v>1212</v>
      </c>
      <c r="BQ1859" s="2" t="s">
        <v>381</v>
      </c>
      <c r="BR1859" s="2" t="s">
        <v>1981</v>
      </c>
      <c r="BS1859" s="3">
        <v>42664</v>
      </c>
      <c r="BT1859" s="4">
        <v>0.34166666666666662</v>
      </c>
      <c r="BU1859" s="2" t="s">
        <v>381</v>
      </c>
      <c r="BV1859" s="2" t="s">
        <v>85</v>
      </c>
      <c r="BW1859" s="2"/>
      <c r="BX1859" s="2"/>
      <c r="BY1859" s="2">
        <v>1200</v>
      </c>
      <c r="BZ1859" s="2"/>
      <c r="CA1859" s="2"/>
      <c r="CB1859" s="2"/>
      <c r="CC1859" s="2" t="s">
        <v>75</v>
      </c>
      <c r="CD1859" s="2">
        <v>1601</v>
      </c>
      <c r="CE1859" s="2" t="s">
        <v>86</v>
      </c>
      <c r="CF1859" s="5">
        <v>42667</v>
      </c>
      <c r="CG1859" s="2"/>
      <c r="CH1859" s="2"/>
      <c r="CI1859" s="2">
        <v>1</v>
      </c>
      <c r="CJ1859" s="2">
        <v>1</v>
      </c>
      <c r="CK1859" s="2">
        <v>23</v>
      </c>
      <c r="CL1859" s="2" t="s">
        <v>88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"FES1162508349"</f>
        <v>FES1162508349</v>
      </c>
      <c r="F1860" s="3">
        <v>42663</v>
      </c>
      <c r="G1860" s="2">
        <v>201704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1982</v>
      </c>
      <c r="M1860" s="2" t="s">
        <v>1983</v>
      </c>
      <c r="N1860" s="2" t="s">
        <v>1984</v>
      </c>
      <c r="O1860" s="2" t="s">
        <v>96</v>
      </c>
      <c r="P1860" s="2" t="str">
        <f>"2170531503                    "</f>
        <v xml:space="preserve">2170531503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52.87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2</v>
      </c>
      <c r="BI1860" s="2">
        <v>17.8</v>
      </c>
      <c r="BJ1860" s="2">
        <v>7.6</v>
      </c>
      <c r="BK1860" s="2">
        <v>18</v>
      </c>
      <c r="BL1860" s="2">
        <v>649.57000000000005</v>
      </c>
      <c r="BM1860" s="2">
        <v>90.94</v>
      </c>
      <c r="BN1860" s="2">
        <v>740.51</v>
      </c>
      <c r="BO1860" s="2">
        <v>740.51</v>
      </c>
      <c r="BP1860" s="2"/>
      <c r="BQ1860" s="2" t="s">
        <v>1985</v>
      </c>
      <c r="BR1860" s="2" t="s">
        <v>83</v>
      </c>
      <c r="BS1860" s="3">
        <v>42664</v>
      </c>
      <c r="BT1860" s="4">
        <v>0.39583333333333331</v>
      </c>
      <c r="BU1860" s="2" t="s">
        <v>1986</v>
      </c>
      <c r="BV1860" s="2" t="s">
        <v>85</v>
      </c>
      <c r="BW1860" s="2"/>
      <c r="BX1860" s="2"/>
      <c r="BY1860" s="2">
        <v>38009.07</v>
      </c>
      <c r="BZ1860" s="2"/>
      <c r="CA1860" s="2" t="s">
        <v>129</v>
      </c>
      <c r="CB1860" s="2"/>
      <c r="CC1860" s="2" t="s">
        <v>1983</v>
      </c>
      <c r="CD1860" s="2">
        <v>9880</v>
      </c>
      <c r="CE1860" s="2" t="s">
        <v>86</v>
      </c>
      <c r="CF1860" s="5">
        <v>42668</v>
      </c>
      <c r="CG1860" s="2"/>
      <c r="CH1860" s="2"/>
      <c r="CI1860" s="2">
        <v>1</v>
      </c>
      <c r="CJ1860" s="2">
        <v>1</v>
      </c>
      <c r="CK1860" s="2">
        <v>23</v>
      </c>
      <c r="CL1860" s="2" t="s">
        <v>88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"FES1162508284"</f>
        <v>FES1162508284</v>
      </c>
      <c r="F1861" s="3">
        <v>42663</v>
      </c>
      <c r="G1861" s="2">
        <v>201704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143</v>
      </c>
      <c r="M1861" s="2" t="s">
        <v>144</v>
      </c>
      <c r="N1861" s="2" t="s">
        <v>909</v>
      </c>
      <c r="O1861" s="2" t="s">
        <v>96</v>
      </c>
      <c r="P1861" s="2" t="str">
        <f>"2170531582                    "</f>
        <v xml:space="preserve">2170531582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3.32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1</v>
      </c>
      <c r="BJ1861" s="2">
        <v>0.2</v>
      </c>
      <c r="BK1861" s="2">
        <v>1</v>
      </c>
      <c r="BL1861" s="2">
        <v>40.76</v>
      </c>
      <c r="BM1861" s="2">
        <v>5.71</v>
      </c>
      <c r="BN1861" s="2">
        <v>46.47</v>
      </c>
      <c r="BO1861" s="2">
        <v>46.47</v>
      </c>
      <c r="BP1861" s="2"/>
      <c r="BQ1861" s="2" t="s">
        <v>247</v>
      </c>
      <c r="BR1861" s="2" t="s">
        <v>83</v>
      </c>
      <c r="BS1861" s="3">
        <v>42664</v>
      </c>
      <c r="BT1861" s="4">
        <v>0.38541666666666669</v>
      </c>
      <c r="BU1861" s="2" t="s">
        <v>1987</v>
      </c>
      <c r="BV1861" s="2"/>
      <c r="BW1861" s="2"/>
      <c r="BX1861" s="2"/>
      <c r="BY1861" s="2">
        <v>1200</v>
      </c>
      <c r="BZ1861" s="2" t="s">
        <v>27</v>
      </c>
      <c r="CA1861" s="2"/>
      <c r="CB1861" s="2"/>
      <c r="CC1861" s="2" t="s">
        <v>144</v>
      </c>
      <c r="CD1861" s="2">
        <v>5201</v>
      </c>
      <c r="CE1861" s="2" t="s">
        <v>108</v>
      </c>
      <c r="CF1861" s="5">
        <v>42668</v>
      </c>
      <c r="CG1861" s="2"/>
      <c r="CH1861" s="2"/>
      <c r="CI1861" s="2">
        <v>0</v>
      </c>
      <c r="CJ1861" s="2">
        <v>0</v>
      </c>
      <c r="CK1861" s="2">
        <v>21</v>
      </c>
      <c r="CL1861" s="2" t="s">
        <v>88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"FES1162508342"</f>
        <v>FES1162508342</v>
      </c>
      <c r="F1862" s="3">
        <v>42663</v>
      </c>
      <c r="G1862" s="2">
        <v>201704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160</v>
      </c>
      <c r="M1862" s="2" t="s">
        <v>161</v>
      </c>
      <c r="N1862" s="2" t="s">
        <v>179</v>
      </c>
      <c r="O1862" s="2" t="s">
        <v>96</v>
      </c>
      <c r="P1862" s="2" t="str">
        <f>"2170531651                    "</f>
        <v xml:space="preserve">2170531651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5.81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3.2</v>
      </c>
      <c r="BJ1862" s="2">
        <v>1.7</v>
      </c>
      <c r="BK1862" s="2">
        <v>3.5</v>
      </c>
      <c r="BL1862" s="2">
        <v>71.33</v>
      </c>
      <c r="BM1862" s="2">
        <v>9.99</v>
      </c>
      <c r="BN1862" s="2">
        <v>81.319999999999993</v>
      </c>
      <c r="BO1862" s="2">
        <v>81.319999999999993</v>
      </c>
      <c r="BP1862" s="2"/>
      <c r="BQ1862" s="2" t="s">
        <v>180</v>
      </c>
      <c r="BR1862" s="2" t="s">
        <v>83</v>
      </c>
      <c r="BS1862" s="3">
        <v>42664</v>
      </c>
      <c r="BT1862" s="4">
        <v>0.41666666666666669</v>
      </c>
      <c r="BU1862" s="2" t="s">
        <v>1988</v>
      </c>
      <c r="BV1862" s="2" t="s">
        <v>85</v>
      </c>
      <c r="BW1862" s="2"/>
      <c r="BX1862" s="2"/>
      <c r="BY1862" s="2">
        <v>8722.98</v>
      </c>
      <c r="BZ1862" s="2"/>
      <c r="CA1862" s="2"/>
      <c r="CB1862" s="2"/>
      <c r="CC1862" s="2" t="s">
        <v>161</v>
      </c>
      <c r="CD1862" s="2">
        <v>7405</v>
      </c>
      <c r="CE1862" s="2" t="s">
        <v>86</v>
      </c>
      <c r="CF1862" s="5">
        <v>42667</v>
      </c>
      <c r="CG1862" s="2"/>
      <c r="CH1862" s="2"/>
      <c r="CI1862" s="2">
        <v>1</v>
      </c>
      <c r="CJ1862" s="2">
        <v>1</v>
      </c>
      <c r="CK1862" s="2">
        <v>21</v>
      </c>
      <c r="CL1862" s="2" t="s">
        <v>88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"FES1162508129"</f>
        <v>FES1162508129</v>
      </c>
      <c r="F1863" s="3">
        <v>42663</v>
      </c>
      <c r="G1863" s="2">
        <v>201704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160</v>
      </c>
      <c r="M1863" s="2" t="s">
        <v>161</v>
      </c>
      <c r="N1863" s="2" t="s">
        <v>179</v>
      </c>
      <c r="O1863" s="2" t="s">
        <v>96</v>
      </c>
      <c r="P1863" s="2" t="str">
        <f>"2170529290                    "</f>
        <v xml:space="preserve">2170529290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3.32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1</v>
      </c>
      <c r="BJ1863" s="2">
        <v>0.2</v>
      </c>
      <c r="BK1863" s="2">
        <v>1</v>
      </c>
      <c r="BL1863" s="2">
        <v>40.76</v>
      </c>
      <c r="BM1863" s="2">
        <v>5.71</v>
      </c>
      <c r="BN1863" s="2">
        <v>46.47</v>
      </c>
      <c r="BO1863" s="2">
        <v>46.47</v>
      </c>
      <c r="BP1863" s="2"/>
      <c r="BQ1863" s="2" t="s">
        <v>180</v>
      </c>
      <c r="BR1863" s="2" t="s">
        <v>83</v>
      </c>
      <c r="BS1863" s="3">
        <v>42664</v>
      </c>
      <c r="BT1863" s="4">
        <v>0.41666666666666669</v>
      </c>
      <c r="BU1863" s="2" t="s">
        <v>1988</v>
      </c>
      <c r="BV1863" s="2" t="s">
        <v>85</v>
      </c>
      <c r="BW1863" s="2"/>
      <c r="BX1863" s="2"/>
      <c r="BY1863" s="2">
        <v>1200</v>
      </c>
      <c r="BZ1863" s="2" t="s">
        <v>27</v>
      </c>
      <c r="CA1863" s="2"/>
      <c r="CB1863" s="2"/>
      <c r="CC1863" s="2" t="s">
        <v>161</v>
      </c>
      <c r="CD1863" s="2">
        <v>7405</v>
      </c>
      <c r="CE1863" s="2" t="s">
        <v>108</v>
      </c>
      <c r="CF1863" s="5">
        <v>42667</v>
      </c>
      <c r="CG1863" s="2"/>
      <c r="CH1863" s="2"/>
      <c r="CI1863" s="2">
        <v>1</v>
      </c>
      <c r="CJ1863" s="2">
        <v>1</v>
      </c>
      <c r="CK1863" s="2">
        <v>21</v>
      </c>
      <c r="CL1863" s="2" t="s">
        <v>88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"FES1162508242"</f>
        <v>FES1162508242</v>
      </c>
      <c r="F1864" s="3">
        <v>42663</v>
      </c>
      <c r="G1864" s="2">
        <v>201704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260</v>
      </c>
      <c r="M1864" s="2" t="s">
        <v>261</v>
      </c>
      <c r="N1864" s="2" t="s">
        <v>282</v>
      </c>
      <c r="O1864" s="2" t="s">
        <v>96</v>
      </c>
      <c r="P1864" s="2" t="str">
        <f>"2170531284                    "</f>
        <v xml:space="preserve">2170531284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3.32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1</v>
      </c>
      <c r="BJ1864" s="2">
        <v>0.2</v>
      </c>
      <c r="BK1864" s="2">
        <v>1</v>
      </c>
      <c r="BL1864" s="2">
        <v>40.76</v>
      </c>
      <c r="BM1864" s="2">
        <v>5.71</v>
      </c>
      <c r="BN1864" s="2">
        <v>46.47</v>
      </c>
      <c r="BO1864" s="2">
        <v>46.47</v>
      </c>
      <c r="BP1864" s="2"/>
      <c r="BQ1864" s="2" t="s">
        <v>91</v>
      </c>
      <c r="BR1864" s="2" t="s">
        <v>83</v>
      </c>
      <c r="BS1864" s="3">
        <v>42664</v>
      </c>
      <c r="BT1864" s="4">
        <v>0.60277777777777775</v>
      </c>
      <c r="BU1864" s="2" t="s">
        <v>1989</v>
      </c>
      <c r="BV1864" s="2" t="s">
        <v>85</v>
      </c>
      <c r="BW1864" s="2"/>
      <c r="BX1864" s="2"/>
      <c r="BY1864" s="2">
        <v>1200</v>
      </c>
      <c r="BZ1864" s="2" t="s">
        <v>27</v>
      </c>
      <c r="CA1864" s="2" t="s">
        <v>264</v>
      </c>
      <c r="CB1864" s="2"/>
      <c r="CC1864" s="2" t="s">
        <v>261</v>
      </c>
      <c r="CD1864" s="2">
        <v>6850</v>
      </c>
      <c r="CE1864" s="2" t="s">
        <v>108</v>
      </c>
      <c r="CF1864" s="5">
        <v>42664</v>
      </c>
      <c r="CG1864" s="2"/>
      <c r="CH1864" s="2"/>
      <c r="CI1864" s="2">
        <v>3</v>
      </c>
      <c r="CJ1864" s="2">
        <v>1</v>
      </c>
      <c r="CK1864" s="2">
        <v>21</v>
      </c>
      <c r="CL1864" s="2" t="s">
        <v>88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"FES1162508333"</f>
        <v>FES1162508333</v>
      </c>
      <c r="F1865" s="3">
        <v>42663</v>
      </c>
      <c r="G1865" s="2">
        <v>201704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160</v>
      </c>
      <c r="M1865" s="2" t="s">
        <v>161</v>
      </c>
      <c r="N1865" s="2" t="s">
        <v>176</v>
      </c>
      <c r="O1865" s="2" t="s">
        <v>96</v>
      </c>
      <c r="P1865" s="2" t="str">
        <f>"2170531643                    "</f>
        <v xml:space="preserve">2170531643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3.32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1</v>
      </c>
      <c r="BJ1865" s="2">
        <v>0.2</v>
      </c>
      <c r="BK1865" s="2">
        <v>1</v>
      </c>
      <c r="BL1865" s="2">
        <v>40.76</v>
      </c>
      <c r="BM1865" s="2">
        <v>5.71</v>
      </c>
      <c r="BN1865" s="2">
        <v>46.47</v>
      </c>
      <c r="BO1865" s="2">
        <v>46.47</v>
      </c>
      <c r="BP1865" s="2"/>
      <c r="BQ1865" s="2" t="s">
        <v>177</v>
      </c>
      <c r="BR1865" s="2" t="s">
        <v>83</v>
      </c>
      <c r="BS1865" s="3">
        <v>42664</v>
      </c>
      <c r="BT1865" s="4">
        <v>0.40277777777777773</v>
      </c>
      <c r="BU1865" s="2" t="s">
        <v>1990</v>
      </c>
      <c r="BV1865" s="2" t="s">
        <v>85</v>
      </c>
      <c r="BW1865" s="2"/>
      <c r="BX1865" s="2"/>
      <c r="BY1865" s="2">
        <v>1200</v>
      </c>
      <c r="BZ1865" s="2"/>
      <c r="CA1865" s="2"/>
      <c r="CB1865" s="2"/>
      <c r="CC1865" s="2" t="s">
        <v>161</v>
      </c>
      <c r="CD1865" s="2">
        <v>7530</v>
      </c>
      <c r="CE1865" s="2" t="s">
        <v>108</v>
      </c>
      <c r="CF1865" s="5">
        <v>42667</v>
      </c>
      <c r="CG1865" s="2"/>
      <c r="CH1865" s="2"/>
      <c r="CI1865" s="2">
        <v>1</v>
      </c>
      <c r="CJ1865" s="2">
        <v>1</v>
      </c>
      <c r="CK1865" s="2">
        <v>21</v>
      </c>
      <c r="CL1865" s="2" t="s">
        <v>88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"FES1162508112"</f>
        <v>FES1162508112</v>
      </c>
      <c r="F1866" s="3">
        <v>42663</v>
      </c>
      <c r="G1866" s="2">
        <v>201704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153</v>
      </c>
      <c r="M1866" s="2" t="s">
        <v>153</v>
      </c>
      <c r="N1866" s="2" t="s">
        <v>200</v>
      </c>
      <c r="O1866" s="2" t="s">
        <v>96</v>
      </c>
      <c r="P1866" s="2" t="str">
        <f>"2170529030                    "</f>
        <v xml:space="preserve">2170529030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3.32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</v>
      </c>
      <c r="BJ1866" s="2">
        <v>0.2</v>
      </c>
      <c r="BK1866" s="2">
        <v>1</v>
      </c>
      <c r="BL1866" s="2">
        <v>40.76</v>
      </c>
      <c r="BM1866" s="2">
        <v>5.71</v>
      </c>
      <c r="BN1866" s="2">
        <v>46.47</v>
      </c>
      <c r="BO1866" s="2">
        <v>46.47</v>
      </c>
      <c r="BP1866" s="2"/>
      <c r="BQ1866" s="2" t="s">
        <v>201</v>
      </c>
      <c r="BR1866" s="2" t="s">
        <v>83</v>
      </c>
      <c r="BS1866" s="3">
        <v>42664</v>
      </c>
      <c r="BT1866" s="4">
        <v>0.5493055555555556</v>
      </c>
      <c r="BU1866" s="2" t="s">
        <v>448</v>
      </c>
      <c r="BV1866" s="2" t="s">
        <v>85</v>
      </c>
      <c r="BW1866" s="2"/>
      <c r="BX1866" s="2"/>
      <c r="BY1866" s="2">
        <v>1200</v>
      </c>
      <c r="BZ1866" s="2" t="s">
        <v>27</v>
      </c>
      <c r="CA1866" s="2"/>
      <c r="CB1866" s="2"/>
      <c r="CC1866" s="2" t="s">
        <v>153</v>
      </c>
      <c r="CD1866" s="2">
        <v>7646</v>
      </c>
      <c r="CE1866" s="2" t="s">
        <v>108</v>
      </c>
      <c r="CF1866" s="5">
        <v>42667</v>
      </c>
      <c r="CG1866" s="2"/>
      <c r="CH1866" s="2"/>
      <c r="CI1866" s="2">
        <v>1</v>
      </c>
      <c r="CJ1866" s="2">
        <v>1</v>
      </c>
      <c r="CK1866" s="2">
        <v>21</v>
      </c>
      <c r="CL1866" s="2" t="s">
        <v>88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"FES1162508369"</f>
        <v>FES1162508369</v>
      </c>
      <c r="F1867" s="3">
        <v>42663</v>
      </c>
      <c r="G1867" s="2">
        <v>201704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98</v>
      </c>
      <c r="M1867" s="2" t="s">
        <v>99</v>
      </c>
      <c r="N1867" s="2" t="s">
        <v>894</v>
      </c>
      <c r="O1867" s="2" t="s">
        <v>96</v>
      </c>
      <c r="P1867" s="2" t="str">
        <f>"2170531668                    "</f>
        <v xml:space="preserve">2170531668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6.63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0.2</v>
      </c>
      <c r="BJ1867" s="2">
        <v>4</v>
      </c>
      <c r="BK1867" s="2">
        <v>4</v>
      </c>
      <c r="BL1867" s="2">
        <v>81.510000000000005</v>
      </c>
      <c r="BM1867" s="2">
        <v>11.41</v>
      </c>
      <c r="BN1867" s="2">
        <v>92.92</v>
      </c>
      <c r="BO1867" s="2">
        <v>92.92</v>
      </c>
      <c r="BP1867" s="2"/>
      <c r="BQ1867" s="2" t="s">
        <v>895</v>
      </c>
      <c r="BR1867" s="2" t="s">
        <v>83</v>
      </c>
      <c r="BS1867" s="3">
        <v>42664</v>
      </c>
      <c r="BT1867" s="4">
        <v>0.30972222222222223</v>
      </c>
      <c r="BU1867" s="2" t="s">
        <v>1991</v>
      </c>
      <c r="BV1867" s="2" t="s">
        <v>85</v>
      </c>
      <c r="BW1867" s="2"/>
      <c r="BX1867" s="2"/>
      <c r="BY1867" s="2">
        <v>19959.66</v>
      </c>
      <c r="BZ1867" s="2"/>
      <c r="CA1867" s="2" t="s">
        <v>107</v>
      </c>
      <c r="CB1867" s="2"/>
      <c r="CC1867" s="2" t="s">
        <v>99</v>
      </c>
      <c r="CD1867" s="2">
        <v>6012</v>
      </c>
      <c r="CE1867" s="2" t="s">
        <v>108</v>
      </c>
      <c r="CF1867" s="5">
        <v>42664</v>
      </c>
      <c r="CG1867" s="2"/>
      <c r="CH1867" s="2"/>
      <c r="CI1867" s="2">
        <v>1</v>
      </c>
      <c r="CJ1867" s="2">
        <v>1</v>
      </c>
      <c r="CK1867" s="2">
        <v>21</v>
      </c>
      <c r="CL1867" s="2" t="s">
        <v>88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"FES1162508156"</f>
        <v>FES1162508156</v>
      </c>
      <c r="F1868" s="3">
        <v>42663</v>
      </c>
      <c r="G1868" s="2">
        <v>201704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148</v>
      </c>
      <c r="M1868" s="2" t="s">
        <v>149</v>
      </c>
      <c r="N1868" s="2" t="s">
        <v>1992</v>
      </c>
      <c r="O1868" s="2" t="s">
        <v>96</v>
      </c>
      <c r="P1868" s="2" t="str">
        <f>"2170531443                    "</f>
        <v xml:space="preserve">2170531443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3.32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</v>
      </c>
      <c r="BJ1868" s="2">
        <v>0.2</v>
      </c>
      <c r="BK1868" s="2">
        <v>1</v>
      </c>
      <c r="BL1868" s="2">
        <v>40.76</v>
      </c>
      <c r="BM1868" s="2">
        <v>5.71</v>
      </c>
      <c r="BN1868" s="2">
        <v>46.47</v>
      </c>
      <c r="BO1868" s="2">
        <v>46.47</v>
      </c>
      <c r="BP1868" s="2"/>
      <c r="BQ1868" s="2" t="s">
        <v>1993</v>
      </c>
      <c r="BR1868" s="2" t="s">
        <v>83</v>
      </c>
      <c r="BS1868" s="3">
        <v>42664</v>
      </c>
      <c r="BT1868" s="4">
        <v>0.4375</v>
      </c>
      <c r="BU1868" s="2" t="s">
        <v>1994</v>
      </c>
      <c r="BV1868" s="2"/>
      <c r="BW1868" s="2"/>
      <c r="BX1868" s="2"/>
      <c r="BY1868" s="2">
        <v>1200</v>
      </c>
      <c r="BZ1868" s="2" t="s">
        <v>27</v>
      </c>
      <c r="CA1868" s="2"/>
      <c r="CB1868" s="2"/>
      <c r="CC1868" s="2" t="s">
        <v>149</v>
      </c>
      <c r="CD1868" s="2">
        <v>4001</v>
      </c>
      <c r="CE1868" s="2" t="s">
        <v>108</v>
      </c>
      <c r="CF1868" s="5">
        <v>42667</v>
      </c>
      <c r="CG1868" s="2"/>
      <c r="CH1868" s="2"/>
      <c r="CI1868" s="2">
        <v>0</v>
      </c>
      <c r="CJ1868" s="2">
        <v>0</v>
      </c>
      <c r="CK1868" s="2">
        <v>21</v>
      </c>
      <c r="CL1868" s="2" t="s">
        <v>88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"FES1162508344"</f>
        <v>FES1162508344</v>
      </c>
      <c r="F1869" s="3">
        <v>42663</v>
      </c>
      <c r="G1869" s="2">
        <v>201704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160</v>
      </c>
      <c r="M1869" s="2" t="s">
        <v>161</v>
      </c>
      <c r="N1869" s="2" t="s">
        <v>1995</v>
      </c>
      <c r="O1869" s="2" t="s">
        <v>96</v>
      </c>
      <c r="P1869" s="2" t="str">
        <f>"2170531662                    "</f>
        <v xml:space="preserve">2170531662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4.9800000000000004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2.9</v>
      </c>
      <c r="BJ1869" s="2">
        <v>1</v>
      </c>
      <c r="BK1869" s="2">
        <v>3</v>
      </c>
      <c r="BL1869" s="2">
        <v>61.14</v>
      </c>
      <c r="BM1869" s="2">
        <v>8.56</v>
      </c>
      <c r="BN1869" s="2">
        <v>69.7</v>
      </c>
      <c r="BO1869" s="2">
        <v>69.7</v>
      </c>
      <c r="BP1869" s="2"/>
      <c r="BQ1869" s="2" t="s">
        <v>1996</v>
      </c>
      <c r="BR1869" s="2" t="s">
        <v>83</v>
      </c>
      <c r="BS1869" s="3">
        <v>42664</v>
      </c>
      <c r="BT1869" s="4">
        <v>0.41666666666666669</v>
      </c>
      <c r="BU1869" s="2" t="s">
        <v>701</v>
      </c>
      <c r="BV1869" s="2" t="s">
        <v>85</v>
      </c>
      <c r="BW1869" s="2"/>
      <c r="BX1869" s="2"/>
      <c r="BY1869" s="2">
        <v>5132.26</v>
      </c>
      <c r="BZ1869" s="2"/>
      <c r="CA1869" s="2"/>
      <c r="CB1869" s="2"/>
      <c r="CC1869" s="2" t="s">
        <v>161</v>
      </c>
      <c r="CD1869" s="2">
        <v>7460</v>
      </c>
      <c r="CE1869" s="2" t="s">
        <v>86</v>
      </c>
      <c r="CF1869" s="5">
        <v>42667</v>
      </c>
      <c r="CG1869" s="2"/>
      <c r="CH1869" s="2"/>
      <c r="CI1869" s="2">
        <v>1</v>
      </c>
      <c r="CJ1869" s="2">
        <v>1</v>
      </c>
      <c r="CK1869" s="2">
        <v>21</v>
      </c>
      <c r="CL1869" s="2" t="s">
        <v>88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"FES1162508113"</f>
        <v>FES1162508113</v>
      </c>
      <c r="F1870" s="3">
        <v>42663</v>
      </c>
      <c r="G1870" s="2">
        <v>201704</v>
      </c>
      <c r="H1870" s="2" t="s">
        <v>74</v>
      </c>
      <c r="I1870" s="2" t="s">
        <v>75</v>
      </c>
      <c r="J1870" s="2" t="s">
        <v>76</v>
      </c>
      <c r="K1870" s="2" t="s">
        <v>77</v>
      </c>
      <c r="L1870" s="2" t="s">
        <v>148</v>
      </c>
      <c r="M1870" s="2" t="s">
        <v>149</v>
      </c>
      <c r="N1870" s="2" t="s">
        <v>890</v>
      </c>
      <c r="O1870" s="2" t="s">
        <v>96</v>
      </c>
      <c r="P1870" s="2" t="str">
        <f>"2170529100                    "</f>
        <v xml:space="preserve">2170529100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3.32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40.76</v>
      </c>
      <c r="BM1870" s="2">
        <v>5.71</v>
      </c>
      <c r="BN1870" s="2">
        <v>46.47</v>
      </c>
      <c r="BO1870" s="2">
        <v>46.47</v>
      </c>
      <c r="BP1870" s="2"/>
      <c r="BQ1870" s="2" t="s">
        <v>117</v>
      </c>
      <c r="BR1870" s="2" t="s">
        <v>83</v>
      </c>
      <c r="BS1870" s="3">
        <v>42664</v>
      </c>
      <c r="BT1870" s="4">
        <v>0.36458333333333331</v>
      </c>
      <c r="BU1870" s="2" t="s">
        <v>1997</v>
      </c>
      <c r="BV1870" s="2" t="s">
        <v>85</v>
      </c>
      <c r="BW1870" s="2"/>
      <c r="BX1870" s="2"/>
      <c r="BY1870" s="2">
        <v>1200</v>
      </c>
      <c r="BZ1870" s="2" t="s">
        <v>27</v>
      </c>
      <c r="CA1870" s="2"/>
      <c r="CB1870" s="2"/>
      <c r="CC1870" s="2" t="s">
        <v>149</v>
      </c>
      <c r="CD1870" s="2">
        <v>4052</v>
      </c>
      <c r="CE1870" s="2" t="s">
        <v>108</v>
      </c>
      <c r="CF1870" s="5">
        <v>42667</v>
      </c>
      <c r="CG1870" s="2"/>
      <c r="CH1870" s="2"/>
      <c r="CI1870" s="2">
        <v>1</v>
      </c>
      <c r="CJ1870" s="2">
        <v>1</v>
      </c>
      <c r="CK1870" s="2">
        <v>21</v>
      </c>
      <c r="CL1870" s="2" t="s">
        <v>88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"FES1162508326"</f>
        <v>FES1162508326</v>
      </c>
      <c r="F1871" s="3">
        <v>42663</v>
      </c>
      <c r="G1871" s="2">
        <v>201704</v>
      </c>
      <c r="H1871" s="2" t="s">
        <v>74</v>
      </c>
      <c r="I1871" s="2" t="s">
        <v>75</v>
      </c>
      <c r="J1871" s="2" t="s">
        <v>76</v>
      </c>
      <c r="K1871" s="2" t="s">
        <v>77</v>
      </c>
      <c r="L1871" s="2" t="s">
        <v>153</v>
      </c>
      <c r="M1871" s="2" t="s">
        <v>153</v>
      </c>
      <c r="N1871" s="2" t="s">
        <v>343</v>
      </c>
      <c r="O1871" s="2" t="s">
        <v>96</v>
      </c>
      <c r="P1871" s="2" t="str">
        <f>"2170531625                    "</f>
        <v xml:space="preserve">2170531625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29.85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8.1</v>
      </c>
      <c r="BJ1871" s="2">
        <v>18</v>
      </c>
      <c r="BK1871" s="2">
        <v>18</v>
      </c>
      <c r="BL1871" s="2">
        <v>366.81</v>
      </c>
      <c r="BM1871" s="2">
        <v>51.35</v>
      </c>
      <c r="BN1871" s="2">
        <v>418.16</v>
      </c>
      <c r="BO1871" s="2">
        <v>418.16</v>
      </c>
      <c r="BP1871" s="2"/>
      <c r="BQ1871" s="2" t="s">
        <v>344</v>
      </c>
      <c r="BR1871" s="2" t="s">
        <v>83</v>
      </c>
      <c r="BS1871" s="3">
        <v>42664</v>
      </c>
      <c r="BT1871" s="4">
        <v>0.54166666666666663</v>
      </c>
      <c r="BU1871" s="2" t="s">
        <v>345</v>
      </c>
      <c r="BV1871" s="2" t="s">
        <v>85</v>
      </c>
      <c r="BW1871" s="2"/>
      <c r="BX1871" s="2"/>
      <c r="BY1871" s="2">
        <v>89883.42</v>
      </c>
      <c r="BZ1871" s="2"/>
      <c r="CA1871" s="2"/>
      <c r="CB1871" s="2"/>
      <c r="CC1871" s="2" t="s">
        <v>153</v>
      </c>
      <c r="CD1871" s="2">
        <v>7646</v>
      </c>
      <c r="CE1871" s="2" t="s">
        <v>86</v>
      </c>
      <c r="CF1871" s="5">
        <v>42667</v>
      </c>
      <c r="CG1871" s="2"/>
      <c r="CH1871" s="2"/>
      <c r="CI1871" s="2">
        <v>1</v>
      </c>
      <c r="CJ1871" s="2">
        <v>1</v>
      </c>
      <c r="CK1871" s="2">
        <v>21</v>
      </c>
      <c r="CL1871" s="2" t="s">
        <v>88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"FES1162508201"</f>
        <v>FES1162508201</v>
      </c>
      <c r="F1872" s="3">
        <v>42663</v>
      </c>
      <c r="G1872" s="2">
        <v>201704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98</v>
      </c>
      <c r="M1872" s="2" t="s">
        <v>99</v>
      </c>
      <c r="N1872" s="2" t="s">
        <v>109</v>
      </c>
      <c r="O1872" s="2" t="s">
        <v>96</v>
      </c>
      <c r="P1872" s="2" t="str">
        <f>"2170530916                    "</f>
        <v xml:space="preserve">2170530916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3.32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1</v>
      </c>
      <c r="BJ1872" s="2">
        <v>0.2</v>
      </c>
      <c r="BK1872" s="2">
        <v>1</v>
      </c>
      <c r="BL1872" s="2">
        <v>40.76</v>
      </c>
      <c r="BM1872" s="2">
        <v>5.71</v>
      </c>
      <c r="BN1872" s="2">
        <v>46.47</v>
      </c>
      <c r="BO1872" s="2">
        <v>46.47</v>
      </c>
      <c r="BP1872" s="2"/>
      <c r="BQ1872" s="2" t="s">
        <v>110</v>
      </c>
      <c r="BR1872" s="2" t="s">
        <v>83</v>
      </c>
      <c r="BS1872" s="3">
        <v>42664</v>
      </c>
      <c r="BT1872" s="4">
        <v>0.3611111111111111</v>
      </c>
      <c r="BU1872" s="2" t="s">
        <v>1998</v>
      </c>
      <c r="BV1872" s="2" t="s">
        <v>85</v>
      </c>
      <c r="BW1872" s="2"/>
      <c r="BX1872" s="2"/>
      <c r="BY1872" s="2">
        <v>1200</v>
      </c>
      <c r="BZ1872" s="2" t="s">
        <v>27</v>
      </c>
      <c r="CA1872" s="2" t="s">
        <v>129</v>
      </c>
      <c r="CB1872" s="2"/>
      <c r="CC1872" s="2" t="s">
        <v>99</v>
      </c>
      <c r="CD1872" s="2">
        <v>6001</v>
      </c>
      <c r="CE1872" s="2" t="s">
        <v>108</v>
      </c>
      <c r="CF1872" s="5">
        <v>42667</v>
      </c>
      <c r="CG1872" s="2"/>
      <c r="CH1872" s="2"/>
      <c r="CI1872" s="2">
        <v>1</v>
      </c>
      <c r="CJ1872" s="2">
        <v>1</v>
      </c>
      <c r="CK1872" s="2">
        <v>21</v>
      </c>
      <c r="CL1872" s="2" t="s">
        <v>88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"FES1162508300"</f>
        <v>FES1162508300</v>
      </c>
      <c r="F1873" s="3">
        <v>42663</v>
      </c>
      <c r="G1873" s="2">
        <v>201704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1122</v>
      </c>
      <c r="M1873" s="2" t="s">
        <v>1123</v>
      </c>
      <c r="N1873" s="2" t="s">
        <v>422</v>
      </c>
      <c r="O1873" s="2" t="s">
        <v>96</v>
      </c>
      <c r="P1873" s="2" t="str">
        <f>"2170531599                    "</f>
        <v xml:space="preserve">2170531599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4.1500000000000004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1.5</v>
      </c>
      <c r="BJ1873" s="2">
        <v>2.1</v>
      </c>
      <c r="BK1873" s="2">
        <v>2.5</v>
      </c>
      <c r="BL1873" s="2">
        <v>50.95</v>
      </c>
      <c r="BM1873" s="2">
        <v>7.13</v>
      </c>
      <c r="BN1873" s="2">
        <v>58.08</v>
      </c>
      <c r="BO1873" s="2">
        <v>58.08</v>
      </c>
      <c r="BP1873" s="2"/>
      <c r="BQ1873" s="2" t="s">
        <v>91</v>
      </c>
      <c r="BR1873" s="2" t="s">
        <v>83</v>
      </c>
      <c r="BS1873" s="3">
        <v>42664</v>
      </c>
      <c r="BT1873" s="4">
        <v>0.41666666666666669</v>
      </c>
      <c r="BU1873" s="2" t="s">
        <v>1999</v>
      </c>
      <c r="BV1873" s="2" t="s">
        <v>85</v>
      </c>
      <c r="BW1873" s="2"/>
      <c r="BX1873" s="2"/>
      <c r="BY1873" s="2">
        <v>10655.08</v>
      </c>
      <c r="BZ1873" s="2"/>
      <c r="CA1873" s="2"/>
      <c r="CB1873" s="2"/>
      <c r="CC1873" s="2" t="s">
        <v>1123</v>
      </c>
      <c r="CD1873" s="2">
        <v>1911</v>
      </c>
      <c r="CE1873" s="2" t="s">
        <v>108</v>
      </c>
      <c r="CF1873" s="5">
        <v>42668</v>
      </c>
      <c r="CG1873" s="2"/>
      <c r="CH1873" s="2"/>
      <c r="CI1873" s="2">
        <v>1</v>
      </c>
      <c r="CJ1873" s="2">
        <v>1</v>
      </c>
      <c r="CK1873" s="2">
        <v>21</v>
      </c>
      <c r="CL1873" s="2" t="s">
        <v>88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"FES1162508114"</f>
        <v>FES1162508114</v>
      </c>
      <c r="F1874" s="3">
        <v>42663</v>
      </c>
      <c r="G1874" s="2">
        <v>201704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160</v>
      </c>
      <c r="M1874" s="2" t="s">
        <v>161</v>
      </c>
      <c r="N1874" s="2" t="s">
        <v>179</v>
      </c>
      <c r="O1874" s="2" t="s">
        <v>96</v>
      </c>
      <c r="P1874" s="2" t="str">
        <f>"2170529102                    "</f>
        <v xml:space="preserve">2170529102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5.81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3.2</v>
      </c>
      <c r="BJ1874" s="2">
        <v>3.4</v>
      </c>
      <c r="BK1874" s="2">
        <v>3.5</v>
      </c>
      <c r="BL1874" s="2">
        <v>71.33</v>
      </c>
      <c r="BM1874" s="2">
        <v>9.99</v>
      </c>
      <c r="BN1874" s="2">
        <v>81.319999999999993</v>
      </c>
      <c r="BO1874" s="2">
        <v>81.319999999999993</v>
      </c>
      <c r="BP1874" s="2"/>
      <c r="BQ1874" s="2" t="s">
        <v>180</v>
      </c>
      <c r="BR1874" s="2" t="s">
        <v>83</v>
      </c>
      <c r="BS1874" s="3">
        <v>42664</v>
      </c>
      <c r="BT1874" s="4">
        <v>0.41666666666666669</v>
      </c>
      <c r="BU1874" s="2" t="s">
        <v>1988</v>
      </c>
      <c r="BV1874" s="2" t="s">
        <v>85</v>
      </c>
      <c r="BW1874" s="2"/>
      <c r="BX1874" s="2"/>
      <c r="BY1874" s="2">
        <v>16824.64</v>
      </c>
      <c r="BZ1874" s="2" t="s">
        <v>27</v>
      </c>
      <c r="CA1874" s="2"/>
      <c r="CB1874" s="2"/>
      <c r="CC1874" s="2" t="s">
        <v>161</v>
      </c>
      <c r="CD1874" s="2">
        <v>7405</v>
      </c>
      <c r="CE1874" s="2" t="s">
        <v>86</v>
      </c>
      <c r="CF1874" s="5">
        <v>42667</v>
      </c>
      <c r="CG1874" s="2"/>
      <c r="CH1874" s="2"/>
      <c r="CI1874" s="2">
        <v>1</v>
      </c>
      <c r="CJ1874" s="2">
        <v>1</v>
      </c>
      <c r="CK1874" s="2">
        <v>21</v>
      </c>
      <c r="CL1874" s="2" t="s">
        <v>88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"FES1162508334"</f>
        <v>FES1162508334</v>
      </c>
      <c r="F1875" s="3">
        <v>42663</v>
      </c>
      <c r="G1875" s="2">
        <v>201704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160</v>
      </c>
      <c r="M1875" s="2" t="s">
        <v>161</v>
      </c>
      <c r="N1875" s="2" t="s">
        <v>176</v>
      </c>
      <c r="O1875" s="2" t="s">
        <v>96</v>
      </c>
      <c r="P1875" s="2" t="str">
        <f>"2170531644                    "</f>
        <v xml:space="preserve">2170531644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3.32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0.5</v>
      </c>
      <c r="BJ1875" s="2">
        <v>0.2</v>
      </c>
      <c r="BK1875" s="2">
        <v>0.5</v>
      </c>
      <c r="BL1875" s="2">
        <v>40.76</v>
      </c>
      <c r="BM1875" s="2">
        <v>5.71</v>
      </c>
      <c r="BN1875" s="2">
        <v>46.47</v>
      </c>
      <c r="BO1875" s="2">
        <v>46.47</v>
      </c>
      <c r="BP1875" s="2"/>
      <c r="BQ1875" s="2" t="s">
        <v>177</v>
      </c>
      <c r="BR1875" s="2" t="s">
        <v>83</v>
      </c>
      <c r="BS1875" s="3">
        <v>42664</v>
      </c>
      <c r="BT1875" s="4">
        <v>0.40277777777777773</v>
      </c>
      <c r="BU1875" s="2" t="s">
        <v>1990</v>
      </c>
      <c r="BV1875" s="2" t="s">
        <v>85</v>
      </c>
      <c r="BW1875" s="2"/>
      <c r="BX1875" s="2"/>
      <c r="BY1875" s="2">
        <v>1200</v>
      </c>
      <c r="BZ1875" s="2"/>
      <c r="CA1875" s="2"/>
      <c r="CB1875" s="2"/>
      <c r="CC1875" s="2" t="s">
        <v>161</v>
      </c>
      <c r="CD1875" s="2">
        <v>7530</v>
      </c>
      <c r="CE1875" s="2" t="s">
        <v>108</v>
      </c>
      <c r="CF1875" s="5">
        <v>42667</v>
      </c>
      <c r="CG1875" s="2"/>
      <c r="CH1875" s="2"/>
      <c r="CI1875" s="2">
        <v>1</v>
      </c>
      <c r="CJ1875" s="2">
        <v>1</v>
      </c>
      <c r="CK1875" s="2">
        <v>21</v>
      </c>
      <c r="CL1875" s="2" t="s">
        <v>88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"FES1162508111"</f>
        <v>FES1162508111</v>
      </c>
      <c r="F1876" s="3">
        <v>42663</v>
      </c>
      <c r="G1876" s="2">
        <v>201704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93</v>
      </c>
      <c r="M1876" s="2" t="s">
        <v>94</v>
      </c>
      <c r="N1876" s="2" t="s">
        <v>536</v>
      </c>
      <c r="O1876" s="2" t="s">
        <v>96</v>
      </c>
      <c r="P1876" s="2" t="str">
        <f>"2170529008                    "</f>
        <v xml:space="preserve">2170529008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3.32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0.9</v>
      </c>
      <c r="BJ1876" s="2">
        <v>1</v>
      </c>
      <c r="BK1876" s="2">
        <v>1</v>
      </c>
      <c r="BL1876" s="2">
        <v>40.76</v>
      </c>
      <c r="BM1876" s="2">
        <v>5.71</v>
      </c>
      <c r="BN1876" s="2">
        <v>46.47</v>
      </c>
      <c r="BO1876" s="2">
        <v>46.47</v>
      </c>
      <c r="BP1876" s="2"/>
      <c r="BQ1876" s="2" t="s">
        <v>537</v>
      </c>
      <c r="BR1876" s="2" t="s">
        <v>83</v>
      </c>
      <c r="BS1876" s="3">
        <v>42664</v>
      </c>
      <c r="BT1876" s="4">
        <v>0.4375</v>
      </c>
      <c r="BU1876" s="2" t="s">
        <v>538</v>
      </c>
      <c r="BV1876" s="2" t="s">
        <v>85</v>
      </c>
      <c r="BW1876" s="2"/>
      <c r="BX1876" s="2"/>
      <c r="BY1876" s="2">
        <v>5012.8999999999996</v>
      </c>
      <c r="BZ1876" s="2" t="s">
        <v>27</v>
      </c>
      <c r="CA1876" s="2"/>
      <c r="CB1876" s="2"/>
      <c r="CC1876" s="2" t="s">
        <v>94</v>
      </c>
      <c r="CD1876" s="2">
        <v>4300</v>
      </c>
      <c r="CE1876" s="2" t="s">
        <v>86</v>
      </c>
      <c r="CF1876" s="5">
        <v>42667</v>
      </c>
      <c r="CG1876" s="2"/>
      <c r="CH1876" s="2"/>
      <c r="CI1876" s="2">
        <v>1</v>
      </c>
      <c r="CJ1876" s="2">
        <v>1</v>
      </c>
      <c r="CK1876" s="2">
        <v>21</v>
      </c>
      <c r="CL1876" s="2" t="s">
        <v>88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"FES1162508332"</f>
        <v>FES1162508332</v>
      </c>
      <c r="F1877" s="3">
        <v>42663</v>
      </c>
      <c r="G1877" s="2">
        <v>201704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377</v>
      </c>
      <c r="M1877" s="2" t="s">
        <v>378</v>
      </c>
      <c r="N1877" s="2" t="s">
        <v>379</v>
      </c>
      <c r="O1877" s="2" t="s">
        <v>96</v>
      </c>
      <c r="P1877" s="2" t="str">
        <f>"2170531642                    "</f>
        <v xml:space="preserve">2170531642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7.46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4.0999999999999996</v>
      </c>
      <c r="BJ1877" s="2">
        <v>1.7</v>
      </c>
      <c r="BK1877" s="2">
        <v>4.5</v>
      </c>
      <c r="BL1877" s="2">
        <v>91.7</v>
      </c>
      <c r="BM1877" s="2">
        <v>12.84</v>
      </c>
      <c r="BN1877" s="2">
        <v>104.54</v>
      </c>
      <c r="BO1877" s="2">
        <v>104.54</v>
      </c>
      <c r="BP1877" s="2"/>
      <c r="BQ1877" s="2" t="s">
        <v>382</v>
      </c>
      <c r="BR1877" s="2" t="s">
        <v>83</v>
      </c>
      <c r="BS1877" s="3">
        <v>42664</v>
      </c>
      <c r="BT1877" s="4">
        <v>0.3923611111111111</v>
      </c>
      <c r="BU1877" s="2" t="s">
        <v>977</v>
      </c>
      <c r="BV1877" s="2" t="s">
        <v>85</v>
      </c>
      <c r="BW1877" s="2"/>
      <c r="BX1877" s="2"/>
      <c r="BY1877" s="2">
        <v>8667</v>
      </c>
      <c r="BZ1877" s="2"/>
      <c r="CA1877" s="2"/>
      <c r="CB1877" s="2"/>
      <c r="CC1877" s="2" t="s">
        <v>378</v>
      </c>
      <c r="CD1877" s="2">
        <v>6536</v>
      </c>
      <c r="CE1877" s="2" t="s">
        <v>86</v>
      </c>
      <c r="CF1877" s="5">
        <v>42667</v>
      </c>
      <c r="CG1877" s="2"/>
      <c r="CH1877" s="2"/>
      <c r="CI1877" s="2">
        <v>1</v>
      </c>
      <c r="CJ1877" s="2">
        <v>1</v>
      </c>
      <c r="CK1877" s="2">
        <v>21</v>
      </c>
      <c r="CL1877" s="2" t="s">
        <v>88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"FES1162508101"</f>
        <v>FES1162508101</v>
      </c>
      <c r="F1878" s="3">
        <v>42663</v>
      </c>
      <c r="G1878" s="2">
        <v>201704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269</v>
      </c>
      <c r="M1878" s="2" t="s">
        <v>270</v>
      </c>
      <c r="N1878" s="2" t="s">
        <v>284</v>
      </c>
      <c r="O1878" s="2" t="s">
        <v>96</v>
      </c>
      <c r="P1878" s="2" t="str">
        <f>"2170528301                    "</f>
        <v xml:space="preserve">2170528301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5.81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1</v>
      </c>
      <c r="BI1878" s="2">
        <v>2.8</v>
      </c>
      <c r="BJ1878" s="2">
        <v>3.3</v>
      </c>
      <c r="BK1878" s="2">
        <v>3.5</v>
      </c>
      <c r="BL1878" s="2">
        <v>71.33</v>
      </c>
      <c r="BM1878" s="2">
        <v>9.99</v>
      </c>
      <c r="BN1878" s="2">
        <v>81.319999999999993</v>
      </c>
      <c r="BO1878" s="2">
        <v>81.319999999999993</v>
      </c>
      <c r="BP1878" s="2"/>
      <c r="BQ1878" s="2" t="s">
        <v>117</v>
      </c>
      <c r="BR1878" s="2" t="s">
        <v>83</v>
      </c>
      <c r="BS1878" s="3">
        <v>42664</v>
      </c>
      <c r="BT1878" s="4">
        <v>0.4152777777777778</v>
      </c>
      <c r="BU1878" s="2" t="s">
        <v>2000</v>
      </c>
      <c r="BV1878" s="2" t="s">
        <v>85</v>
      </c>
      <c r="BW1878" s="2"/>
      <c r="BX1878" s="2"/>
      <c r="BY1878" s="2">
        <v>16552.759999999998</v>
      </c>
      <c r="BZ1878" s="2" t="s">
        <v>27</v>
      </c>
      <c r="CA1878" s="2" t="s">
        <v>129</v>
      </c>
      <c r="CB1878" s="2"/>
      <c r="CC1878" s="2" t="s">
        <v>270</v>
      </c>
      <c r="CD1878" s="2">
        <v>3610</v>
      </c>
      <c r="CE1878" s="2" t="s">
        <v>86</v>
      </c>
      <c r="CF1878" s="5">
        <v>42667</v>
      </c>
      <c r="CG1878" s="2"/>
      <c r="CH1878" s="2"/>
      <c r="CI1878" s="2">
        <v>1</v>
      </c>
      <c r="CJ1878" s="2">
        <v>1</v>
      </c>
      <c r="CK1878" s="2">
        <v>21</v>
      </c>
      <c r="CL1878" s="2" t="s">
        <v>88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"FES1162508377"</f>
        <v>FES1162508377</v>
      </c>
      <c r="F1879" s="3">
        <v>42663</v>
      </c>
      <c r="G1879" s="2">
        <v>201704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98</v>
      </c>
      <c r="M1879" s="2" t="s">
        <v>99</v>
      </c>
      <c r="N1879" s="2" t="s">
        <v>133</v>
      </c>
      <c r="O1879" s="2" t="s">
        <v>96</v>
      </c>
      <c r="P1879" s="2" t="str">
        <f>"2170531685                    "</f>
        <v xml:space="preserve">2170531685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4.9800000000000004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0.4</v>
      </c>
      <c r="BJ1879" s="2">
        <v>2.7</v>
      </c>
      <c r="BK1879" s="2">
        <v>3</v>
      </c>
      <c r="BL1879" s="2">
        <v>61.14</v>
      </c>
      <c r="BM1879" s="2">
        <v>8.56</v>
      </c>
      <c r="BN1879" s="2">
        <v>69.7</v>
      </c>
      <c r="BO1879" s="2">
        <v>69.7</v>
      </c>
      <c r="BP1879" s="2"/>
      <c r="BQ1879" s="2" t="s">
        <v>134</v>
      </c>
      <c r="BR1879" s="2" t="s">
        <v>83</v>
      </c>
      <c r="BS1879" s="3">
        <v>42664</v>
      </c>
      <c r="BT1879" s="4">
        <v>0.34722222222222227</v>
      </c>
      <c r="BU1879" s="2" t="s">
        <v>562</v>
      </c>
      <c r="BV1879" s="2" t="s">
        <v>85</v>
      </c>
      <c r="BW1879" s="2"/>
      <c r="BX1879" s="2"/>
      <c r="BY1879" s="2">
        <v>13623.04</v>
      </c>
      <c r="BZ1879" s="2"/>
      <c r="CA1879" s="2" t="s">
        <v>437</v>
      </c>
      <c r="CB1879" s="2"/>
      <c r="CC1879" s="2" t="s">
        <v>99</v>
      </c>
      <c r="CD1879" s="2">
        <v>6001</v>
      </c>
      <c r="CE1879" s="2" t="s">
        <v>108</v>
      </c>
      <c r="CF1879" s="5">
        <v>42664</v>
      </c>
      <c r="CG1879" s="2"/>
      <c r="CH1879" s="2"/>
      <c r="CI1879" s="2">
        <v>1</v>
      </c>
      <c r="CJ1879" s="2">
        <v>1</v>
      </c>
      <c r="CK1879" s="2">
        <v>21</v>
      </c>
      <c r="CL1879" s="2" t="s">
        <v>88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"FES1162508108"</f>
        <v>FES1162508108</v>
      </c>
      <c r="F1880" s="3">
        <v>42663</v>
      </c>
      <c r="G1880" s="2">
        <v>201704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93</v>
      </c>
      <c r="M1880" s="2" t="s">
        <v>94</v>
      </c>
      <c r="N1880" s="2" t="s">
        <v>130</v>
      </c>
      <c r="O1880" s="2" t="s">
        <v>96</v>
      </c>
      <c r="P1880" s="2" t="str">
        <f>"2170528954                    "</f>
        <v xml:space="preserve">2170528954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9.9499999999999993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5.8</v>
      </c>
      <c r="BJ1880" s="2">
        <v>3.4</v>
      </c>
      <c r="BK1880" s="2">
        <v>6</v>
      </c>
      <c r="BL1880" s="2">
        <v>122.27</v>
      </c>
      <c r="BM1880" s="2">
        <v>17.12</v>
      </c>
      <c r="BN1880" s="2">
        <v>139.38999999999999</v>
      </c>
      <c r="BO1880" s="2">
        <v>139.38999999999999</v>
      </c>
      <c r="BP1880" s="2"/>
      <c r="BQ1880" s="2" t="s">
        <v>131</v>
      </c>
      <c r="BR1880" s="2" t="s">
        <v>83</v>
      </c>
      <c r="BS1880" s="3">
        <v>42664</v>
      </c>
      <c r="BT1880" s="4">
        <v>0.4375</v>
      </c>
      <c r="BU1880" s="2" t="s">
        <v>2001</v>
      </c>
      <c r="BV1880" s="2" t="s">
        <v>85</v>
      </c>
      <c r="BW1880" s="2"/>
      <c r="BX1880" s="2"/>
      <c r="BY1880" s="2">
        <v>17073.55</v>
      </c>
      <c r="BZ1880" s="2" t="s">
        <v>27</v>
      </c>
      <c r="CA1880" s="2"/>
      <c r="CB1880" s="2"/>
      <c r="CC1880" s="2" t="s">
        <v>94</v>
      </c>
      <c r="CD1880" s="2">
        <v>4302</v>
      </c>
      <c r="CE1880" s="2" t="s">
        <v>86</v>
      </c>
      <c r="CF1880" s="5">
        <v>42667</v>
      </c>
      <c r="CG1880" s="2"/>
      <c r="CH1880" s="2"/>
      <c r="CI1880" s="2">
        <v>1</v>
      </c>
      <c r="CJ1880" s="2">
        <v>1</v>
      </c>
      <c r="CK1880" s="2">
        <v>21</v>
      </c>
      <c r="CL1880" s="2" t="s">
        <v>88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"FES1162508337"</f>
        <v>FES1162508337</v>
      </c>
      <c r="F1881" s="3">
        <v>42663</v>
      </c>
      <c r="G1881" s="2">
        <v>201704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1122</v>
      </c>
      <c r="M1881" s="2" t="s">
        <v>1123</v>
      </c>
      <c r="N1881" s="2" t="s">
        <v>1124</v>
      </c>
      <c r="O1881" s="2" t="s">
        <v>96</v>
      </c>
      <c r="P1881" s="2" t="str">
        <f>"2170531602                    "</f>
        <v xml:space="preserve">2170531602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3.32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1</v>
      </c>
      <c r="BJ1881" s="2">
        <v>0.2</v>
      </c>
      <c r="BK1881" s="2">
        <v>1</v>
      </c>
      <c r="BL1881" s="2">
        <v>40.76</v>
      </c>
      <c r="BM1881" s="2">
        <v>5.71</v>
      </c>
      <c r="BN1881" s="2">
        <v>46.47</v>
      </c>
      <c r="BO1881" s="2">
        <v>46.47</v>
      </c>
      <c r="BP1881" s="2"/>
      <c r="BQ1881" s="2" t="s">
        <v>1125</v>
      </c>
      <c r="BR1881" s="2" t="s">
        <v>83</v>
      </c>
      <c r="BS1881" s="3">
        <v>42664</v>
      </c>
      <c r="BT1881" s="4">
        <v>0.41666666666666669</v>
      </c>
      <c r="BU1881" s="2" t="s">
        <v>1999</v>
      </c>
      <c r="BV1881" s="2" t="s">
        <v>85</v>
      </c>
      <c r="BW1881" s="2"/>
      <c r="BX1881" s="2"/>
      <c r="BY1881" s="2">
        <v>1200</v>
      </c>
      <c r="BZ1881" s="2"/>
      <c r="CA1881" s="2"/>
      <c r="CB1881" s="2"/>
      <c r="CC1881" s="2" t="s">
        <v>1123</v>
      </c>
      <c r="CD1881" s="2">
        <v>1911</v>
      </c>
      <c r="CE1881" s="2" t="s">
        <v>108</v>
      </c>
      <c r="CF1881" s="5">
        <v>42668</v>
      </c>
      <c r="CG1881" s="2"/>
      <c r="CH1881" s="2"/>
      <c r="CI1881" s="2">
        <v>1</v>
      </c>
      <c r="CJ1881" s="2">
        <v>1</v>
      </c>
      <c r="CK1881" s="2">
        <v>21</v>
      </c>
      <c r="CL1881" s="2" t="s">
        <v>88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"FES1162508161"</f>
        <v>FES1162508161</v>
      </c>
      <c r="F1882" s="3">
        <v>42663</v>
      </c>
      <c r="G1882" s="2">
        <v>201704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148</v>
      </c>
      <c r="M1882" s="2" t="s">
        <v>149</v>
      </c>
      <c r="N1882" s="2" t="s">
        <v>1647</v>
      </c>
      <c r="O1882" s="2" t="s">
        <v>96</v>
      </c>
      <c r="P1882" s="2" t="str">
        <f>"2170531449                    "</f>
        <v xml:space="preserve">2170531449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3.32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2</v>
      </c>
      <c r="BJ1882" s="2">
        <v>1.1000000000000001</v>
      </c>
      <c r="BK1882" s="2">
        <v>2</v>
      </c>
      <c r="BL1882" s="2">
        <v>40.76</v>
      </c>
      <c r="BM1882" s="2">
        <v>5.71</v>
      </c>
      <c r="BN1882" s="2">
        <v>46.47</v>
      </c>
      <c r="BO1882" s="2">
        <v>46.47</v>
      </c>
      <c r="BP1882" s="2"/>
      <c r="BQ1882" s="2" t="s">
        <v>1648</v>
      </c>
      <c r="BR1882" s="2" t="s">
        <v>83</v>
      </c>
      <c r="BS1882" s="3">
        <v>42664</v>
      </c>
      <c r="BT1882" s="4">
        <v>0.4375</v>
      </c>
      <c r="BU1882" s="2" t="s">
        <v>2002</v>
      </c>
      <c r="BV1882" s="2" t="s">
        <v>85</v>
      </c>
      <c r="BW1882" s="2"/>
      <c r="BX1882" s="2"/>
      <c r="BY1882" s="2">
        <v>5320</v>
      </c>
      <c r="BZ1882" s="2" t="s">
        <v>27</v>
      </c>
      <c r="CA1882" s="2"/>
      <c r="CB1882" s="2"/>
      <c r="CC1882" s="2" t="s">
        <v>149</v>
      </c>
      <c r="CD1882" s="2">
        <v>4001</v>
      </c>
      <c r="CE1882" s="2" t="s">
        <v>86</v>
      </c>
      <c r="CF1882" s="5">
        <v>42667</v>
      </c>
      <c r="CG1882" s="2"/>
      <c r="CH1882" s="2"/>
      <c r="CI1882" s="2">
        <v>1</v>
      </c>
      <c r="CJ1882" s="2">
        <v>1</v>
      </c>
      <c r="CK1882" s="2">
        <v>21</v>
      </c>
      <c r="CL1882" s="2" t="s">
        <v>88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"FES1162508119"</f>
        <v>FES1162508119</v>
      </c>
      <c r="F1883" s="3">
        <v>42663</v>
      </c>
      <c r="G1883" s="2">
        <v>201704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93</v>
      </c>
      <c r="M1883" s="2" t="s">
        <v>94</v>
      </c>
      <c r="N1883" s="2" t="s">
        <v>265</v>
      </c>
      <c r="O1883" s="2" t="s">
        <v>96</v>
      </c>
      <c r="P1883" s="2" t="str">
        <f>"2170529126                    "</f>
        <v xml:space="preserve">2170529126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4.9800000000000004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3</v>
      </c>
      <c r="BJ1883" s="2">
        <v>1</v>
      </c>
      <c r="BK1883" s="2">
        <v>3</v>
      </c>
      <c r="BL1883" s="2">
        <v>61.14</v>
      </c>
      <c r="BM1883" s="2">
        <v>8.56</v>
      </c>
      <c r="BN1883" s="2">
        <v>69.7</v>
      </c>
      <c r="BO1883" s="2">
        <v>69.7</v>
      </c>
      <c r="BP1883" s="2"/>
      <c r="BQ1883" s="2" t="s">
        <v>91</v>
      </c>
      <c r="BR1883" s="2" t="s">
        <v>83</v>
      </c>
      <c r="BS1883" s="3">
        <v>42664</v>
      </c>
      <c r="BT1883" s="4">
        <v>0.4375</v>
      </c>
      <c r="BU1883" s="2" t="s">
        <v>2003</v>
      </c>
      <c r="BV1883" s="2" t="s">
        <v>85</v>
      </c>
      <c r="BW1883" s="2"/>
      <c r="BX1883" s="2"/>
      <c r="BY1883" s="2">
        <v>5005.26</v>
      </c>
      <c r="BZ1883" s="2" t="s">
        <v>27</v>
      </c>
      <c r="CA1883" s="2"/>
      <c r="CB1883" s="2"/>
      <c r="CC1883" s="2" t="s">
        <v>94</v>
      </c>
      <c r="CD1883" s="2">
        <v>4300</v>
      </c>
      <c r="CE1883" s="2" t="s">
        <v>86</v>
      </c>
      <c r="CF1883" s="5">
        <v>42667</v>
      </c>
      <c r="CG1883" s="2"/>
      <c r="CH1883" s="2"/>
      <c r="CI1883" s="2">
        <v>1</v>
      </c>
      <c r="CJ1883" s="2">
        <v>1</v>
      </c>
      <c r="CK1883" s="2">
        <v>21</v>
      </c>
      <c r="CL1883" s="2" t="s">
        <v>88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"FES1162508338"</f>
        <v>FES1162508338</v>
      </c>
      <c r="F1884" s="3">
        <v>42663</v>
      </c>
      <c r="G1884" s="2">
        <v>201704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698</v>
      </c>
      <c r="M1884" s="2" t="s">
        <v>699</v>
      </c>
      <c r="N1884" s="2" t="s">
        <v>704</v>
      </c>
      <c r="O1884" s="2" t="s">
        <v>96</v>
      </c>
      <c r="P1884" s="2" t="str">
        <f>"2170531607                    "</f>
        <v xml:space="preserve">2170531607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4.66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1.6</v>
      </c>
      <c r="BJ1884" s="2">
        <v>0.2</v>
      </c>
      <c r="BK1884" s="2">
        <v>2</v>
      </c>
      <c r="BL1884" s="2">
        <v>57.31</v>
      </c>
      <c r="BM1884" s="2">
        <v>8.02</v>
      </c>
      <c r="BN1884" s="2">
        <v>65.33</v>
      </c>
      <c r="BO1884" s="2">
        <v>65.33</v>
      </c>
      <c r="BP1884" s="2"/>
      <c r="BQ1884" s="2" t="s">
        <v>705</v>
      </c>
      <c r="BR1884" s="2" t="s">
        <v>83</v>
      </c>
      <c r="BS1884" s="3">
        <v>42664</v>
      </c>
      <c r="BT1884" s="4">
        <v>0.55902777777777779</v>
      </c>
      <c r="BU1884" s="2" t="s">
        <v>2004</v>
      </c>
      <c r="BV1884" s="2" t="s">
        <v>85</v>
      </c>
      <c r="BW1884" s="2"/>
      <c r="BX1884" s="2"/>
      <c r="BY1884" s="2">
        <v>1200</v>
      </c>
      <c r="BZ1884" s="2"/>
      <c r="CA1884" s="2"/>
      <c r="CB1884" s="2"/>
      <c r="CC1884" s="2" t="s">
        <v>699</v>
      </c>
      <c r="CD1884" s="2">
        <v>1759</v>
      </c>
      <c r="CE1884" s="2" t="s">
        <v>108</v>
      </c>
      <c r="CF1884" s="5">
        <v>42667</v>
      </c>
      <c r="CG1884" s="2"/>
      <c r="CH1884" s="2"/>
      <c r="CI1884" s="2">
        <v>1</v>
      </c>
      <c r="CJ1884" s="2">
        <v>1</v>
      </c>
      <c r="CK1884" s="2">
        <v>24</v>
      </c>
      <c r="CL1884" s="2" t="s">
        <v>88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"FES1162508115"</f>
        <v>FES1162508115</v>
      </c>
      <c r="F1885" s="3">
        <v>42663</v>
      </c>
      <c r="G1885" s="2">
        <v>201704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148</v>
      </c>
      <c r="M1885" s="2" t="s">
        <v>149</v>
      </c>
      <c r="N1885" s="2" t="s">
        <v>233</v>
      </c>
      <c r="O1885" s="2" t="s">
        <v>96</v>
      </c>
      <c r="P1885" s="2" t="str">
        <f>"2170529103                    "</f>
        <v xml:space="preserve">2170529103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5.81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3.1</v>
      </c>
      <c r="BJ1885" s="2">
        <v>1.7</v>
      </c>
      <c r="BK1885" s="2">
        <v>3.5</v>
      </c>
      <c r="BL1885" s="2">
        <v>71.33</v>
      </c>
      <c r="BM1885" s="2">
        <v>9.99</v>
      </c>
      <c r="BN1885" s="2">
        <v>81.319999999999993</v>
      </c>
      <c r="BO1885" s="2">
        <v>81.319999999999993</v>
      </c>
      <c r="BP1885" s="2"/>
      <c r="BQ1885" s="2" t="s">
        <v>234</v>
      </c>
      <c r="BR1885" s="2" t="s">
        <v>83</v>
      </c>
      <c r="BS1885" s="3">
        <v>42664</v>
      </c>
      <c r="BT1885" s="4">
        <v>0.4375</v>
      </c>
      <c r="BU1885" s="2" t="s">
        <v>1631</v>
      </c>
      <c r="BV1885" s="2"/>
      <c r="BW1885" s="2"/>
      <c r="BX1885" s="2"/>
      <c r="BY1885" s="2">
        <v>8445.4500000000007</v>
      </c>
      <c r="BZ1885" s="2" t="s">
        <v>27</v>
      </c>
      <c r="CA1885" s="2"/>
      <c r="CB1885" s="2"/>
      <c r="CC1885" s="2" t="s">
        <v>149</v>
      </c>
      <c r="CD1885" s="2">
        <v>4001</v>
      </c>
      <c r="CE1885" s="2" t="s">
        <v>86</v>
      </c>
      <c r="CF1885" s="5">
        <v>42667</v>
      </c>
      <c r="CG1885" s="2"/>
      <c r="CH1885" s="2"/>
      <c r="CI1885" s="2">
        <v>0</v>
      </c>
      <c r="CJ1885" s="2">
        <v>0</v>
      </c>
      <c r="CK1885" s="2">
        <v>21</v>
      </c>
      <c r="CL1885" s="2" t="s">
        <v>88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"FES1162508348"</f>
        <v>FES1162508348</v>
      </c>
      <c r="F1886" s="3">
        <v>42663</v>
      </c>
      <c r="G1886" s="2">
        <v>201704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1982</v>
      </c>
      <c r="M1886" s="2" t="s">
        <v>1983</v>
      </c>
      <c r="N1886" s="2" t="s">
        <v>1984</v>
      </c>
      <c r="O1886" s="2" t="s">
        <v>96</v>
      </c>
      <c r="P1886" s="2" t="str">
        <f>"2170531499                    "</f>
        <v xml:space="preserve">2170531499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29.65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9.9</v>
      </c>
      <c r="BJ1886" s="2">
        <v>2.9</v>
      </c>
      <c r="BK1886" s="2">
        <v>10</v>
      </c>
      <c r="BL1886" s="2">
        <v>364.27</v>
      </c>
      <c r="BM1886" s="2">
        <v>51</v>
      </c>
      <c r="BN1886" s="2">
        <v>415.27</v>
      </c>
      <c r="BO1886" s="2">
        <v>415.27</v>
      </c>
      <c r="BP1886" s="2"/>
      <c r="BQ1886" s="2" t="s">
        <v>1985</v>
      </c>
      <c r="BR1886" s="2" t="s">
        <v>83</v>
      </c>
      <c r="BS1886" s="3">
        <v>42664</v>
      </c>
      <c r="BT1886" s="4">
        <v>0.39583333333333331</v>
      </c>
      <c r="BU1886" s="2" t="s">
        <v>2005</v>
      </c>
      <c r="BV1886" s="2" t="s">
        <v>85</v>
      </c>
      <c r="BW1886" s="2"/>
      <c r="BX1886" s="2"/>
      <c r="BY1886" s="2">
        <v>14589.74</v>
      </c>
      <c r="BZ1886" s="2"/>
      <c r="CA1886" s="2" t="s">
        <v>129</v>
      </c>
      <c r="CB1886" s="2"/>
      <c r="CC1886" s="2" t="s">
        <v>1983</v>
      </c>
      <c r="CD1886" s="2">
        <v>9880</v>
      </c>
      <c r="CE1886" s="2" t="s">
        <v>86</v>
      </c>
      <c r="CF1886" s="5">
        <v>42668</v>
      </c>
      <c r="CG1886" s="2"/>
      <c r="CH1886" s="2"/>
      <c r="CI1886" s="2">
        <v>1</v>
      </c>
      <c r="CJ1886" s="2">
        <v>1</v>
      </c>
      <c r="CK1886" s="2">
        <v>23</v>
      </c>
      <c r="CL1886" s="2" t="s">
        <v>88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"FES1162508200"</f>
        <v>FES1162508200</v>
      </c>
      <c r="F1887" s="3">
        <v>42663</v>
      </c>
      <c r="G1887" s="2">
        <v>201704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148</v>
      </c>
      <c r="M1887" s="2" t="s">
        <v>149</v>
      </c>
      <c r="N1887" s="2" t="s">
        <v>1992</v>
      </c>
      <c r="O1887" s="2" t="s">
        <v>96</v>
      </c>
      <c r="P1887" s="2" t="str">
        <f>"2170531502                    "</f>
        <v xml:space="preserve">2170531502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4.1500000000000004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2.2000000000000002</v>
      </c>
      <c r="BJ1887" s="2">
        <v>0.9</v>
      </c>
      <c r="BK1887" s="2">
        <v>2.5</v>
      </c>
      <c r="BL1887" s="2">
        <v>50.95</v>
      </c>
      <c r="BM1887" s="2">
        <v>7.13</v>
      </c>
      <c r="BN1887" s="2">
        <v>58.08</v>
      </c>
      <c r="BO1887" s="2">
        <v>58.08</v>
      </c>
      <c r="BP1887" s="2"/>
      <c r="BQ1887" s="2" t="s">
        <v>1993</v>
      </c>
      <c r="BR1887" s="2" t="s">
        <v>83</v>
      </c>
      <c r="BS1887" s="3">
        <v>42664</v>
      </c>
      <c r="BT1887" s="4">
        <v>0.4375</v>
      </c>
      <c r="BU1887" s="2" t="s">
        <v>1994</v>
      </c>
      <c r="BV1887" s="2"/>
      <c r="BW1887" s="2"/>
      <c r="BX1887" s="2"/>
      <c r="BY1887" s="2">
        <v>4583.04</v>
      </c>
      <c r="BZ1887" s="2" t="s">
        <v>27</v>
      </c>
      <c r="CA1887" s="2"/>
      <c r="CB1887" s="2"/>
      <c r="CC1887" s="2" t="s">
        <v>149</v>
      </c>
      <c r="CD1887" s="2">
        <v>4001</v>
      </c>
      <c r="CE1887" s="2" t="s">
        <v>86</v>
      </c>
      <c r="CF1887" s="5">
        <v>42667</v>
      </c>
      <c r="CG1887" s="2"/>
      <c r="CH1887" s="2"/>
      <c r="CI1887" s="2">
        <v>0</v>
      </c>
      <c r="CJ1887" s="2">
        <v>0</v>
      </c>
      <c r="CK1887" s="2">
        <v>21</v>
      </c>
      <c r="CL1887" s="2" t="s">
        <v>88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"FES1162508360"</f>
        <v>FES1162508360</v>
      </c>
      <c r="F1888" s="3">
        <v>42663</v>
      </c>
      <c r="G1888" s="2">
        <v>201704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119</v>
      </c>
      <c r="M1888" s="2" t="s">
        <v>120</v>
      </c>
      <c r="N1888" s="2" t="s">
        <v>1234</v>
      </c>
      <c r="O1888" s="2" t="s">
        <v>96</v>
      </c>
      <c r="P1888" s="2" t="str">
        <f>"2170531469                    "</f>
        <v xml:space="preserve">2170531469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3.32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1</v>
      </c>
      <c r="BI1888" s="2">
        <v>0.4</v>
      </c>
      <c r="BJ1888" s="2">
        <v>1.6</v>
      </c>
      <c r="BK1888" s="2">
        <v>2</v>
      </c>
      <c r="BL1888" s="2">
        <v>40.76</v>
      </c>
      <c r="BM1888" s="2">
        <v>5.71</v>
      </c>
      <c r="BN1888" s="2">
        <v>46.47</v>
      </c>
      <c r="BO1888" s="2">
        <v>46.47</v>
      </c>
      <c r="BP1888" s="2"/>
      <c r="BQ1888" s="2" t="s">
        <v>82</v>
      </c>
      <c r="BR1888" s="2" t="s">
        <v>83</v>
      </c>
      <c r="BS1888" s="3">
        <v>42664</v>
      </c>
      <c r="BT1888" s="4">
        <v>0.39999999999999997</v>
      </c>
      <c r="BU1888" s="2" t="s">
        <v>2006</v>
      </c>
      <c r="BV1888" s="2" t="s">
        <v>85</v>
      </c>
      <c r="BW1888" s="2"/>
      <c r="BX1888" s="2"/>
      <c r="BY1888" s="2">
        <v>7931.92</v>
      </c>
      <c r="BZ1888" s="2"/>
      <c r="CA1888" s="2"/>
      <c r="CB1888" s="2"/>
      <c r="CC1888" s="2" t="s">
        <v>120</v>
      </c>
      <c r="CD1888" s="2">
        <v>6229</v>
      </c>
      <c r="CE1888" s="2" t="s">
        <v>108</v>
      </c>
      <c r="CF1888" s="5">
        <v>42667</v>
      </c>
      <c r="CG1888" s="2"/>
      <c r="CH1888" s="2"/>
      <c r="CI1888" s="2">
        <v>1</v>
      </c>
      <c r="CJ1888" s="2">
        <v>1</v>
      </c>
      <c r="CK1888" s="2">
        <v>21</v>
      </c>
      <c r="CL1888" s="2" t="s">
        <v>88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"FES1162508097"</f>
        <v>FES1162508097</v>
      </c>
      <c r="F1889" s="3">
        <v>42663</v>
      </c>
      <c r="G1889" s="2">
        <v>201704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98</v>
      </c>
      <c r="M1889" s="2" t="s">
        <v>99</v>
      </c>
      <c r="N1889" s="2" t="s">
        <v>606</v>
      </c>
      <c r="O1889" s="2" t="s">
        <v>96</v>
      </c>
      <c r="P1889" s="2" t="str">
        <f>"2170527482                    "</f>
        <v xml:space="preserve">2170527482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3.32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1</v>
      </c>
      <c r="BJ1889" s="2">
        <v>0.2</v>
      </c>
      <c r="BK1889" s="2">
        <v>1</v>
      </c>
      <c r="BL1889" s="2">
        <v>40.76</v>
      </c>
      <c r="BM1889" s="2">
        <v>5.71</v>
      </c>
      <c r="BN1889" s="2">
        <v>46.47</v>
      </c>
      <c r="BO1889" s="2">
        <v>46.47</v>
      </c>
      <c r="BP1889" s="2"/>
      <c r="BQ1889" s="2" t="s">
        <v>607</v>
      </c>
      <c r="BR1889" s="2" t="s">
        <v>83</v>
      </c>
      <c r="BS1889" s="3">
        <v>42664</v>
      </c>
      <c r="BT1889" s="4">
        <v>0.36805555555555558</v>
      </c>
      <c r="BU1889" s="2" t="s">
        <v>2007</v>
      </c>
      <c r="BV1889" s="2" t="s">
        <v>85</v>
      </c>
      <c r="BW1889" s="2"/>
      <c r="BX1889" s="2"/>
      <c r="BY1889" s="2">
        <v>1200</v>
      </c>
      <c r="BZ1889" s="2" t="s">
        <v>27</v>
      </c>
      <c r="CA1889" s="2" t="s">
        <v>129</v>
      </c>
      <c r="CB1889" s="2"/>
      <c r="CC1889" s="2" t="s">
        <v>99</v>
      </c>
      <c r="CD1889" s="2">
        <v>6001</v>
      </c>
      <c r="CE1889" s="2" t="s">
        <v>108</v>
      </c>
      <c r="CF1889" s="5">
        <v>42667</v>
      </c>
      <c r="CG1889" s="2"/>
      <c r="CH1889" s="2"/>
      <c r="CI1889" s="2">
        <v>1</v>
      </c>
      <c r="CJ1889" s="2">
        <v>1</v>
      </c>
      <c r="CK1889" s="2">
        <v>21</v>
      </c>
      <c r="CL1889" s="2" t="s">
        <v>88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"FES1162508356"</f>
        <v>FES1162508356</v>
      </c>
      <c r="F1890" s="3">
        <v>42663</v>
      </c>
      <c r="G1890" s="2">
        <v>201704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98</v>
      </c>
      <c r="M1890" s="2" t="s">
        <v>99</v>
      </c>
      <c r="N1890" s="2" t="s">
        <v>2008</v>
      </c>
      <c r="O1890" s="2" t="s">
        <v>96</v>
      </c>
      <c r="P1890" s="2" t="str">
        <f>"2170531672                    "</f>
        <v xml:space="preserve">2170531672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3.32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0.7</v>
      </c>
      <c r="BJ1890" s="2">
        <v>1.7</v>
      </c>
      <c r="BK1890" s="2">
        <v>2</v>
      </c>
      <c r="BL1890" s="2">
        <v>40.76</v>
      </c>
      <c r="BM1890" s="2">
        <v>5.71</v>
      </c>
      <c r="BN1890" s="2">
        <v>46.47</v>
      </c>
      <c r="BO1890" s="2">
        <v>46.47</v>
      </c>
      <c r="BP1890" s="2"/>
      <c r="BQ1890" s="2" t="s">
        <v>2009</v>
      </c>
      <c r="BR1890" s="2" t="s">
        <v>83</v>
      </c>
      <c r="BS1890" s="3">
        <v>42664</v>
      </c>
      <c r="BT1890" s="4">
        <v>0.38541666666666669</v>
      </c>
      <c r="BU1890" s="2" t="s">
        <v>2010</v>
      </c>
      <c r="BV1890" s="2" t="s">
        <v>85</v>
      </c>
      <c r="BW1890" s="2"/>
      <c r="BX1890" s="2"/>
      <c r="BY1890" s="2">
        <v>8574.5</v>
      </c>
      <c r="BZ1890" s="2"/>
      <c r="CA1890" s="2"/>
      <c r="CB1890" s="2"/>
      <c r="CC1890" s="2" t="s">
        <v>99</v>
      </c>
      <c r="CD1890" s="2">
        <v>6056</v>
      </c>
      <c r="CE1890" s="2" t="s">
        <v>108</v>
      </c>
      <c r="CF1890" s="5">
        <v>42667</v>
      </c>
      <c r="CG1890" s="2"/>
      <c r="CH1890" s="2"/>
      <c r="CI1890" s="2">
        <v>1</v>
      </c>
      <c r="CJ1890" s="2">
        <v>1</v>
      </c>
      <c r="CK1890" s="2">
        <v>21</v>
      </c>
      <c r="CL1890" s="2" t="s">
        <v>88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"FES1162508239"</f>
        <v>FES1162508239</v>
      </c>
      <c r="F1891" s="3">
        <v>42663</v>
      </c>
      <c r="G1891" s="2">
        <v>201704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143</v>
      </c>
      <c r="M1891" s="2" t="s">
        <v>144</v>
      </c>
      <c r="N1891" s="2" t="s">
        <v>145</v>
      </c>
      <c r="O1891" s="2" t="s">
        <v>96</v>
      </c>
      <c r="P1891" s="2" t="str">
        <f>"2170531546                    "</f>
        <v xml:space="preserve">2170531546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3.32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1</v>
      </c>
      <c r="BJ1891" s="2">
        <v>0.2</v>
      </c>
      <c r="BK1891" s="2">
        <v>1</v>
      </c>
      <c r="BL1891" s="2">
        <v>40.76</v>
      </c>
      <c r="BM1891" s="2">
        <v>5.71</v>
      </c>
      <c r="BN1891" s="2">
        <v>46.47</v>
      </c>
      <c r="BO1891" s="2">
        <v>46.47</v>
      </c>
      <c r="BP1891" s="2"/>
      <c r="BQ1891" s="2" t="s">
        <v>91</v>
      </c>
      <c r="BR1891" s="2" t="s">
        <v>83</v>
      </c>
      <c r="BS1891" s="3">
        <v>42664</v>
      </c>
      <c r="BT1891" s="4">
        <v>0.3659722222222222</v>
      </c>
      <c r="BU1891" s="2" t="s">
        <v>1572</v>
      </c>
      <c r="BV1891" s="2" t="s">
        <v>85</v>
      </c>
      <c r="BW1891" s="2"/>
      <c r="BX1891" s="2"/>
      <c r="BY1891" s="2">
        <v>1200</v>
      </c>
      <c r="BZ1891" s="2" t="s">
        <v>27</v>
      </c>
      <c r="CA1891" s="2"/>
      <c r="CB1891" s="2"/>
      <c r="CC1891" s="2" t="s">
        <v>144</v>
      </c>
      <c r="CD1891" s="2">
        <v>5201</v>
      </c>
      <c r="CE1891" s="2" t="s">
        <v>108</v>
      </c>
      <c r="CF1891" s="5">
        <v>42668</v>
      </c>
      <c r="CG1891" s="2"/>
      <c r="CH1891" s="2"/>
      <c r="CI1891" s="2">
        <v>1</v>
      </c>
      <c r="CJ1891" s="2">
        <v>1</v>
      </c>
      <c r="CK1891" s="2">
        <v>21</v>
      </c>
      <c r="CL1891" s="2" t="s">
        <v>88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"FES1162508354"</f>
        <v>FES1162508354</v>
      </c>
      <c r="F1892" s="3">
        <v>42663</v>
      </c>
      <c r="G1892" s="2">
        <v>201704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148</v>
      </c>
      <c r="M1892" s="2" t="s">
        <v>149</v>
      </c>
      <c r="N1892" s="2" t="s">
        <v>455</v>
      </c>
      <c r="O1892" s="2" t="s">
        <v>96</v>
      </c>
      <c r="P1892" s="2" t="str">
        <f>"2170531666                    "</f>
        <v xml:space="preserve">2170531666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3.32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1</v>
      </c>
      <c r="BI1892" s="2">
        <v>0.5</v>
      </c>
      <c r="BJ1892" s="2">
        <v>0.2</v>
      </c>
      <c r="BK1892" s="2">
        <v>0.5</v>
      </c>
      <c r="BL1892" s="2">
        <v>40.76</v>
      </c>
      <c r="BM1892" s="2">
        <v>5.71</v>
      </c>
      <c r="BN1892" s="2">
        <v>46.47</v>
      </c>
      <c r="BO1892" s="2">
        <v>46.47</v>
      </c>
      <c r="BP1892" s="2"/>
      <c r="BQ1892" s="2" t="s">
        <v>2011</v>
      </c>
      <c r="BR1892" s="2" t="s">
        <v>83</v>
      </c>
      <c r="BS1892" s="3">
        <v>42664</v>
      </c>
      <c r="BT1892" s="4">
        <v>0.4375</v>
      </c>
      <c r="BU1892" s="2" t="s">
        <v>1379</v>
      </c>
      <c r="BV1892" s="2" t="s">
        <v>85</v>
      </c>
      <c r="BW1892" s="2"/>
      <c r="BX1892" s="2"/>
      <c r="BY1892" s="2">
        <v>1200</v>
      </c>
      <c r="BZ1892" s="2"/>
      <c r="CA1892" s="2"/>
      <c r="CB1892" s="2"/>
      <c r="CC1892" s="2" t="s">
        <v>149</v>
      </c>
      <c r="CD1892" s="2">
        <v>4093</v>
      </c>
      <c r="CE1892" s="2" t="s">
        <v>108</v>
      </c>
      <c r="CF1892" s="5">
        <v>42667</v>
      </c>
      <c r="CG1892" s="2"/>
      <c r="CH1892" s="2"/>
      <c r="CI1892" s="2">
        <v>1</v>
      </c>
      <c r="CJ1892" s="2">
        <v>1</v>
      </c>
      <c r="CK1892" s="2">
        <v>21</v>
      </c>
      <c r="CL1892" s="2" t="s">
        <v>88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"FES1162508123"</f>
        <v>FES1162508123</v>
      </c>
      <c r="F1893" s="3">
        <v>42663</v>
      </c>
      <c r="G1893" s="2">
        <v>201704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98</v>
      </c>
      <c r="M1893" s="2" t="s">
        <v>99</v>
      </c>
      <c r="N1893" s="2" t="s">
        <v>1557</v>
      </c>
      <c r="O1893" s="2" t="s">
        <v>96</v>
      </c>
      <c r="P1893" s="2" t="str">
        <f>"2170529200                    "</f>
        <v xml:space="preserve">2170529200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3.32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1</v>
      </c>
      <c r="BJ1893" s="2">
        <v>0.2</v>
      </c>
      <c r="BK1893" s="2">
        <v>1</v>
      </c>
      <c r="BL1893" s="2">
        <v>40.76</v>
      </c>
      <c r="BM1893" s="2">
        <v>5.71</v>
      </c>
      <c r="BN1893" s="2">
        <v>46.47</v>
      </c>
      <c r="BO1893" s="2">
        <v>46.47</v>
      </c>
      <c r="BP1893" s="2"/>
      <c r="BQ1893" s="2" t="s">
        <v>1558</v>
      </c>
      <c r="BR1893" s="2" t="s">
        <v>83</v>
      </c>
      <c r="BS1893" s="3">
        <v>42664</v>
      </c>
      <c r="BT1893" s="4">
        <v>0.29791666666666666</v>
      </c>
      <c r="BU1893" s="2" t="s">
        <v>554</v>
      </c>
      <c r="BV1893" s="2" t="s">
        <v>85</v>
      </c>
      <c r="BW1893" s="2"/>
      <c r="BX1893" s="2"/>
      <c r="BY1893" s="2">
        <v>1200</v>
      </c>
      <c r="BZ1893" s="2" t="s">
        <v>27</v>
      </c>
      <c r="CA1893" s="2"/>
      <c r="CB1893" s="2"/>
      <c r="CC1893" s="2" t="s">
        <v>99</v>
      </c>
      <c r="CD1893" s="2">
        <v>6001</v>
      </c>
      <c r="CE1893" s="2" t="s">
        <v>108</v>
      </c>
      <c r="CF1893" s="5">
        <v>42667</v>
      </c>
      <c r="CG1893" s="2"/>
      <c r="CH1893" s="2"/>
      <c r="CI1893" s="2">
        <v>1</v>
      </c>
      <c r="CJ1893" s="2">
        <v>1</v>
      </c>
      <c r="CK1893" s="2">
        <v>21</v>
      </c>
      <c r="CL1893" s="2" t="s">
        <v>88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"FES1162508170"</f>
        <v>FES1162508170</v>
      </c>
      <c r="F1894" s="3">
        <v>42663</v>
      </c>
      <c r="G1894" s="2">
        <v>201704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171</v>
      </c>
      <c r="M1894" s="2" t="s">
        <v>172</v>
      </c>
      <c r="N1894" s="2" t="s">
        <v>429</v>
      </c>
      <c r="O1894" s="2" t="s">
        <v>96</v>
      </c>
      <c r="P1894" s="2" t="str">
        <f>"2170531048                    "</f>
        <v xml:space="preserve">2170531048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3.32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1</v>
      </c>
      <c r="BJ1894" s="2">
        <v>0.2</v>
      </c>
      <c r="BK1894" s="2">
        <v>1</v>
      </c>
      <c r="BL1894" s="2">
        <v>40.76</v>
      </c>
      <c r="BM1894" s="2">
        <v>5.71</v>
      </c>
      <c r="BN1894" s="2">
        <v>46.47</v>
      </c>
      <c r="BO1894" s="2">
        <v>46.47</v>
      </c>
      <c r="BP1894" s="2"/>
      <c r="BQ1894" s="2" t="s">
        <v>430</v>
      </c>
      <c r="BR1894" s="2" t="s">
        <v>83</v>
      </c>
      <c r="BS1894" s="3">
        <v>42664</v>
      </c>
      <c r="BT1894" s="4">
        <v>0.35486111111111113</v>
      </c>
      <c r="BU1894" s="2" t="s">
        <v>2012</v>
      </c>
      <c r="BV1894" s="2" t="s">
        <v>85</v>
      </c>
      <c r="BW1894" s="2"/>
      <c r="BX1894" s="2"/>
      <c r="BY1894" s="2">
        <v>1200</v>
      </c>
      <c r="BZ1894" s="2" t="s">
        <v>27</v>
      </c>
      <c r="CA1894" s="2"/>
      <c r="CB1894" s="2"/>
      <c r="CC1894" s="2" t="s">
        <v>172</v>
      </c>
      <c r="CD1894" s="2">
        <v>6220</v>
      </c>
      <c r="CE1894" s="2" t="s">
        <v>108</v>
      </c>
      <c r="CF1894" s="5">
        <v>42667</v>
      </c>
      <c r="CG1894" s="2"/>
      <c r="CH1894" s="2"/>
      <c r="CI1894" s="2">
        <v>1</v>
      </c>
      <c r="CJ1894" s="2">
        <v>1</v>
      </c>
      <c r="CK1894" s="2">
        <v>21</v>
      </c>
      <c r="CL1894" s="2" t="s">
        <v>88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"FES1162508153"</f>
        <v>FES1162508153</v>
      </c>
      <c r="F1895" s="3">
        <v>42663</v>
      </c>
      <c r="G1895" s="2">
        <v>201704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98</v>
      </c>
      <c r="M1895" s="2" t="s">
        <v>99</v>
      </c>
      <c r="N1895" s="2" t="s">
        <v>109</v>
      </c>
      <c r="O1895" s="2" t="s">
        <v>96</v>
      </c>
      <c r="P1895" s="2" t="str">
        <f>"2170531437                    "</f>
        <v xml:space="preserve">2170531437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3.32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1</v>
      </c>
      <c r="BI1895" s="2">
        <v>1</v>
      </c>
      <c r="BJ1895" s="2">
        <v>0.2</v>
      </c>
      <c r="BK1895" s="2">
        <v>1</v>
      </c>
      <c r="BL1895" s="2">
        <v>40.76</v>
      </c>
      <c r="BM1895" s="2">
        <v>5.71</v>
      </c>
      <c r="BN1895" s="2">
        <v>46.47</v>
      </c>
      <c r="BO1895" s="2">
        <v>46.47</v>
      </c>
      <c r="BP1895" s="2"/>
      <c r="BQ1895" s="2" t="s">
        <v>110</v>
      </c>
      <c r="BR1895" s="2" t="s">
        <v>83</v>
      </c>
      <c r="BS1895" s="3">
        <v>42664</v>
      </c>
      <c r="BT1895" s="4">
        <v>0.3611111111111111</v>
      </c>
      <c r="BU1895" s="2" t="s">
        <v>1998</v>
      </c>
      <c r="BV1895" s="2" t="s">
        <v>85</v>
      </c>
      <c r="BW1895" s="2"/>
      <c r="BX1895" s="2"/>
      <c r="BY1895" s="2">
        <v>1200</v>
      </c>
      <c r="BZ1895" s="2" t="s">
        <v>27</v>
      </c>
      <c r="CA1895" s="2" t="s">
        <v>129</v>
      </c>
      <c r="CB1895" s="2"/>
      <c r="CC1895" s="2" t="s">
        <v>99</v>
      </c>
      <c r="CD1895" s="2">
        <v>6001</v>
      </c>
      <c r="CE1895" s="2" t="s">
        <v>108</v>
      </c>
      <c r="CF1895" s="5">
        <v>42667</v>
      </c>
      <c r="CG1895" s="2"/>
      <c r="CH1895" s="2"/>
      <c r="CI1895" s="2">
        <v>1</v>
      </c>
      <c r="CJ1895" s="2">
        <v>1</v>
      </c>
      <c r="CK1895" s="2">
        <v>21</v>
      </c>
      <c r="CL1895" s="2" t="s">
        <v>88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"FES1162508132"</f>
        <v>FES1162508132</v>
      </c>
      <c r="F1896" s="3">
        <v>42663</v>
      </c>
      <c r="G1896" s="2">
        <v>201704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119</v>
      </c>
      <c r="M1896" s="2" t="s">
        <v>120</v>
      </c>
      <c r="N1896" s="2" t="s">
        <v>337</v>
      </c>
      <c r="O1896" s="2" t="s">
        <v>96</v>
      </c>
      <c r="P1896" s="2" t="str">
        <f>"2170529326                    "</f>
        <v xml:space="preserve">2170529326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3.32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1</v>
      </c>
      <c r="BJ1896" s="2">
        <v>0.2</v>
      </c>
      <c r="BK1896" s="2">
        <v>1</v>
      </c>
      <c r="BL1896" s="2">
        <v>40.76</v>
      </c>
      <c r="BM1896" s="2">
        <v>5.71</v>
      </c>
      <c r="BN1896" s="2">
        <v>46.47</v>
      </c>
      <c r="BO1896" s="2">
        <v>46.47</v>
      </c>
      <c r="BP1896" s="2"/>
      <c r="BQ1896" s="2" t="s">
        <v>338</v>
      </c>
      <c r="BR1896" s="2" t="s">
        <v>83</v>
      </c>
      <c r="BS1896" s="3">
        <v>42664</v>
      </c>
      <c r="BT1896" s="4">
        <v>0.34027777777777773</v>
      </c>
      <c r="BU1896" s="2" t="s">
        <v>247</v>
      </c>
      <c r="BV1896" s="2" t="s">
        <v>85</v>
      </c>
      <c r="BW1896" s="2"/>
      <c r="BX1896" s="2"/>
      <c r="BY1896" s="2">
        <v>1200</v>
      </c>
      <c r="BZ1896" s="2" t="s">
        <v>27</v>
      </c>
      <c r="CA1896" s="2"/>
      <c r="CB1896" s="2"/>
      <c r="CC1896" s="2" t="s">
        <v>120</v>
      </c>
      <c r="CD1896" s="2">
        <v>6230</v>
      </c>
      <c r="CE1896" s="2" t="s">
        <v>108</v>
      </c>
      <c r="CF1896" s="5">
        <v>42667</v>
      </c>
      <c r="CG1896" s="2"/>
      <c r="CH1896" s="2"/>
      <c r="CI1896" s="2">
        <v>1</v>
      </c>
      <c r="CJ1896" s="2">
        <v>1</v>
      </c>
      <c r="CK1896" s="2">
        <v>21</v>
      </c>
      <c r="CL1896" s="2" t="s">
        <v>88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"FES1162508105"</f>
        <v>FES1162508105</v>
      </c>
      <c r="F1897" s="3">
        <v>42663</v>
      </c>
      <c r="G1897" s="2">
        <v>201704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143</v>
      </c>
      <c r="M1897" s="2" t="s">
        <v>144</v>
      </c>
      <c r="N1897" s="2" t="s">
        <v>369</v>
      </c>
      <c r="O1897" s="2" t="s">
        <v>96</v>
      </c>
      <c r="P1897" s="2" t="str">
        <f>"2170528634                    "</f>
        <v xml:space="preserve">2170528634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3.32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1</v>
      </c>
      <c r="BJ1897" s="2">
        <v>0.2</v>
      </c>
      <c r="BK1897" s="2">
        <v>1</v>
      </c>
      <c r="BL1897" s="2">
        <v>40.76</v>
      </c>
      <c r="BM1897" s="2">
        <v>5.71</v>
      </c>
      <c r="BN1897" s="2">
        <v>46.47</v>
      </c>
      <c r="BO1897" s="2">
        <v>46.47</v>
      </c>
      <c r="BP1897" s="2"/>
      <c r="BQ1897" s="2" t="s">
        <v>91</v>
      </c>
      <c r="BR1897" s="2" t="s">
        <v>83</v>
      </c>
      <c r="BS1897" s="3">
        <v>42664</v>
      </c>
      <c r="BT1897" s="4">
        <v>0.41666666666666669</v>
      </c>
      <c r="BU1897" s="2" t="s">
        <v>2013</v>
      </c>
      <c r="BV1897" s="2"/>
      <c r="BW1897" s="2"/>
      <c r="BX1897" s="2"/>
      <c r="BY1897" s="2">
        <v>1200</v>
      </c>
      <c r="BZ1897" s="2" t="s">
        <v>27</v>
      </c>
      <c r="CA1897" s="2"/>
      <c r="CB1897" s="2"/>
      <c r="CC1897" s="2" t="s">
        <v>144</v>
      </c>
      <c r="CD1897" s="2">
        <v>5201</v>
      </c>
      <c r="CE1897" s="2" t="s">
        <v>108</v>
      </c>
      <c r="CF1897" s="5">
        <v>42668</v>
      </c>
      <c r="CG1897" s="2"/>
      <c r="CH1897" s="2"/>
      <c r="CI1897" s="2">
        <v>0</v>
      </c>
      <c r="CJ1897" s="2">
        <v>0</v>
      </c>
      <c r="CK1897" s="2">
        <v>21</v>
      </c>
      <c r="CL1897" s="2" t="s">
        <v>88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"FES1162508107"</f>
        <v>FES1162508107</v>
      </c>
      <c r="F1898" s="3">
        <v>42663</v>
      </c>
      <c r="G1898" s="2">
        <v>201704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98</v>
      </c>
      <c r="M1898" s="2" t="s">
        <v>99</v>
      </c>
      <c r="N1898" s="2" t="s">
        <v>109</v>
      </c>
      <c r="O1898" s="2" t="s">
        <v>96</v>
      </c>
      <c r="P1898" s="2" t="str">
        <f>"2170528867                    "</f>
        <v xml:space="preserve">2170528867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3.32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1</v>
      </c>
      <c r="BI1898" s="2">
        <v>1</v>
      </c>
      <c r="BJ1898" s="2">
        <v>0.2</v>
      </c>
      <c r="BK1898" s="2">
        <v>1</v>
      </c>
      <c r="BL1898" s="2">
        <v>40.76</v>
      </c>
      <c r="BM1898" s="2">
        <v>5.71</v>
      </c>
      <c r="BN1898" s="2">
        <v>46.47</v>
      </c>
      <c r="BO1898" s="2">
        <v>46.47</v>
      </c>
      <c r="BP1898" s="2"/>
      <c r="BQ1898" s="2" t="s">
        <v>110</v>
      </c>
      <c r="BR1898" s="2" t="s">
        <v>83</v>
      </c>
      <c r="BS1898" s="3">
        <v>42664</v>
      </c>
      <c r="BT1898" s="4">
        <v>0.3611111111111111</v>
      </c>
      <c r="BU1898" s="2" t="s">
        <v>1998</v>
      </c>
      <c r="BV1898" s="2" t="s">
        <v>85</v>
      </c>
      <c r="BW1898" s="2"/>
      <c r="BX1898" s="2"/>
      <c r="BY1898" s="2">
        <v>1200</v>
      </c>
      <c r="BZ1898" s="2" t="s">
        <v>27</v>
      </c>
      <c r="CA1898" s="2" t="s">
        <v>129</v>
      </c>
      <c r="CB1898" s="2"/>
      <c r="CC1898" s="2" t="s">
        <v>99</v>
      </c>
      <c r="CD1898" s="2">
        <v>6001</v>
      </c>
      <c r="CE1898" s="2" t="s">
        <v>108</v>
      </c>
      <c r="CF1898" s="5">
        <v>42667</v>
      </c>
      <c r="CG1898" s="2"/>
      <c r="CH1898" s="2"/>
      <c r="CI1898" s="2">
        <v>1</v>
      </c>
      <c r="CJ1898" s="2">
        <v>1</v>
      </c>
      <c r="CK1898" s="2">
        <v>21</v>
      </c>
      <c r="CL1898" s="2" t="s">
        <v>88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"FES1162508126"</f>
        <v>FES1162508126</v>
      </c>
      <c r="F1899" s="3">
        <v>42663</v>
      </c>
      <c r="G1899" s="2">
        <v>201704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98</v>
      </c>
      <c r="M1899" s="2" t="s">
        <v>99</v>
      </c>
      <c r="N1899" s="2" t="s">
        <v>109</v>
      </c>
      <c r="O1899" s="2" t="s">
        <v>96</v>
      </c>
      <c r="P1899" s="2" t="str">
        <f>"2170529248                    "</f>
        <v xml:space="preserve">2170529248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3.32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1</v>
      </c>
      <c r="BJ1899" s="2">
        <v>0.2</v>
      </c>
      <c r="BK1899" s="2">
        <v>1</v>
      </c>
      <c r="BL1899" s="2">
        <v>40.76</v>
      </c>
      <c r="BM1899" s="2">
        <v>5.71</v>
      </c>
      <c r="BN1899" s="2">
        <v>46.47</v>
      </c>
      <c r="BO1899" s="2">
        <v>46.47</v>
      </c>
      <c r="BP1899" s="2"/>
      <c r="BQ1899" s="2" t="s">
        <v>110</v>
      </c>
      <c r="BR1899" s="2" t="s">
        <v>83</v>
      </c>
      <c r="BS1899" s="3">
        <v>42664</v>
      </c>
      <c r="BT1899" s="4">
        <v>0.375</v>
      </c>
      <c r="BU1899" s="2" t="s">
        <v>2014</v>
      </c>
      <c r="BV1899" s="2" t="s">
        <v>85</v>
      </c>
      <c r="BW1899" s="2"/>
      <c r="BX1899" s="2"/>
      <c r="BY1899" s="2">
        <v>1200</v>
      </c>
      <c r="BZ1899" s="2" t="s">
        <v>27</v>
      </c>
      <c r="CA1899" s="2" t="s">
        <v>1349</v>
      </c>
      <c r="CB1899" s="2"/>
      <c r="CC1899" s="2" t="s">
        <v>99</v>
      </c>
      <c r="CD1899" s="2">
        <v>6001</v>
      </c>
      <c r="CE1899" s="2" t="s">
        <v>108</v>
      </c>
      <c r="CF1899" s="5">
        <v>42667</v>
      </c>
      <c r="CG1899" s="2"/>
      <c r="CH1899" s="2"/>
      <c r="CI1899" s="2">
        <v>1</v>
      </c>
      <c r="CJ1899" s="2">
        <v>1</v>
      </c>
      <c r="CK1899" s="2">
        <v>21</v>
      </c>
      <c r="CL1899" s="2" t="s">
        <v>88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"FES1162508043"</f>
        <v>FES1162508043</v>
      </c>
      <c r="F1900" s="3">
        <v>42663</v>
      </c>
      <c r="G1900" s="2">
        <v>201704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160</v>
      </c>
      <c r="M1900" s="2" t="s">
        <v>161</v>
      </c>
      <c r="N1900" s="2" t="s">
        <v>622</v>
      </c>
      <c r="O1900" s="2" t="s">
        <v>96</v>
      </c>
      <c r="P1900" s="2" t="str">
        <f>"2170431357                    "</f>
        <v xml:space="preserve">2170431357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3.32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40.76</v>
      </c>
      <c r="BM1900" s="2">
        <v>5.71</v>
      </c>
      <c r="BN1900" s="2">
        <v>46.47</v>
      </c>
      <c r="BO1900" s="2">
        <v>46.47</v>
      </c>
      <c r="BP1900" s="2"/>
      <c r="BQ1900" s="2" t="s">
        <v>623</v>
      </c>
      <c r="BR1900" s="2" t="s">
        <v>83</v>
      </c>
      <c r="BS1900" s="3">
        <v>42664</v>
      </c>
      <c r="BT1900" s="4">
        <v>0.42430555555555555</v>
      </c>
      <c r="BU1900" s="2" t="s">
        <v>2015</v>
      </c>
      <c r="BV1900" s="2" t="s">
        <v>85</v>
      </c>
      <c r="BW1900" s="2"/>
      <c r="BX1900" s="2"/>
      <c r="BY1900" s="2">
        <v>1200</v>
      </c>
      <c r="BZ1900" s="2" t="s">
        <v>27</v>
      </c>
      <c r="CA1900" s="2" t="s">
        <v>129</v>
      </c>
      <c r="CB1900" s="2"/>
      <c r="CC1900" s="2" t="s">
        <v>161</v>
      </c>
      <c r="CD1900" s="2">
        <v>7490</v>
      </c>
      <c r="CE1900" s="2" t="s">
        <v>108</v>
      </c>
      <c r="CF1900" s="5">
        <v>42667</v>
      </c>
      <c r="CG1900" s="2"/>
      <c r="CH1900" s="2"/>
      <c r="CI1900" s="2">
        <v>1</v>
      </c>
      <c r="CJ1900" s="2">
        <v>1</v>
      </c>
      <c r="CK1900" s="2">
        <v>21</v>
      </c>
      <c r="CL1900" s="2" t="s">
        <v>88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"FES1162508062"</f>
        <v>FES1162508062</v>
      </c>
      <c r="F1901" s="3">
        <v>42663</v>
      </c>
      <c r="G1901" s="2">
        <v>201704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160</v>
      </c>
      <c r="M1901" s="2" t="s">
        <v>161</v>
      </c>
      <c r="N1901" s="2" t="s">
        <v>267</v>
      </c>
      <c r="O1901" s="2" t="s">
        <v>96</v>
      </c>
      <c r="P1901" s="2" t="str">
        <f>"2170531310                    "</f>
        <v xml:space="preserve">2170531310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3.32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1</v>
      </c>
      <c r="BJ1901" s="2">
        <v>0.2</v>
      </c>
      <c r="BK1901" s="2">
        <v>1</v>
      </c>
      <c r="BL1901" s="2">
        <v>40.76</v>
      </c>
      <c r="BM1901" s="2">
        <v>5.71</v>
      </c>
      <c r="BN1901" s="2">
        <v>46.47</v>
      </c>
      <c r="BO1901" s="2">
        <v>46.47</v>
      </c>
      <c r="BP1901" s="2"/>
      <c r="BQ1901" s="2" t="s">
        <v>117</v>
      </c>
      <c r="BR1901" s="2" t="s">
        <v>83</v>
      </c>
      <c r="BS1901" s="3">
        <v>42664</v>
      </c>
      <c r="BT1901" s="4">
        <v>0.43402777777777773</v>
      </c>
      <c r="BU1901" s="2" t="s">
        <v>2016</v>
      </c>
      <c r="BV1901" s="2" t="s">
        <v>85</v>
      </c>
      <c r="BW1901" s="2"/>
      <c r="BX1901" s="2"/>
      <c r="BY1901" s="2">
        <v>1200</v>
      </c>
      <c r="BZ1901" s="2" t="s">
        <v>27</v>
      </c>
      <c r="CA1901" s="2" t="s">
        <v>129</v>
      </c>
      <c r="CB1901" s="2"/>
      <c r="CC1901" s="2" t="s">
        <v>161</v>
      </c>
      <c r="CD1901" s="2">
        <v>7441</v>
      </c>
      <c r="CE1901" s="2" t="s">
        <v>108</v>
      </c>
      <c r="CF1901" s="5">
        <v>42667</v>
      </c>
      <c r="CG1901" s="2"/>
      <c r="CH1901" s="2"/>
      <c r="CI1901" s="2">
        <v>1</v>
      </c>
      <c r="CJ1901" s="2">
        <v>1</v>
      </c>
      <c r="CK1901" s="2">
        <v>21</v>
      </c>
      <c r="CL1901" s="2" t="s">
        <v>88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"FES1162508168"</f>
        <v>FES1162508168</v>
      </c>
      <c r="F1902" s="3">
        <v>42663</v>
      </c>
      <c r="G1902" s="2">
        <v>201704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148</v>
      </c>
      <c r="M1902" s="2" t="s">
        <v>149</v>
      </c>
      <c r="N1902" s="2" t="s">
        <v>483</v>
      </c>
      <c r="O1902" s="2" t="s">
        <v>96</v>
      </c>
      <c r="P1902" s="2" t="str">
        <f>"2170531456                    "</f>
        <v xml:space="preserve">2170531456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3.32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1</v>
      </c>
      <c r="BI1902" s="2">
        <v>1</v>
      </c>
      <c r="BJ1902" s="2">
        <v>0.2</v>
      </c>
      <c r="BK1902" s="2">
        <v>1</v>
      </c>
      <c r="BL1902" s="2">
        <v>40.76</v>
      </c>
      <c r="BM1902" s="2">
        <v>5.71</v>
      </c>
      <c r="BN1902" s="2">
        <v>46.47</v>
      </c>
      <c r="BO1902" s="2">
        <v>46.47</v>
      </c>
      <c r="BP1902" s="2"/>
      <c r="BQ1902" s="2" t="s">
        <v>484</v>
      </c>
      <c r="BR1902" s="2" t="s">
        <v>83</v>
      </c>
      <c r="BS1902" s="3">
        <v>42664</v>
      </c>
      <c r="BT1902" s="4">
        <v>0.4375</v>
      </c>
      <c r="BU1902" s="2" t="s">
        <v>2017</v>
      </c>
      <c r="BV1902" s="2"/>
      <c r="BW1902" s="2"/>
      <c r="BX1902" s="2"/>
      <c r="BY1902" s="2">
        <v>1200</v>
      </c>
      <c r="BZ1902" s="2" t="s">
        <v>27</v>
      </c>
      <c r="CA1902" s="2"/>
      <c r="CB1902" s="2"/>
      <c r="CC1902" s="2" t="s">
        <v>149</v>
      </c>
      <c r="CD1902" s="2">
        <v>4001</v>
      </c>
      <c r="CE1902" s="2" t="s">
        <v>108</v>
      </c>
      <c r="CF1902" s="5">
        <v>42667</v>
      </c>
      <c r="CG1902" s="2"/>
      <c r="CH1902" s="2"/>
      <c r="CI1902" s="2">
        <v>0</v>
      </c>
      <c r="CJ1902" s="2">
        <v>0</v>
      </c>
      <c r="CK1902" s="2">
        <v>21</v>
      </c>
      <c r="CL1902" s="2" t="s">
        <v>88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"FES1162508142"</f>
        <v>FES1162508142</v>
      </c>
      <c r="F1903" s="3">
        <v>42663</v>
      </c>
      <c r="G1903" s="2">
        <v>201704</v>
      </c>
      <c r="H1903" s="2" t="s">
        <v>74</v>
      </c>
      <c r="I1903" s="2" t="s">
        <v>75</v>
      </c>
      <c r="J1903" s="2" t="s">
        <v>76</v>
      </c>
      <c r="K1903" s="2" t="s">
        <v>77</v>
      </c>
      <c r="L1903" s="2" t="s">
        <v>269</v>
      </c>
      <c r="M1903" s="2" t="s">
        <v>270</v>
      </c>
      <c r="N1903" s="2" t="s">
        <v>299</v>
      </c>
      <c r="O1903" s="2" t="s">
        <v>96</v>
      </c>
      <c r="P1903" s="2" t="str">
        <f>"2170531174                    "</f>
        <v xml:space="preserve">2170531174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3.32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1.4</v>
      </c>
      <c r="BJ1903" s="2">
        <v>0.2</v>
      </c>
      <c r="BK1903" s="2">
        <v>1.5</v>
      </c>
      <c r="BL1903" s="2">
        <v>40.76</v>
      </c>
      <c r="BM1903" s="2">
        <v>5.71</v>
      </c>
      <c r="BN1903" s="2">
        <v>46.47</v>
      </c>
      <c r="BO1903" s="2">
        <v>46.47</v>
      </c>
      <c r="BP1903" s="2"/>
      <c r="BQ1903" s="2" t="s">
        <v>300</v>
      </c>
      <c r="BR1903" s="2" t="s">
        <v>83</v>
      </c>
      <c r="BS1903" s="3">
        <v>42664</v>
      </c>
      <c r="BT1903" s="4">
        <v>0.4375</v>
      </c>
      <c r="BU1903" s="2" t="s">
        <v>431</v>
      </c>
      <c r="BV1903" s="2" t="s">
        <v>85</v>
      </c>
      <c r="BW1903" s="2"/>
      <c r="BX1903" s="2"/>
      <c r="BY1903" s="2">
        <v>1200</v>
      </c>
      <c r="BZ1903" s="2" t="s">
        <v>27</v>
      </c>
      <c r="CA1903" s="2"/>
      <c r="CB1903" s="2"/>
      <c r="CC1903" s="2" t="s">
        <v>270</v>
      </c>
      <c r="CD1903" s="2">
        <v>3610</v>
      </c>
      <c r="CE1903" s="2" t="s">
        <v>108</v>
      </c>
      <c r="CF1903" s="5">
        <v>42667</v>
      </c>
      <c r="CG1903" s="2"/>
      <c r="CH1903" s="2"/>
      <c r="CI1903" s="2">
        <v>1</v>
      </c>
      <c r="CJ1903" s="2">
        <v>1</v>
      </c>
      <c r="CK1903" s="2">
        <v>21</v>
      </c>
      <c r="CL1903" s="2" t="s">
        <v>88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"FES1162508180"</f>
        <v>FES1162508180</v>
      </c>
      <c r="F1904" s="3">
        <v>42663</v>
      </c>
      <c r="G1904" s="2">
        <v>201704</v>
      </c>
      <c r="H1904" s="2" t="s">
        <v>74</v>
      </c>
      <c r="I1904" s="2" t="s">
        <v>75</v>
      </c>
      <c r="J1904" s="2" t="s">
        <v>76</v>
      </c>
      <c r="K1904" s="2" t="s">
        <v>77</v>
      </c>
      <c r="L1904" s="2" t="s">
        <v>148</v>
      </c>
      <c r="M1904" s="2" t="s">
        <v>149</v>
      </c>
      <c r="N1904" s="2" t="s">
        <v>483</v>
      </c>
      <c r="O1904" s="2" t="s">
        <v>96</v>
      </c>
      <c r="P1904" s="2" t="str">
        <f>"2170531465                    "</f>
        <v xml:space="preserve">2170531465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3.32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1</v>
      </c>
      <c r="BJ1904" s="2">
        <v>0.2</v>
      </c>
      <c r="BK1904" s="2">
        <v>1</v>
      </c>
      <c r="BL1904" s="2">
        <v>40.76</v>
      </c>
      <c r="BM1904" s="2">
        <v>5.71</v>
      </c>
      <c r="BN1904" s="2">
        <v>46.47</v>
      </c>
      <c r="BO1904" s="2">
        <v>46.47</v>
      </c>
      <c r="BP1904" s="2"/>
      <c r="BQ1904" s="2" t="s">
        <v>484</v>
      </c>
      <c r="BR1904" s="2" t="s">
        <v>83</v>
      </c>
      <c r="BS1904" s="3">
        <v>42664</v>
      </c>
      <c r="BT1904" s="4">
        <v>0.4375</v>
      </c>
      <c r="BU1904" s="2" t="s">
        <v>2018</v>
      </c>
      <c r="BV1904" s="2"/>
      <c r="BW1904" s="2"/>
      <c r="BX1904" s="2"/>
      <c r="BY1904" s="2">
        <v>1200</v>
      </c>
      <c r="BZ1904" s="2" t="s">
        <v>27</v>
      </c>
      <c r="CA1904" s="2"/>
      <c r="CB1904" s="2"/>
      <c r="CC1904" s="2" t="s">
        <v>149</v>
      </c>
      <c r="CD1904" s="2">
        <v>4001</v>
      </c>
      <c r="CE1904" s="2" t="s">
        <v>108</v>
      </c>
      <c r="CF1904" s="5">
        <v>42667</v>
      </c>
      <c r="CG1904" s="2"/>
      <c r="CH1904" s="2"/>
      <c r="CI1904" s="2">
        <v>0</v>
      </c>
      <c r="CJ1904" s="2">
        <v>0</v>
      </c>
      <c r="CK1904" s="2">
        <v>21</v>
      </c>
      <c r="CL1904" s="2" t="s">
        <v>88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"FES1162508190"</f>
        <v>FES1162508190</v>
      </c>
      <c r="F1905" s="3">
        <v>42663</v>
      </c>
      <c r="G1905" s="2">
        <v>201704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148</v>
      </c>
      <c r="M1905" s="2" t="s">
        <v>149</v>
      </c>
      <c r="N1905" s="2" t="s">
        <v>1232</v>
      </c>
      <c r="O1905" s="2" t="s">
        <v>96</v>
      </c>
      <c r="P1905" s="2" t="str">
        <f>"2170531473                    "</f>
        <v xml:space="preserve">2170531473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3.32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</v>
      </c>
      <c r="BJ1905" s="2">
        <v>0.2</v>
      </c>
      <c r="BK1905" s="2">
        <v>1</v>
      </c>
      <c r="BL1905" s="2">
        <v>40.76</v>
      </c>
      <c r="BM1905" s="2">
        <v>5.71</v>
      </c>
      <c r="BN1905" s="2">
        <v>46.47</v>
      </c>
      <c r="BO1905" s="2">
        <v>46.47</v>
      </c>
      <c r="BP1905" s="2"/>
      <c r="BQ1905" s="2" t="s">
        <v>117</v>
      </c>
      <c r="BR1905" s="2" t="s">
        <v>83</v>
      </c>
      <c r="BS1905" s="3">
        <v>42664</v>
      </c>
      <c r="BT1905" s="4">
        <v>0.4375</v>
      </c>
      <c r="BU1905" s="2" t="s">
        <v>1233</v>
      </c>
      <c r="BV1905" s="2" t="s">
        <v>85</v>
      </c>
      <c r="BW1905" s="2"/>
      <c r="BX1905" s="2"/>
      <c r="BY1905" s="2">
        <v>1200</v>
      </c>
      <c r="BZ1905" s="2" t="s">
        <v>27</v>
      </c>
      <c r="CA1905" s="2"/>
      <c r="CB1905" s="2"/>
      <c r="CC1905" s="2" t="s">
        <v>149</v>
      </c>
      <c r="CD1905" s="2">
        <v>4068</v>
      </c>
      <c r="CE1905" s="2" t="s">
        <v>108</v>
      </c>
      <c r="CF1905" s="5">
        <v>42667</v>
      </c>
      <c r="CG1905" s="2"/>
      <c r="CH1905" s="2"/>
      <c r="CI1905" s="2">
        <v>1</v>
      </c>
      <c r="CJ1905" s="2">
        <v>1</v>
      </c>
      <c r="CK1905" s="2">
        <v>21</v>
      </c>
      <c r="CL1905" s="2" t="s">
        <v>88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"FES1162508092"</f>
        <v>FES1162508092</v>
      </c>
      <c r="F1906" s="3">
        <v>42663</v>
      </c>
      <c r="G1906" s="2">
        <v>201704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269</v>
      </c>
      <c r="M1906" s="2" t="s">
        <v>270</v>
      </c>
      <c r="N1906" s="2" t="s">
        <v>496</v>
      </c>
      <c r="O1906" s="2" t="s">
        <v>96</v>
      </c>
      <c r="P1906" s="2" t="str">
        <f>"2170531429                    "</f>
        <v xml:space="preserve">2170531429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3.32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40.76</v>
      </c>
      <c r="BM1906" s="2">
        <v>5.71</v>
      </c>
      <c r="BN1906" s="2">
        <v>46.47</v>
      </c>
      <c r="BO1906" s="2">
        <v>46.47</v>
      </c>
      <c r="BP1906" s="2"/>
      <c r="BQ1906" s="2" t="s">
        <v>892</v>
      </c>
      <c r="BR1906" s="2" t="s">
        <v>83</v>
      </c>
      <c r="BS1906" s="3">
        <v>42664</v>
      </c>
      <c r="BT1906" s="4">
        <v>0.4375</v>
      </c>
      <c r="BU1906" s="2" t="s">
        <v>2019</v>
      </c>
      <c r="BV1906" s="2" t="s">
        <v>85</v>
      </c>
      <c r="BW1906" s="2"/>
      <c r="BX1906" s="2"/>
      <c r="BY1906" s="2">
        <v>1200</v>
      </c>
      <c r="BZ1906" s="2" t="s">
        <v>27</v>
      </c>
      <c r="CA1906" s="2"/>
      <c r="CB1906" s="2"/>
      <c r="CC1906" s="2" t="s">
        <v>270</v>
      </c>
      <c r="CD1906" s="2">
        <v>3610</v>
      </c>
      <c r="CE1906" s="2" t="s">
        <v>108</v>
      </c>
      <c r="CF1906" s="5">
        <v>42667</v>
      </c>
      <c r="CG1906" s="2"/>
      <c r="CH1906" s="2"/>
      <c r="CI1906" s="2">
        <v>1</v>
      </c>
      <c r="CJ1906" s="2">
        <v>1</v>
      </c>
      <c r="CK1906" s="2">
        <v>21</v>
      </c>
      <c r="CL1906" s="2" t="s">
        <v>88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"FES1162508150"</f>
        <v>FES1162508150</v>
      </c>
      <c r="F1907" s="3">
        <v>42663</v>
      </c>
      <c r="G1907" s="2">
        <v>201704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148</v>
      </c>
      <c r="M1907" s="2" t="s">
        <v>149</v>
      </c>
      <c r="N1907" s="2" t="s">
        <v>2020</v>
      </c>
      <c r="O1907" s="2" t="s">
        <v>96</v>
      </c>
      <c r="P1907" s="2" t="str">
        <f>"2170531434                    "</f>
        <v xml:space="preserve">2170531434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3.32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40.76</v>
      </c>
      <c r="BM1907" s="2">
        <v>5.71</v>
      </c>
      <c r="BN1907" s="2">
        <v>46.47</v>
      </c>
      <c r="BO1907" s="2">
        <v>46.47</v>
      </c>
      <c r="BP1907" s="2"/>
      <c r="BQ1907" s="2" t="s">
        <v>91</v>
      </c>
      <c r="BR1907" s="2" t="s">
        <v>83</v>
      </c>
      <c r="BS1907" s="3">
        <v>42664</v>
      </c>
      <c r="BT1907" s="4">
        <v>0.4375</v>
      </c>
      <c r="BU1907" s="2" t="s">
        <v>238</v>
      </c>
      <c r="BV1907" s="2" t="s">
        <v>85</v>
      </c>
      <c r="BW1907" s="2"/>
      <c r="BX1907" s="2"/>
      <c r="BY1907" s="2">
        <v>1200</v>
      </c>
      <c r="BZ1907" s="2" t="s">
        <v>27</v>
      </c>
      <c r="CA1907" s="2"/>
      <c r="CB1907" s="2"/>
      <c r="CC1907" s="2" t="s">
        <v>149</v>
      </c>
      <c r="CD1907" s="2">
        <v>4068</v>
      </c>
      <c r="CE1907" s="2" t="s">
        <v>108</v>
      </c>
      <c r="CF1907" s="5">
        <v>42667</v>
      </c>
      <c r="CG1907" s="2"/>
      <c r="CH1907" s="2"/>
      <c r="CI1907" s="2">
        <v>1</v>
      </c>
      <c r="CJ1907" s="2">
        <v>1</v>
      </c>
      <c r="CK1907" s="2">
        <v>21</v>
      </c>
      <c r="CL1907" s="2" t="s">
        <v>88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"FES1162508199"</f>
        <v>FES1162508199</v>
      </c>
      <c r="F1908" s="3">
        <v>42663</v>
      </c>
      <c r="G1908" s="2">
        <v>201704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269</v>
      </c>
      <c r="M1908" s="2" t="s">
        <v>270</v>
      </c>
      <c r="N1908" s="2" t="s">
        <v>565</v>
      </c>
      <c r="O1908" s="2" t="s">
        <v>96</v>
      </c>
      <c r="P1908" s="2" t="str">
        <f>"2170531471                    "</f>
        <v xml:space="preserve">2170531471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3.32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1</v>
      </c>
      <c r="BJ1908" s="2">
        <v>0.2</v>
      </c>
      <c r="BK1908" s="2">
        <v>1</v>
      </c>
      <c r="BL1908" s="2">
        <v>40.76</v>
      </c>
      <c r="BM1908" s="2">
        <v>5.71</v>
      </c>
      <c r="BN1908" s="2">
        <v>46.47</v>
      </c>
      <c r="BO1908" s="2">
        <v>46.47</v>
      </c>
      <c r="BP1908" s="2"/>
      <c r="BQ1908" s="2" t="s">
        <v>566</v>
      </c>
      <c r="BR1908" s="2" t="s">
        <v>83</v>
      </c>
      <c r="BS1908" s="3">
        <v>42664</v>
      </c>
      <c r="BT1908" s="4">
        <v>0.43541666666666662</v>
      </c>
      <c r="BU1908" s="2" t="s">
        <v>2021</v>
      </c>
      <c r="BV1908" s="2" t="s">
        <v>85</v>
      </c>
      <c r="BW1908" s="2"/>
      <c r="BX1908" s="2"/>
      <c r="BY1908" s="2">
        <v>1200</v>
      </c>
      <c r="BZ1908" s="2" t="s">
        <v>27</v>
      </c>
      <c r="CA1908" s="2" t="s">
        <v>129</v>
      </c>
      <c r="CB1908" s="2"/>
      <c r="CC1908" s="2" t="s">
        <v>270</v>
      </c>
      <c r="CD1908" s="2">
        <v>3620</v>
      </c>
      <c r="CE1908" s="2" t="s">
        <v>108</v>
      </c>
      <c r="CF1908" s="5">
        <v>42667</v>
      </c>
      <c r="CG1908" s="2"/>
      <c r="CH1908" s="2"/>
      <c r="CI1908" s="2">
        <v>1</v>
      </c>
      <c r="CJ1908" s="2">
        <v>1</v>
      </c>
      <c r="CK1908" s="2">
        <v>21</v>
      </c>
      <c r="CL1908" s="2" t="s">
        <v>88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"FES1162508139"</f>
        <v>FES1162508139</v>
      </c>
      <c r="F1909" s="3">
        <v>42663</v>
      </c>
      <c r="G1909" s="2">
        <v>201704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491</v>
      </c>
      <c r="M1909" s="2" t="s">
        <v>492</v>
      </c>
      <c r="N1909" s="2" t="s">
        <v>493</v>
      </c>
      <c r="O1909" s="2" t="s">
        <v>96</v>
      </c>
      <c r="P1909" s="2" t="str">
        <f>"2170530849                    "</f>
        <v xml:space="preserve">2170530849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3.32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1</v>
      </c>
      <c r="BJ1909" s="2">
        <v>0.2</v>
      </c>
      <c r="BK1909" s="2">
        <v>1</v>
      </c>
      <c r="BL1909" s="2">
        <v>40.76</v>
      </c>
      <c r="BM1909" s="2">
        <v>5.71</v>
      </c>
      <c r="BN1909" s="2">
        <v>46.47</v>
      </c>
      <c r="BO1909" s="2">
        <v>46.47</v>
      </c>
      <c r="BP1909" s="2"/>
      <c r="BQ1909" s="2" t="s">
        <v>494</v>
      </c>
      <c r="BR1909" s="2" t="s">
        <v>83</v>
      </c>
      <c r="BS1909" s="3">
        <v>42664</v>
      </c>
      <c r="BT1909" s="4">
        <v>0.4375</v>
      </c>
      <c r="BU1909" s="2" t="s">
        <v>495</v>
      </c>
      <c r="BV1909" s="2" t="s">
        <v>85</v>
      </c>
      <c r="BW1909" s="2"/>
      <c r="BX1909" s="2"/>
      <c r="BY1909" s="2">
        <v>1200</v>
      </c>
      <c r="BZ1909" s="2" t="s">
        <v>27</v>
      </c>
      <c r="CA1909" s="2"/>
      <c r="CB1909" s="2"/>
      <c r="CC1909" s="2" t="s">
        <v>492</v>
      </c>
      <c r="CD1909" s="2">
        <v>3699</v>
      </c>
      <c r="CE1909" s="2" t="s">
        <v>108</v>
      </c>
      <c r="CF1909" s="5">
        <v>42667</v>
      </c>
      <c r="CG1909" s="2"/>
      <c r="CH1909" s="2"/>
      <c r="CI1909" s="2">
        <v>1</v>
      </c>
      <c r="CJ1909" s="2">
        <v>1</v>
      </c>
      <c r="CK1909" s="2">
        <v>21</v>
      </c>
      <c r="CL1909" s="2" t="s">
        <v>88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"FES1162508141"</f>
        <v>FES1162508141</v>
      </c>
      <c r="F1910" s="3">
        <v>42663</v>
      </c>
      <c r="G1910" s="2">
        <v>201704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510</v>
      </c>
      <c r="M1910" s="2" t="s">
        <v>511</v>
      </c>
      <c r="N1910" s="2" t="s">
        <v>982</v>
      </c>
      <c r="O1910" s="2" t="s">
        <v>96</v>
      </c>
      <c r="P1910" s="2" t="str">
        <f>"2170531163                    "</f>
        <v xml:space="preserve">2170531163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3.32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40.76</v>
      </c>
      <c r="BM1910" s="2">
        <v>5.71</v>
      </c>
      <c r="BN1910" s="2">
        <v>46.47</v>
      </c>
      <c r="BO1910" s="2">
        <v>46.47</v>
      </c>
      <c r="BP1910" s="2"/>
      <c r="BQ1910" s="2" t="s">
        <v>983</v>
      </c>
      <c r="BR1910" s="2" t="s">
        <v>83</v>
      </c>
      <c r="BS1910" s="3">
        <v>42664</v>
      </c>
      <c r="BT1910" s="4">
        <v>0.4375</v>
      </c>
      <c r="BU1910" s="2" t="s">
        <v>984</v>
      </c>
      <c r="BV1910" s="2" t="s">
        <v>85</v>
      </c>
      <c r="BW1910" s="2"/>
      <c r="BX1910" s="2"/>
      <c r="BY1910" s="2">
        <v>1200</v>
      </c>
      <c r="BZ1910" s="2" t="s">
        <v>27</v>
      </c>
      <c r="CA1910" s="2"/>
      <c r="CB1910" s="2"/>
      <c r="CC1910" s="2" t="s">
        <v>511</v>
      </c>
      <c r="CD1910" s="2">
        <v>3290</v>
      </c>
      <c r="CE1910" s="2" t="s">
        <v>108</v>
      </c>
      <c r="CF1910" s="5">
        <v>42667</v>
      </c>
      <c r="CG1910" s="2"/>
      <c r="CH1910" s="2"/>
      <c r="CI1910" s="2">
        <v>1</v>
      </c>
      <c r="CJ1910" s="2">
        <v>1</v>
      </c>
      <c r="CK1910" s="2">
        <v>21</v>
      </c>
      <c r="CL1910" s="2" t="s">
        <v>88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"FES1162508128"</f>
        <v>FES1162508128</v>
      </c>
      <c r="F1911" s="3">
        <v>42663</v>
      </c>
      <c r="G1911" s="2">
        <v>201704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148</v>
      </c>
      <c r="M1911" s="2" t="s">
        <v>149</v>
      </c>
      <c r="N1911" s="2" t="s">
        <v>1107</v>
      </c>
      <c r="O1911" s="2" t="s">
        <v>96</v>
      </c>
      <c r="P1911" s="2" t="str">
        <f>"2170529285                    "</f>
        <v xml:space="preserve">2170529285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3.32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1</v>
      </c>
      <c r="BJ1911" s="2">
        <v>0.2</v>
      </c>
      <c r="BK1911" s="2">
        <v>1</v>
      </c>
      <c r="BL1911" s="2">
        <v>40.76</v>
      </c>
      <c r="BM1911" s="2">
        <v>5.71</v>
      </c>
      <c r="BN1911" s="2">
        <v>46.47</v>
      </c>
      <c r="BO1911" s="2">
        <v>46.47</v>
      </c>
      <c r="BP1911" s="2"/>
      <c r="BQ1911" s="2" t="s">
        <v>91</v>
      </c>
      <c r="BR1911" s="2" t="s">
        <v>83</v>
      </c>
      <c r="BS1911" s="3">
        <v>42664</v>
      </c>
      <c r="BT1911" s="4">
        <v>0.4375</v>
      </c>
      <c r="BU1911" s="2" t="s">
        <v>2022</v>
      </c>
      <c r="BV1911" s="2" t="s">
        <v>85</v>
      </c>
      <c r="BW1911" s="2"/>
      <c r="BX1911" s="2"/>
      <c r="BY1911" s="2">
        <v>1200</v>
      </c>
      <c r="BZ1911" s="2" t="s">
        <v>27</v>
      </c>
      <c r="CA1911" s="2"/>
      <c r="CB1911" s="2"/>
      <c r="CC1911" s="2" t="s">
        <v>149</v>
      </c>
      <c r="CD1911" s="2">
        <v>4051</v>
      </c>
      <c r="CE1911" s="2" t="s">
        <v>108</v>
      </c>
      <c r="CF1911" s="5">
        <v>42667</v>
      </c>
      <c r="CG1911" s="2"/>
      <c r="CH1911" s="2"/>
      <c r="CI1911" s="2">
        <v>1</v>
      </c>
      <c r="CJ1911" s="2">
        <v>1</v>
      </c>
      <c r="CK1911" s="2">
        <v>21</v>
      </c>
      <c r="CL1911" s="2" t="s">
        <v>88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"FES1162508130"</f>
        <v>FES1162508130</v>
      </c>
      <c r="F1912" s="3">
        <v>42663</v>
      </c>
      <c r="G1912" s="2">
        <v>201704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93</v>
      </c>
      <c r="M1912" s="2" t="s">
        <v>94</v>
      </c>
      <c r="N1912" s="2" t="s">
        <v>130</v>
      </c>
      <c r="O1912" s="2" t="s">
        <v>96</v>
      </c>
      <c r="P1912" s="2" t="str">
        <f>"2170529302                    "</f>
        <v xml:space="preserve">2170529302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3.32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0.2</v>
      </c>
      <c r="BK1912" s="2">
        <v>1</v>
      </c>
      <c r="BL1912" s="2">
        <v>40.76</v>
      </c>
      <c r="BM1912" s="2">
        <v>5.71</v>
      </c>
      <c r="BN1912" s="2">
        <v>46.47</v>
      </c>
      <c r="BO1912" s="2">
        <v>46.47</v>
      </c>
      <c r="BP1912" s="2"/>
      <c r="BQ1912" s="2" t="s">
        <v>131</v>
      </c>
      <c r="BR1912" s="2" t="s">
        <v>83</v>
      </c>
      <c r="BS1912" s="3">
        <v>42664</v>
      </c>
      <c r="BT1912" s="4">
        <v>0.4375</v>
      </c>
      <c r="BU1912" s="2" t="s">
        <v>2001</v>
      </c>
      <c r="BV1912" s="2" t="s">
        <v>85</v>
      </c>
      <c r="BW1912" s="2"/>
      <c r="BX1912" s="2"/>
      <c r="BY1912" s="2">
        <v>1200</v>
      </c>
      <c r="BZ1912" s="2" t="s">
        <v>27</v>
      </c>
      <c r="CA1912" s="2"/>
      <c r="CB1912" s="2"/>
      <c r="CC1912" s="2" t="s">
        <v>94</v>
      </c>
      <c r="CD1912" s="2">
        <v>4302</v>
      </c>
      <c r="CE1912" s="2" t="s">
        <v>108</v>
      </c>
      <c r="CF1912" s="5">
        <v>42667</v>
      </c>
      <c r="CG1912" s="2"/>
      <c r="CH1912" s="2"/>
      <c r="CI1912" s="2">
        <v>1</v>
      </c>
      <c r="CJ1912" s="2">
        <v>1</v>
      </c>
      <c r="CK1912" s="2">
        <v>21</v>
      </c>
      <c r="CL1912" s="2" t="s">
        <v>88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"FES1162508183"</f>
        <v>FES1162508183</v>
      </c>
      <c r="F1913" s="3">
        <v>42663</v>
      </c>
      <c r="G1913" s="2">
        <v>201704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148</v>
      </c>
      <c r="M1913" s="2" t="s">
        <v>149</v>
      </c>
      <c r="N1913" s="2" t="s">
        <v>1647</v>
      </c>
      <c r="O1913" s="2" t="s">
        <v>96</v>
      </c>
      <c r="P1913" s="2" t="str">
        <f>"2170531474                    "</f>
        <v xml:space="preserve">2170531474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3.32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</v>
      </c>
      <c r="BJ1913" s="2">
        <v>0.2</v>
      </c>
      <c r="BK1913" s="2">
        <v>1</v>
      </c>
      <c r="BL1913" s="2">
        <v>40.76</v>
      </c>
      <c r="BM1913" s="2">
        <v>5.71</v>
      </c>
      <c r="BN1913" s="2">
        <v>46.47</v>
      </c>
      <c r="BO1913" s="2">
        <v>46.47</v>
      </c>
      <c r="BP1913" s="2"/>
      <c r="BQ1913" s="2" t="s">
        <v>1648</v>
      </c>
      <c r="BR1913" s="2" t="s">
        <v>83</v>
      </c>
      <c r="BS1913" s="3">
        <v>42664</v>
      </c>
      <c r="BT1913" s="4">
        <v>0.4375</v>
      </c>
      <c r="BU1913" s="2" t="s">
        <v>2002</v>
      </c>
      <c r="BV1913" s="2" t="s">
        <v>85</v>
      </c>
      <c r="BW1913" s="2"/>
      <c r="BX1913" s="2"/>
      <c r="BY1913" s="2">
        <v>1200</v>
      </c>
      <c r="BZ1913" s="2" t="s">
        <v>27</v>
      </c>
      <c r="CA1913" s="2"/>
      <c r="CB1913" s="2"/>
      <c r="CC1913" s="2" t="s">
        <v>149</v>
      </c>
      <c r="CD1913" s="2">
        <v>4001</v>
      </c>
      <c r="CE1913" s="2" t="s">
        <v>108</v>
      </c>
      <c r="CF1913" s="5">
        <v>42667</v>
      </c>
      <c r="CG1913" s="2"/>
      <c r="CH1913" s="2"/>
      <c r="CI1913" s="2">
        <v>1</v>
      </c>
      <c r="CJ1913" s="2">
        <v>1</v>
      </c>
      <c r="CK1913" s="2">
        <v>21</v>
      </c>
      <c r="CL1913" s="2" t="s">
        <v>88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"FES1162508208"</f>
        <v>FES1162508208</v>
      </c>
      <c r="F1914" s="3">
        <v>42663</v>
      </c>
      <c r="G1914" s="2">
        <v>201704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98</v>
      </c>
      <c r="M1914" s="2" t="s">
        <v>99</v>
      </c>
      <c r="N1914" s="2" t="s">
        <v>109</v>
      </c>
      <c r="O1914" s="2" t="s">
        <v>96</v>
      </c>
      <c r="P1914" s="2" t="str">
        <f>"2170528068                    "</f>
        <v xml:space="preserve">2170528068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3.32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1</v>
      </c>
      <c r="BJ1914" s="2">
        <v>0.2</v>
      </c>
      <c r="BK1914" s="2">
        <v>1</v>
      </c>
      <c r="BL1914" s="2">
        <v>40.76</v>
      </c>
      <c r="BM1914" s="2">
        <v>5.71</v>
      </c>
      <c r="BN1914" s="2">
        <v>46.47</v>
      </c>
      <c r="BO1914" s="2">
        <v>46.47</v>
      </c>
      <c r="BP1914" s="2"/>
      <c r="BQ1914" s="2" t="s">
        <v>110</v>
      </c>
      <c r="BR1914" s="2" t="s">
        <v>83</v>
      </c>
      <c r="BS1914" s="3">
        <v>42664</v>
      </c>
      <c r="BT1914" s="4">
        <v>0.3611111111111111</v>
      </c>
      <c r="BU1914" s="2" t="s">
        <v>1998</v>
      </c>
      <c r="BV1914" s="2" t="s">
        <v>85</v>
      </c>
      <c r="BW1914" s="2"/>
      <c r="BX1914" s="2"/>
      <c r="BY1914" s="2">
        <v>1200</v>
      </c>
      <c r="BZ1914" s="2" t="s">
        <v>27</v>
      </c>
      <c r="CA1914" s="2" t="s">
        <v>129</v>
      </c>
      <c r="CB1914" s="2"/>
      <c r="CC1914" s="2" t="s">
        <v>99</v>
      </c>
      <c r="CD1914" s="2">
        <v>6001</v>
      </c>
      <c r="CE1914" s="2" t="s">
        <v>108</v>
      </c>
      <c r="CF1914" s="5">
        <v>42667</v>
      </c>
      <c r="CG1914" s="2"/>
      <c r="CH1914" s="2"/>
      <c r="CI1914" s="2">
        <v>1</v>
      </c>
      <c r="CJ1914" s="2">
        <v>1</v>
      </c>
      <c r="CK1914" s="2">
        <v>21</v>
      </c>
      <c r="CL1914" s="2" t="s">
        <v>88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"FES1162508147"</f>
        <v>FES1162508147</v>
      </c>
      <c r="F1915" s="3">
        <v>42663</v>
      </c>
      <c r="G1915" s="2">
        <v>201704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119</v>
      </c>
      <c r="M1915" s="2" t="s">
        <v>120</v>
      </c>
      <c r="N1915" s="2" t="s">
        <v>186</v>
      </c>
      <c r="O1915" s="2" t="s">
        <v>96</v>
      </c>
      <c r="P1915" s="2" t="str">
        <f>"2170531427                    "</f>
        <v xml:space="preserve">2170531427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3.32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1</v>
      </c>
      <c r="BJ1915" s="2">
        <v>0.2</v>
      </c>
      <c r="BK1915" s="2">
        <v>1</v>
      </c>
      <c r="BL1915" s="2">
        <v>40.76</v>
      </c>
      <c r="BM1915" s="2">
        <v>5.71</v>
      </c>
      <c r="BN1915" s="2">
        <v>46.47</v>
      </c>
      <c r="BO1915" s="2">
        <v>46.47</v>
      </c>
      <c r="BP1915" s="2"/>
      <c r="BQ1915" s="2" t="s">
        <v>187</v>
      </c>
      <c r="BR1915" s="2" t="s">
        <v>83</v>
      </c>
      <c r="BS1915" s="3">
        <v>42664</v>
      </c>
      <c r="BT1915" s="4">
        <v>0.3215277777777778</v>
      </c>
      <c r="BU1915" s="2" t="s">
        <v>627</v>
      </c>
      <c r="BV1915" s="2" t="s">
        <v>85</v>
      </c>
      <c r="BW1915" s="2"/>
      <c r="BX1915" s="2"/>
      <c r="BY1915" s="2">
        <v>1200</v>
      </c>
      <c r="BZ1915" s="2" t="s">
        <v>27</v>
      </c>
      <c r="CA1915" s="2"/>
      <c r="CB1915" s="2"/>
      <c r="CC1915" s="2" t="s">
        <v>120</v>
      </c>
      <c r="CD1915" s="2">
        <v>6229</v>
      </c>
      <c r="CE1915" s="2" t="s">
        <v>108</v>
      </c>
      <c r="CF1915" s="5">
        <v>42667</v>
      </c>
      <c r="CG1915" s="2"/>
      <c r="CH1915" s="2"/>
      <c r="CI1915" s="2">
        <v>1</v>
      </c>
      <c r="CJ1915" s="2">
        <v>1</v>
      </c>
      <c r="CK1915" s="2">
        <v>21</v>
      </c>
      <c r="CL1915" s="2" t="s">
        <v>88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"FES1162508133"</f>
        <v>FES1162508133</v>
      </c>
      <c r="F1916" s="3">
        <v>42663</v>
      </c>
      <c r="G1916" s="2">
        <v>201704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98</v>
      </c>
      <c r="M1916" s="2" t="s">
        <v>99</v>
      </c>
      <c r="N1916" s="2" t="s">
        <v>1687</v>
      </c>
      <c r="O1916" s="2" t="s">
        <v>96</v>
      </c>
      <c r="P1916" s="2" t="str">
        <f>"2170529336                    "</f>
        <v xml:space="preserve">2170529336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3.32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40.76</v>
      </c>
      <c r="BM1916" s="2">
        <v>5.71</v>
      </c>
      <c r="BN1916" s="2">
        <v>46.47</v>
      </c>
      <c r="BO1916" s="2">
        <v>46.47</v>
      </c>
      <c r="BP1916" s="2"/>
      <c r="BQ1916" s="2" t="s">
        <v>1688</v>
      </c>
      <c r="BR1916" s="2" t="s">
        <v>83</v>
      </c>
      <c r="BS1916" s="3">
        <v>42664</v>
      </c>
      <c r="BT1916" s="4">
        <v>0.43055555555555558</v>
      </c>
      <c r="BU1916" s="2" t="s">
        <v>1843</v>
      </c>
      <c r="BV1916" s="2" t="s">
        <v>85</v>
      </c>
      <c r="BW1916" s="2"/>
      <c r="BX1916" s="2"/>
      <c r="BY1916" s="2">
        <v>1200</v>
      </c>
      <c r="BZ1916" s="2" t="s">
        <v>27</v>
      </c>
      <c r="CA1916" s="2" t="s">
        <v>437</v>
      </c>
      <c r="CB1916" s="2"/>
      <c r="CC1916" s="2" t="s">
        <v>99</v>
      </c>
      <c r="CD1916" s="2">
        <v>6001</v>
      </c>
      <c r="CE1916" s="2" t="s">
        <v>108</v>
      </c>
      <c r="CF1916" s="5">
        <v>42664</v>
      </c>
      <c r="CG1916" s="2"/>
      <c r="CH1916" s="2"/>
      <c r="CI1916" s="2">
        <v>1</v>
      </c>
      <c r="CJ1916" s="2">
        <v>1</v>
      </c>
      <c r="CK1916" s="2">
        <v>21</v>
      </c>
      <c r="CL1916" s="2" t="s">
        <v>88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"FES1162508212"</f>
        <v>FES1162508212</v>
      </c>
      <c r="F1917" s="3">
        <v>42663</v>
      </c>
      <c r="G1917" s="2">
        <v>201704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2023</v>
      </c>
      <c r="M1917" s="2" t="s">
        <v>2024</v>
      </c>
      <c r="N1917" s="2" t="s">
        <v>2025</v>
      </c>
      <c r="O1917" s="2" t="s">
        <v>96</v>
      </c>
      <c r="P1917" s="2" t="str">
        <f>"2170531513                    "</f>
        <v xml:space="preserve">2170531513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6.43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</v>
      </c>
      <c r="BJ1917" s="2">
        <v>0.2</v>
      </c>
      <c r="BK1917" s="2">
        <v>1</v>
      </c>
      <c r="BL1917" s="2">
        <v>78.97</v>
      </c>
      <c r="BM1917" s="2">
        <v>11.06</v>
      </c>
      <c r="BN1917" s="2">
        <v>90.03</v>
      </c>
      <c r="BO1917" s="2">
        <v>90.03</v>
      </c>
      <c r="BP1917" s="2"/>
      <c r="BQ1917" s="2" t="s">
        <v>168</v>
      </c>
      <c r="BR1917" s="2" t="s">
        <v>83</v>
      </c>
      <c r="BS1917" s="3">
        <v>42664</v>
      </c>
      <c r="BT1917" s="4">
        <v>0.4201388888888889</v>
      </c>
      <c r="BU1917" s="2" t="s">
        <v>2026</v>
      </c>
      <c r="BV1917" s="2" t="s">
        <v>85</v>
      </c>
      <c r="BW1917" s="2"/>
      <c r="BX1917" s="2"/>
      <c r="BY1917" s="2">
        <v>1200</v>
      </c>
      <c r="BZ1917" s="2" t="s">
        <v>27</v>
      </c>
      <c r="CA1917" s="2"/>
      <c r="CB1917" s="2"/>
      <c r="CC1917" s="2" t="s">
        <v>2024</v>
      </c>
      <c r="CD1917" s="2">
        <v>9445</v>
      </c>
      <c r="CE1917" s="2" t="s">
        <v>108</v>
      </c>
      <c r="CF1917" s="5">
        <v>42668</v>
      </c>
      <c r="CG1917" s="2"/>
      <c r="CH1917" s="2"/>
      <c r="CI1917" s="2">
        <v>3</v>
      </c>
      <c r="CJ1917" s="2">
        <v>1</v>
      </c>
      <c r="CK1917" s="2">
        <v>23</v>
      </c>
      <c r="CL1917" s="2" t="s">
        <v>88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"FES1162508063"</f>
        <v>FES1162508063</v>
      </c>
      <c r="F1918" s="3">
        <v>42663</v>
      </c>
      <c r="G1918" s="2">
        <v>201704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153</v>
      </c>
      <c r="M1918" s="2" t="s">
        <v>153</v>
      </c>
      <c r="N1918" s="2" t="s">
        <v>200</v>
      </c>
      <c r="O1918" s="2" t="s">
        <v>96</v>
      </c>
      <c r="P1918" s="2" t="str">
        <f>"2170531386                    "</f>
        <v xml:space="preserve">2170531386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9.9499999999999993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5.6</v>
      </c>
      <c r="BJ1918" s="2">
        <v>2.5</v>
      </c>
      <c r="BK1918" s="2">
        <v>6</v>
      </c>
      <c r="BL1918" s="2">
        <v>122.27</v>
      </c>
      <c r="BM1918" s="2">
        <v>17.12</v>
      </c>
      <c r="BN1918" s="2">
        <v>139.38999999999999</v>
      </c>
      <c r="BO1918" s="2">
        <v>139.38999999999999</v>
      </c>
      <c r="BP1918" s="2"/>
      <c r="BQ1918" s="2" t="s">
        <v>201</v>
      </c>
      <c r="BR1918" s="2" t="s">
        <v>83</v>
      </c>
      <c r="BS1918" s="3">
        <v>42664</v>
      </c>
      <c r="BT1918" s="4">
        <v>0.5493055555555556</v>
      </c>
      <c r="BU1918" s="2" t="s">
        <v>448</v>
      </c>
      <c r="BV1918" s="2" t="s">
        <v>85</v>
      </c>
      <c r="BW1918" s="2"/>
      <c r="BX1918" s="2"/>
      <c r="BY1918" s="2">
        <v>12469.6</v>
      </c>
      <c r="BZ1918" s="2" t="s">
        <v>27</v>
      </c>
      <c r="CA1918" s="2"/>
      <c r="CB1918" s="2"/>
      <c r="CC1918" s="2" t="s">
        <v>153</v>
      </c>
      <c r="CD1918" s="2">
        <v>7646</v>
      </c>
      <c r="CE1918" s="2" t="s">
        <v>86</v>
      </c>
      <c r="CF1918" s="5">
        <v>42667</v>
      </c>
      <c r="CG1918" s="2"/>
      <c r="CH1918" s="2"/>
      <c r="CI1918" s="2">
        <v>1</v>
      </c>
      <c r="CJ1918" s="2">
        <v>1</v>
      </c>
      <c r="CK1918" s="2">
        <v>21</v>
      </c>
      <c r="CL1918" s="2" t="s">
        <v>88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"FES1162508021"</f>
        <v>FES1162508021</v>
      </c>
      <c r="F1919" s="3">
        <v>42663</v>
      </c>
      <c r="G1919" s="2">
        <v>201704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898</v>
      </c>
      <c r="M1919" s="2" t="s">
        <v>899</v>
      </c>
      <c r="N1919" s="2" t="s">
        <v>2027</v>
      </c>
      <c r="O1919" s="2" t="s">
        <v>96</v>
      </c>
      <c r="P1919" s="2" t="str">
        <f>"2170531341                    "</f>
        <v xml:space="preserve">2170531341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47.27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28.2</v>
      </c>
      <c r="BJ1919" s="2">
        <v>14.3</v>
      </c>
      <c r="BK1919" s="2">
        <v>28.5</v>
      </c>
      <c r="BL1919" s="2">
        <v>580.79</v>
      </c>
      <c r="BM1919" s="2">
        <v>81.31</v>
      </c>
      <c r="BN1919" s="2">
        <v>662.1</v>
      </c>
      <c r="BO1919" s="2">
        <v>662.1</v>
      </c>
      <c r="BP1919" s="2"/>
      <c r="BQ1919" s="2" t="s">
        <v>2028</v>
      </c>
      <c r="BR1919" s="2" t="s">
        <v>83</v>
      </c>
      <c r="BS1919" s="3">
        <v>42664</v>
      </c>
      <c r="BT1919" s="4">
        <v>0.41666666666666669</v>
      </c>
      <c r="BU1919" s="2" t="s">
        <v>2029</v>
      </c>
      <c r="BV1919" s="2" t="s">
        <v>85</v>
      </c>
      <c r="BW1919" s="2"/>
      <c r="BX1919" s="2"/>
      <c r="BY1919" s="2">
        <v>71734.42</v>
      </c>
      <c r="BZ1919" s="2" t="s">
        <v>27</v>
      </c>
      <c r="CA1919" s="2"/>
      <c r="CB1919" s="2"/>
      <c r="CC1919" s="2" t="s">
        <v>899</v>
      </c>
      <c r="CD1919" s="2">
        <v>7655</v>
      </c>
      <c r="CE1919" s="2" t="s">
        <v>86</v>
      </c>
      <c r="CF1919" s="5">
        <v>42667</v>
      </c>
      <c r="CG1919" s="2"/>
      <c r="CH1919" s="2"/>
      <c r="CI1919" s="2">
        <v>1</v>
      </c>
      <c r="CJ1919" s="2">
        <v>1</v>
      </c>
      <c r="CK1919" s="2">
        <v>21</v>
      </c>
      <c r="CL1919" s="2" t="s">
        <v>88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"FES1162508223"</f>
        <v>FES1162508223</v>
      </c>
      <c r="F1920" s="3">
        <v>42663</v>
      </c>
      <c r="G1920" s="2">
        <v>201704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98</v>
      </c>
      <c r="M1920" s="2" t="s">
        <v>99</v>
      </c>
      <c r="N1920" s="2" t="s">
        <v>176</v>
      </c>
      <c r="O1920" s="2" t="s">
        <v>96</v>
      </c>
      <c r="P1920" s="2" t="str">
        <f>"2170531522                    "</f>
        <v xml:space="preserve">2170531522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3.32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</v>
      </c>
      <c r="BJ1920" s="2">
        <v>0.2</v>
      </c>
      <c r="BK1920" s="2">
        <v>1</v>
      </c>
      <c r="BL1920" s="2">
        <v>40.76</v>
      </c>
      <c r="BM1920" s="2">
        <v>5.71</v>
      </c>
      <c r="BN1920" s="2">
        <v>46.47</v>
      </c>
      <c r="BO1920" s="2">
        <v>46.47</v>
      </c>
      <c r="BP1920" s="2"/>
      <c r="BQ1920" s="2" t="s">
        <v>91</v>
      </c>
      <c r="BR1920" s="2" t="s">
        <v>83</v>
      </c>
      <c r="BS1920" s="3">
        <v>42664</v>
      </c>
      <c r="BT1920" s="4">
        <v>0.37152777777777773</v>
      </c>
      <c r="BU1920" s="2" t="s">
        <v>2030</v>
      </c>
      <c r="BV1920" s="2" t="s">
        <v>85</v>
      </c>
      <c r="BW1920" s="2"/>
      <c r="BX1920" s="2"/>
      <c r="BY1920" s="2">
        <v>1200</v>
      </c>
      <c r="BZ1920" s="2" t="s">
        <v>27</v>
      </c>
      <c r="CA1920" s="2" t="s">
        <v>437</v>
      </c>
      <c r="CB1920" s="2"/>
      <c r="CC1920" s="2" t="s">
        <v>99</v>
      </c>
      <c r="CD1920" s="2">
        <v>6020</v>
      </c>
      <c r="CE1920" s="2" t="s">
        <v>108</v>
      </c>
      <c r="CF1920" s="5">
        <v>42664</v>
      </c>
      <c r="CG1920" s="2"/>
      <c r="CH1920" s="2"/>
      <c r="CI1920" s="2">
        <v>1</v>
      </c>
      <c r="CJ1920" s="2">
        <v>1</v>
      </c>
      <c r="CK1920" s="2">
        <v>21</v>
      </c>
      <c r="CL1920" s="2" t="s">
        <v>88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"FES1162508122"</f>
        <v>FES1162508122</v>
      </c>
      <c r="F1921" s="3">
        <v>42663</v>
      </c>
      <c r="G1921" s="2">
        <v>201704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119</v>
      </c>
      <c r="M1921" s="2" t="s">
        <v>120</v>
      </c>
      <c r="N1921" s="2" t="s">
        <v>186</v>
      </c>
      <c r="O1921" s="2" t="s">
        <v>96</v>
      </c>
      <c r="P1921" s="2" t="str">
        <f>"2170529197                    "</f>
        <v xml:space="preserve">2170529197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7.46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4.0999999999999996</v>
      </c>
      <c r="BJ1921" s="2">
        <v>3.5</v>
      </c>
      <c r="BK1921" s="2">
        <v>4.5</v>
      </c>
      <c r="BL1921" s="2">
        <v>91.7</v>
      </c>
      <c r="BM1921" s="2">
        <v>12.84</v>
      </c>
      <c r="BN1921" s="2">
        <v>104.54</v>
      </c>
      <c r="BO1921" s="2">
        <v>104.54</v>
      </c>
      <c r="BP1921" s="2"/>
      <c r="BQ1921" s="2" t="s">
        <v>2031</v>
      </c>
      <c r="BR1921" s="2" t="s">
        <v>83</v>
      </c>
      <c r="BS1921" s="3">
        <v>42664</v>
      </c>
      <c r="BT1921" s="4">
        <v>0.3215277777777778</v>
      </c>
      <c r="BU1921" s="2" t="s">
        <v>627</v>
      </c>
      <c r="BV1921" s="2" t="s">
        <v>85</v>
      </c>
      <c r="BW1921" s="2"/>
      <c r="BX1921" s="2"/>
      <c r="BY1921" s="2">
        <v>17621.02</v>
      </c>
      <c r="BZ1921" s="2" t="s">
        <v>27</v>
      </c>
      <c r="CA1921" s="2"/>
      <c r="CB1921" s="2"/>
      <c r="CC1921" s="2" t="s">
        <v>120</v>
      </c>
      <c r="CD1921" s="2">
        <v>6229</v>
      </c>
      <c r="CE1921" s="2" t="s">
        <v>86</v>
      </c>
      <c r="CF1921" s="5">
        <v>42667</v>
      </c>
      <c r="CG1921" s="2"/>
      <c r="CH1921" s="2"/>
      <c r="CI1921" s="2">
        <v>1</v>
      </c>
      <c r="CJ1921" s="2">
        <v>1</v>
      </c>
      <c r="CK1921" s="2">
        <v>21</v>
      </c>
      <c r="CL1921" s="2" t="s">
        <v>88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"FES1162508140"</f>
        <v>FES1162508140</v>
      </c>
      <c r="F1922" s="3">
        <v>42663</v>
      </c>
      <c r="G1922" s="2">
        <v>201704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98</v>
      </c>
      <c r="M1922" s="2" t="s">
        <v>99</v>
      </c>
      <c r="N1922" s="2" t="s">
        <v>1011</v>
      </c>
      <c r="O1922" s="2" t="s">
        <v>96</v>
      </c>
      <c r="P1922" s="2" t="str">
        <f>"2170531128                    "</f>
        <v xml:space="preserve">2170531128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33.17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14.6</v>
      </c>
      <c r="BJ1922" s="2">
        <v>19.8</v>
      </c>
      <c r="BK1922" s="2">
        <v>20</v>
      </c>
      <c r="BL1922" s="2">
        <v>407.57</v>
      </c>
      <c r="BM1922" s="2">
        <v>57.06</v>
      </c>
      <c r="BN1922" s="2">
        <v>464.63</v>
      </c>
      <c r="BO1922" s="2">
        <v>464.63</v>
      </c>
      <c r="BP1922" s="2"/>
      <c r="BQ1922" s="2" t="s">
        <v>117</v>
      </c>
      <c r="BR1922" s="2" t="s">
        <v>83</v>
      </c>
      <c r="BS1922" s="3">
        <v>42664</v>
      </c>
      <c r="BT1922" s="4">
        <v>0.29652777777777778</v>
      </c>
      <c r="BU1922" s="2" t="s">
        <v>554</v>
      </c>
      <c r="BV1922" s="2" t="s">
        <v>85</v>
      </c>
      <c r="BW1922" s="2"/>
      <c r="BX1922" s="2"/>
      <c r="BY1922" s="2">
        <v>98887.25</v>
      </c>
      <c r="BZ1922" s="2" t="s">
        <v>27</v>
      </c>
      <c r="CA1922" s="2"/>
      <c r="CB1922" s="2"/>
      <c r="CC1922" s="2" t="s">
        <v>99</v>
      </c>
      <c r="CD1922" s="2">
        <v>6001</v>
      </c>
      <c r="CE1922" s="2" t="s">
        <v>86</v>
      </c>
      <c r="CF1922" s="5">
        <v>42667</v>
      </c>
      <c r="CG1922" s="2"/>
      <c r="CH1922" s="2"/>
      <c r="CI1922" s="2">
        <v>1</v>
      </c>
      <c r="CJ1922" s="2">
        <v>1</v>
      </c>
      <c r="CK1922" s="2">
        <v>21</v>
      </c>
      <c r="CL1922" s="2" t="s">
        <v>88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"FES1162508268"</f>
        <v>FES1162508268</v>
      </c>
      <c r="F1923" s="3">
        <v>42663</v>
      </c>
      <c r="G1923" s="2">
        <v>201704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269</v>
      </c>
      <c r="M1923" s="2" t="s">
        <v>270</v>
      </c>
      <c r="N1923" s="2" t="s">
        <v>1504</v>
      </c>
      <c r="O1923" s="2" t="s">
        <v>96</v>
      </c>
      <c r="P1923" s="2" t="str">
        <f>"2170531565                    "</f>
        <v xml:space="preserve">2170531565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3.32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1</v>
      </c>
      <c r="BJ1923" s="2">
        <v>0.2</v>
      </c>
      <c r="BK1923" s="2">
        <v>1</v>
      </c>
      <c r="BL1923" s="2">
        <v>40.76</v>
      </c>
      <c r="BM1923" s="2">
        <v>5.71</v>
      </c>
      <c r="BN1923" s="2">
        <v>46.47</v>
      </c>
      <c r="BO1923" s="2">
        <v>46.47</v>
      </c>
      <c r="BP1923" s="2"/>
      <c r="BQ1923" s="2" t="s">
        <v>168</v>
      </c>
      <c r="BR1923" s="2" t="s">
        <v>83</v>
      </c>
      <c r="BS1923" s="3">
        <v>42664</v>
      </c>
      <c r="BT1923" s="4">
        <v>0.34375</v>
      </c>
      <c r="BU1923" s="2" t="s">
        <v>2032</v>
      </c>
      <c r="BV1923" s="2" t="s">
        <v>85</v>
      </c>
      <c r="BW1923" s="2"/>
      <c r="BX1923" s="2"/>
      <c r="BY1923" s="2">
        <v>1200</v>
      </c>
      <c r="BZ1923" s="2" t="s">
        <v>27</v>
      </c>
      <c r="CA1923" s="2"/>
      <c r="CB1923" s="2"/>
      <c r="CC1923" s="2" t="s">
        <v>270</v>
      </c>
      <c r="CD1923" s="2">
        <v>3610</v>
      </c>
      <c r="CE1923" s="2" t="s">
        <v>108</v>
      </c>
      <c r="CF1923" s="2"/>
      <c r="CG1923" s="2"/>
      <c r="CH1923" s="2"/>
      <c r="CI1923" s="2">
        <v>1</v>
      </c>
      <c r="CJ1923" s="2">
        <v>1</v>
      </c>
      <c r="CK1923" s="2">
        <v>21</v>
      </c>
      <c r="CL1923" s="2" t="s">
        <v>88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"FES1162508246"</f>
        <v>FES1162508246</v>
      </c>
      <c r="F1924" s="3">
        <v>42663</v>
      </c>
      <c r="G1924" s="2">
        <v>201704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269</v>
      </c>
      <c r="M1924" s="2" t="s">
        <v>270</v>
      </c>
      <c r="N1924" s="2" t="s">
        <v>1609</v>
      </c>
      <c r="O1924" s="2" t="s">
        <v>96</v>
      </c>
      <c r="P1924" s="2" t="str">
        <f>"2170531178                    "</f>
        <v xml:space="preserve">2170531178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5.81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2.2000000000000002</v>
      </c>
      <c r="BJ1924" s="2">
        <v>3.3</v>
      </c>
      <c r="BK1924" s="2">
        <v>3.5</v>
      </c>
      <c r="BL1924" s="2">
        <v>71.33</v>
      </c>
      <c r="BM1924" s="2">
        <v>9.99</v>
      </c>
      <c r="BN1924" s="2">
        <v>81.319999999999993</v>
      </c>
      <c r="BO1924" s="2">
        <v>81.319999999999993</v>
      </c>
      <c r="BP1924" s="2"/>
      <c r="BQ1924" s="2" t="s">
        <v>1610</v>
      </c>
      <c r="BR1924" s="2" t="s">
        <v>83</v>
      </c>
      <c r="BS1924" s="3">
        <v>42664</v>
      </c>
      <c r="BT1924" s="4">
        <v>0.35625000000000001</v>
      </c>
      <c r="BU1924" s="2" t="s">
        <v>2033</v>
      </c>
      <c r="BV1924" s="2" t="s">
        <v>85</v>
      </c>
      <c r="BW1924" s="2"/>
      <c r="BX1924" s="2"/>
      <c r="BY1924" s="2">
        <v>16580.740000000002</v>
      </c>
      <c r="BZ1924" s="2" t="s">
        <v>27</v>
      </c>
      <c r="CA1924" s="2"/>
      <c r="CB1924" s="2"/>
      <c r="CC1924" s="2" t="s">
        <v>270</v>
      </c>
      <c r="CD1924" s="2">
        <v>3610</v>
      </c>
      <c r="CE1924" s="2" t="s">
        <v>86</v>
      </c>
      <c r="CF1924" s="5">
        <v>42667</v>
      </c>
      <c r="CG1924" s="2"/>
      <c r="CH1924" s="2"/>
      <c r="CI1924" s="2">
        <v>1</v>
      </c>
      <c r="CJ1924" s="2">
        <v>1</v>
      </c>
      <c r="CK1924" s="2">
        <v>21</v>
      </c>
      <c r="CL1924" s="2" t="s">
        <v>88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"FES1162508256"</f>
        <v>FES1162508256</v>
      </c>
      <c r="F1925" s="3">
        <v>42663</v>
      </c>
      <c r="G1925" s="2">
        <v>201704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2034</v>
      </c>
      <c r="M1925" s="2" t="s">
        <v>2035</v>
      </c>
      <c r="N1925" s="2" t="s">
        <v>2036</v>
      </c>
      <c r="O1925" s="2" t="s">
        <v>96</v>
      </c>
      <c r="P1925" s="2" t="str">
        <f>"2170531558                    "</f>
        <v xml:space="preserve">2170531558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3.32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1</v>
      </c>
      <c r="BJ1925" s="2">
        <v>1.5</v>
      </c>
      <c r="BK1925" s="2">
        <v>1.5</v>
      </c>
      <c r="BL1925" s="2">
        <v>40.76</v>
      </c>
      <c r="BM1925" s="2">
        <v>5.71</v>
      </c>
      <c r="BN1925" s="2">
        <v>46.47</v>
      </c>
      <c r="BO1925" s="2">
        <v>46.47</v>
      </c>
      <c r="BP1925" s="2"/>
      <c r="BQ1925" s="2" t="s">
        <v>2037</v>
      </c>
      <c r="BR1925" s="2" t="s">
        <v>83</v>
      </c>
      <c r="BS1925" s="3">
        <v>42664</v>
      </c>
      <c r="BT1925" s="4">
        <v>0.51250000000000007</v>
      </c>
      <c r="BU1925" s="2" t="s">
        <v>2038</v>
      </c>
      <c r="BV1925" s="2" t="s">
        <v>85</v>
      </c>
      <c r="BW1925" s="2"/>
      <c r="BX1925" s="2"/>
      <c r="BY1925" s="2">
        <v>7540</v>
      </c>
      <c r="BZ1925" s="2" t="s">
        <v>27</v>
      </c>
      <c r="CA1925" s="2"/>
      <c r="CB1925" s="2"/>
      <c r="CC1925" s="2" t="s">
        <v>2035</v>
      </c>
      <c r="CD1925" s="2">
        <v>3265</v>
      </c>
      <c r="CE1925" s="2" t="s">
        <v>86</v>
      </c>
      <c r="CF1925" s="5">
        <v>42667</v>
      </c>
      <c r="CG1925" s="2"/>
      <c r="CH1925" s="2"/>
      <c r="CI1925" s="2">
        <v>1</v>
      </c>
      <c r="CJ1925" s="2">
        <v>1</v>
      </c>
      <c r="CK1925" s="2">
        <v>21</v>
      </c>
      <c r="CL1925" s="2" t="s">
        <v>88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"FES1162508177"</f>
        <v>FES1162508177</v>
      </c>
      <c r="F1926" s="3">
        <v>42663</v>
      </c>
      <c r="G1926" s="2">
        <v>201704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153</v>
      </c>
      <c r="M1926" s="2" t="s">
        <v>153</v>
      </c>
      <c r="N1926" s="2" t="s">
        <v>200</v>
      </c>
      <c r="O1926" s="2" t="s">
        <v>96</v>
      </c>
      <c r="P1926" s="2" t="str">
        <f>"2170531460                    "</f>
        <v xml:space="preserve">2170531460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3.32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0.6</v>
      </c>
      <c r="BJ1926" s="2">
        <v>1</v>
      </c>
      <c r="BK1926" s="2">
        <v>1</v>
      </c>
      <c r="BL1926" s="2">
        <v>40.76</v>
      </c>
      <c r="BM1926" s="2">
        <v>5.71</v>
      </c>
      <c r="BN1926" s="2">
        <v>46.47</v>
      </c>
      <c r="BO1926" s="2">
        <v>46.47</v>
      </c>
      <c r="BP1926" s="2"/>
      <c r="BQ1926" s="2" t="s">
        <v>201</v>
      </c>
      <c r="BR1926" s="2" t="s">
        <v>83</v>
      </c>
      <c r="BS1926" s="3">
        <v>42664</v>
      </c>
      <c r="BT1926" s="4">
        <v>0.5493055555555556</v>
      </c>
      <c r="BU1926" s="2" t="s">
        <v>448</v>
      </c>
      <c r="BV1926" s="2" t="s">
        <v>85</v>
      </c>
      <c r="BW1926" s="2"/>
      <c r="BX1926" s="2"/>
      <c r="BY1926" s="2">
        <v>5093.24</v>
      </c>
      <c r="BZ1926" s="2" t="s">
        <v>27</v>
      </c>
      <c r="CA1926" s="2"/>
      <c r="CB1926" s="2"/>
      <c r="CC1926" s="2" t="s">
        <v>153</v>
      </c>
      <c r="CD1926" s="2">
        <v>7646</v>
      </c>
      <c r="CE1926" s="2" t="s">
        <v>86</v>
      </c>
      <c r="CF1926" s="5">
        <v>42667</v>
      </c>
      <c r="CG1926" s="2"/>
      <c r="CH1926" s="2"/>
      <c r="CI1926" s="2">
        <v>1</v>
      </c>
      <c r="CJ1926" s="2">
        <v>1</v>
      </c>
      <c r="CK1926" s="2">
        <v>21</v>
      </c>
      <c r="CL1926" s="2" t="s">
        <v>88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"FES1162508085"</f>
        <v>FES1162508085</v>
      </c>
      <c r="F1927" s="3">
        <v>42663</v>
      </c>
      <c r="G1927" s="2">
        <v>201704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160</v>
      </c>
      <c r="M1927" s="2" t="s">
        <v>161</v>
      </c>
      <c r="N1927" s="2" t="s">
        <v>980</v>
      </c>
      <c r="O1927" s="2" t="s">
        <v>96</v>
      </c>
      <c r="P1927" s="2" t="str">
        <f>"2170531415                    "</f>
        <v xml:space="preserve">2170531415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3.32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1.6</v>
      </c>
      <c r="BJ1927" s="2">
        <v>1</v>
      </c>
      <c r="BK1927" s="2">
        <v>2</v>
      </c>
      <c r="BL1927" s="2">
        <v>40.76</v>
      </c>
      <c r="BM1927" s="2">
        <v>5.71</v>
      </c>
      <c r="BN1927" s="2">
        <v>46.47</v>
      </c>
      <c r="BO1927" s="2">
        <v>46.47</v>
      </c>
      <c r="BP1927" s="2"/>
      <c r="BQ1927" s="2" t="s">
        <v>117</v>
      </c>
      <c r="BR1927" s="2" t="s">
        <v>83</v>
      </c>
      <c r="BS1927" s="3">
        <v>42664</v>
      </c>
      <c r="BT1927" s="4">
        <v>0.34375</v>
      </c>
      <c r="BU1927" s="2" t="s">
        <v>1765</v>
      </c>
      <c r="BV1927" s="2" t="s">
        <v>85</v>
      </c>
      <c r="BW1927" s="2"/>
      <c r="BX1927" s="2"/>
      <c r="BY1927" s="2">
        <v>4933.1099999999997</v>
      </c>
      <c r="BZ1927" s="2" t="s">
        <v>27</v>
      </c>
      <c r="CA1927" s="2"/>
      <c r="CB1927" s="2"/>
      <c r="CC1927" s="2" t="s">
        <v>161</v>
      </c>
      <c r="CD1927" s="2">
        <v>7530</v>
      </c>
      <c r="CE1927" s="2" t="s">
        <v>86</v>
      </c>
      <c r="CF1927" s="5">
        <v>42667</v>
      </c>
      <c r="CG1927" s="2"/>
      <c r="CH1927" s="2"/>
      <c r="CI1927" s="2">
        <v>1</v>
      </c>
      <c r="CJ1927" s="2">
        <v>1</v>
      </c>
      <c r="CK1927" s="2">
        <v>21</v>
      </c>
      <c r="CL1927" s="2" t="s">
        <v>88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"FES1162508229"</f>
        <v>FES1162508229</v>
      </c>
      <c r="F1928" s="3">
        <v>42663</v>
      </c>
      <c r="G1928" s="2">
        <v>201704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160</v>
      </c>
      <c r="M1928" s="2" t="s">
        <v>161</v>
      </c>
      <c r="N1928" s="2" t="s">
        <v>176</v>
      </c>
      <c r="O1928" s="2" t="s">
        <v>96</v>
      </c>
      <c r="P1928" s="2" t="str">
        <f>"2170531525                    "</f>
        <v xml:space="preserve">2170531525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7.46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4.3</v>
      </c>
      <c r="BJ1928" s="2">
        <v>1.8</v>
      </c>
      <c r="BK1928" s="2">
        <v>4.5</v>
      </c>
      <c r="BL1928" s="2">
        <v>91.7</v>
      </c>
      <c r="BM1928" s="2">
        <v>12.84</v>
      </c>
      <c r="BN1928" s="2">
        <v>104.54</v>
      </c>
      <c r="BO1928" s="2">
        <v>104.54</v>
      </c>
      <c r="BP1928" s="2"/>
      <c r="BQ1928" s="2" t="s">
        <v>258</v>
      </c>
      <c r="BR1928" s="2" t="s">
        <v>83</v>
      </c>
      <c r="BS1928" s="3">
        <v>42664</v>
      </c>
      <c r="BT1928" s="4">
        <v>0.41666666666666669</v>
      </c>
      <c r="BU1928" s="2" t="s">
        <v>247</v>
      </c>
      <c r="BV1928" s="2" t="s">
        <v>85</v>
      </c>
      <c r="BW1928" s="2"/>
      <c r="BX1928" s="2"/>
      <c r="BY1928" s="2">
        <v>9120.76</v>
      </c>
      <c r="BZ1928" s="2" t="s">
        <v>27</v>
      </c>
      <c r="CA1928" s="2"/>
      <c r="CB1928" s="2"/>
      <c r="CC1928" s="2" t="s">
        <v>161</v>
      </c>
      <c r="CD1928" s="2">
        <v>7405</v>
      </c>
      <c r="CE1928" s="2" t="s">
        <v>86</v>
      </c>
      <c r="CF1928" s="5">
        <v>42667</v>
      </c>
      <c r="CG1928" s="2"/>
      <c r="CH1928" s="2"/>
      <c r="CI1928" s="2">
        <v>1</v>
      </c>
      <c r="CJ1928" s="2">
        <v>1</v>
      </c>
      <c r="CK1928" s="2">
        <v>21</v>
      </c>
      <c r="CL1928" s="2" t="s">
        <v>88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"FES1162508267"</f>
        <v>FES1162508267</v>
      </c>
      <c r="F1929" s="3">
        <v>42663</v>
      </c>
      <c r="G1929" s="2">
        <v>201704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148</v>
      </c>
      <c r="M1929" s="2" t="s">
        <v>149</v>
      </c>
      <c r="N1929" s="2" t="s">
        <v>2039</v>
      </c>
      <c r="O1929" s="2" t="s">
        <v>96</v>
      </c>
      <c r="P1929" s="2" t="str">
        <f>"2170531563                    "</f>
        <v xml:space="preserve">2170531563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3.32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1</v>
      </c>
      <c r="BJ1929" s="2">
        <v>0.2</v>
      </c>
      <c r="BK1929" s="2">
        <v>1</v>
      </c>
      <c r="BL1929" s="2">
        <v>40.76</v>
      </c>
      <c r="BM1929" s="2">
        <v>5.71</v>
      </c>
      <c r="BN1929" s="2">
        <v>46.47</v>
      </c>
      <c r="BO1929" s="2">
        <v>46.47</v>
      </c>
      <c r="BP1929" s="2"/>
      <c r="BQ1929" s="2" t="s">
        <v>91</v>
      </c>
      <c r="BR1929" s="2" t="s">
        <v>83</v>
      </c>
      <c r="BS1929" s="3">
        <v>42664</v>
      </c>
      <c r="BT1929" s="4">
        <v>0.4375</v>
      </c>
      <c r="BU1929" s="2" t="s">
        <v>2040</v>
      </c>
      <c r="BV1929" s="2" t="s">
        <v>85</v>
      </c>
      <c r="BW1929" s="2"/>
      <c r="BX1929" s="2"/>
      <c r="BY1929" s="2">
        <v>1200</v>
      </c>
      <c r="BZ1929" s="2" t="s">
        <v>27</v>
      </c>
      <c r="CA1929" s="2"/>
      <c r="CB1929" s="2"/>
      <c r="CC1929" s="2" t="s">
        <v>149</v>
      </c>
      <c r="CD1929" s="2">
        <v>4052</v>
      </c>
      <c r="CE1929" s="2" t="s">
        <v>108</v>
      </c>
      <c r="CF1929" s="5">
        <v>42667</v>
      </c>
      <c r="CG1929" s="2"/>
      <c r="CH1929" s="2"/>
      <c r="CI1929" s="2">
        <v>1</v>
      </c>
      <c r="CJ1929" s="2">
        <v>1</v>
      </c>
      <c r="CK1929" s="2">
        <v>21</v>
      </c>
      <c r="CL1929" s="2" t="s">
        <v>88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"FES1162508188"</f>
        <v>FES1162508188</v>
      </c>
      <c r="F1930" s="3">
        <v>42663</v>
      </c>
      <c r="G1930" s="2">
        <v>201704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160</v>
      </c>
      <c r="M1930" s="2" t="s">
        <v>161</v>
      </c>
      <c r="N1930" s="2" t="s">
        <v>2041</v>
      </c>
      <c r="O1930" s="2" t="s">
        <v>96</v>
      </c>
      <c r="P1930" s="2" t="str">
        <f>"2170531482                    "</f>
        <v xml:space="preserve">2170531482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3.32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1</v>
      </c>
      <c r="BJ1930" s="2">
        <v>0.2</v>
      </c>
      <c r="BK1930" s="2">
        <v>1</v>
      </c>
      <c r="BL1930" s="2">
        <v>40.76</v>
      </c>
      <c r="BM1930" s="2">
        <v>5.71</v>
      </c>
      <c r="BN1930" s="2">
        <v>46.47</v>
      </c>
      <c r="BO1930" s="2">
        <v>46.47</v>
      </c>
      <c r="BP1930" s="2"/>
      <c r="BQ1930" s="2" t="s">
        <v>91</v>
      </c>
      <c r="BR1930" s="2" t="s">
        <v>83</v>
      </c>
      <c r="BS1930" s="3">
        <v>42664</v>
      </c>
      <c r="BT1930" s="4">
        <v>0.40972222222222227</v>
      </c>
      <c r="BU1930" s="2" t="s">
        <v>2042</v>
      </c>
      <c r="BV1930" s="2" t="s">
        <v>85</v>
      </c>
      <c r="BW1930" s="2"/>
      <c r="BX1930" s="2"/>
      <c r="BY1930" s="2">
        <v>1200</v>
      </c>
      <c r="BZ1930" s="2" t="s">
        <v>27</v>
      </c>
      <c r="CA1930" s="2"/>
      <c r="CB1930" s="2"/>
      <c r="CC1930" s="2" t="s">
        <v>161</v>
      </c>
      <c r="CD1930" s="2">
        <v>7800</v>
      </c>
      <c r="CE1930" s="2" t="s">
        <v>108</v>
      </c>
      <c r="CF1930" s="5">
        <v>42667</v>
      </c>
      <c r="CG1930" s="2"/>
      <c r="CH1930" s="2"/>
      <c r="CI1930" s="2">
        <v>1</v>
      </c>
      <c r="CJ1930" s="2">
        <v>1</v>
      </c>
      <c r="CK1930" s="2">
        <v>21</v>
      </c>
      <c r="CL1930" s="2" t="s">
        <v>88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"FES1162508209"</f>
        <v>FES1162508209</v>
      </c>
      <c r="F1931" s="3">
        <v>42663</v>
      </c>
      <c r="G1931" s="2">
        <v>201704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160</v>
      </c>
      <c r="M1931" s="2" t="s">
        <v>161</v>
      </c>
      <c r="N1931" s="2" t="s">
        <v>420</v>
      </c>
      <c r="O1931" s="2" t="s">
        <v>96</v>
      </c>
      <c r="P1931" s="2" t="str">
        <f>"2170531072                    "</f>
        <v xml:space="preserve">2170531072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4.9800000000000004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3</v>
      </c>
      <c r="BJ1931" s="2">
        <v>2.2000000000000002</v>
      </c>
      <c r="BK1931" s="2">
        <v>3</v>
      </c>
      <c r="BL1931" s="2">
        <v>61.14</v>
      </c>
      <c r="BM1931" s="2">
        <v>8.56</v>
      </c>
      <c r="BN1931" s="2">
        <v>69.7</v>
      </c>
      <c r="BO1931" s="2">
        <v>69.7</v>
      </c>
      <c r="BP1931" s="2"/>
      <c r="BQ1931" s="2" t="s">
        <v>1501</v>
      </c>
      <c r="BR1931" s="2" t="s">
        <v>83</v>
      </c>
      <c r="BS1931" s="3">
        <v>42664</v>
      </c>
      <c r="BT1931" s="4">
        <v>0.41944444444444445</v>
      </c>
      <c r="BU1931" s="2" t="s">
        <v>2043</v>
      </c>
      <c r="BV1931" s="2" t="s">
        <v>85</v>
      </c>
      <c r="BW1931" s="2"/>
      <c r="BX1931" s="2"/>
      <c r="BY1931" s="2">
        <v>10960.88</v>
      </c>
      <c r="BZ1931" s="2" t="s">
        <v>27</v>
      </c>
      <c r="CA1931" s="2"/>
      <c r="CB1931" s="2"/>
      <c r="CC1931" s="2" t="s">
        <v>161</v>
      </c>
      <c r="CD1931" s="2">
        <v>7560</v>
      </c>
      <c r="CE1931" s="2" t="s">
        <v>86</v>
      </c>
      <c r="CF1931" s="5">
        <v>42667</v>
      </c>
      <c r="CG1931" s="2"/>
      <c r="CH1931" s="2"/>
      <c r="CI1931" s="2">
        <v>1</v>
      </c>
      <c r="CJ1931" s="2">
        <v>1</v>
      </c>
      <c r="CK1931" s="2">
        <v>21</v>
      </c>
      <c r="CL1931" s="2" t="s">
        <v>88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"FES1162508261"</f>
        <v>FES1162508261</v>
      </c>
      <c r="F1932" s="3">
        <v>42663</v>
      </c>
      <c r="G1932" s="2">
        <v>201704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171</v>
      </c>
      <c r="M1932" s="2" t="s">
        <v>172</v>
      </c>
      <c r="N1932" s="2" t="s">
        <v>429</v>
      </c>
      <c r="O1932" s="2" t="s">
        <v>96</v>
      </c>
      <c r="P1932" s="2" t="str">
        <f>"2170530818                    "</f>
        <v xml:space="preserve">2170530818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3.32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1</v>
      </c>
      <c r="BJ1932" s="2">
        <v>0.2</v>
      </c>
      <c r="BK1932" s="2">
        <v>1</v>
      </c>
      <c r="BL1932" s="2">
        <v>40.76</v>
      </c>
      <c r="BM1932" s="2">
        <v>5.71</v>
      </c>
      <c r="BN1932" s="2">
        <v>46.47</v>
      </c>
      <c r="BO1932" s="2">
        <v>46.47</v>
      </c>
      <c r="BP1932" s="2"/>
      <c r="BQ1932" s="2" t="s">
        <v>430</v>
      </c>
      <c r="BR1932" s="2" t="s">
        <v>83</v>
      </c>
      <c r="BS1932" s="3">
        <v>42664</v>
      </c>
      <c r="BT1932" s="4">
        <v>0.35486111111111113</v>
      </c>
      <c r="BU1932" s="2" t="s">
        <v>554</v>
      </c>
      <c r="BV1932" s="2" t="s">
        <v>85</v>
      </c>
      <c r="BW1932" s="2"/>
      <c r="BX1932" s="2"/>
      <c r="BY1932" s="2">
        <v>1200</v>
      </c>
      <c r="BZ1932" s="2" t="s">
        <v>27</v>
      </c>
      <c r="CA1932" s="2"/>
      <c r="CB1932" s="2"/>
      <c r="CC1932" s="2" t="s">
        <v>172</v>
      </c>
      <c r="CD1932" s="2">
        <v>6220</v>
      </c>
      <c r="CE1932" s="2" t="s">
        <v>108</v>
      </c>
      <c r="CF1932" s="5">
        <v>42667</v>
      </c>
      <c r="CG1932" s="2"/>
      <c r="CH1932" s="2"/>
      <c r="CI1932" s="2">
        <v>1</v>
      </c>
      <c r="CJ1932" s="2">
        <v>1</v>
      </c>
      <c r="CK1932" s="2">
        <v>21</v>
      </c>
      <c r="CL1932" s="2" t="s">
        <v>88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"FES1162508086"</f>
        <v>FES1162508086</v>
      </c>
      <c r="F1933" s="3">
        <v>42663</v>
      </c>
      <c r="G1933" s="2">
        <v>201704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160</v>
      </c>
      <c r="M1933" s="2" t="s">
        <v>161</v>
      </c>
      <c r="N1933" s="2" t="s">
        <v>179</v>
      </c>
      <c r="O1933" s="2" t="s">
        <v>96</v>
      </c>
      <c r="P1933" s="2" t="str">
        <f>"2170531420                    "</f>
        <v xml:space="preserve">2170531420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3.32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40.76</v>
      </c>
      <c r="BM1933" s="2">
        <v>5.71</v>
      </c>
      <c r="BN1933" s="2">
        <v>46.47</v>
      </c>
      <c r="BO1933" s="2">
        <v>46.47</v>
      </c>
      <c r="BP1933" s="2"/>
      <c r="BQ1933" s="2" t="s">
        <v>180</v>
      </c>
      <c r="BR1933" s="2" t="s">
        <v>83</v>
      </c>
      <c r="BS1933" s="3">
        <v>42664</v>
      </c>
      <c r="BT1933" s="4">
        <v>0.41666666666666669</v>
      </c>
      <c r="BU1933" s="2" t="s">
        <v>1988</v>
      </c>
      <c r="BV1933" s="2" t="s">
        <v>85</v>
      </c>
      <c r="BW1933" s="2"/>
      <c r="BX1933" s="2"/>
      <c r="BY1933" s="2">
        <v>1200</v>
      </c>
      <c r="BZ1933" s="2" t="s">
        <v>27</v>
      </c>
      <c r="CA1933" s="2"/>
      <c r="CB1933" s="2"/>
      <c r="CC1933" s="2" t="s">
        <v>161</v>
      </c>
      <c r="CD1933" s="2">
        <v>7405</v>
      </c>
      <c r="CE1933" s="2" t="s">
        <v>108</v>
      </c>
      <c r="CF1933" s="5">
        <v>42667</v>
      </c>
      <c r="CG1933" s="2"/>
      <c r="CH1933" s="2"/>
      <c r="CI1933" s="2">
        <v>1</v>
      </c>
      <c r="CJ1933" s="2">
        <v>1</v>
      </c>
      <c r="CK1933" s="2">
        <v>21</v>
      </c>
      <c r="CL1933" s="2" t="s">
        <v>88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"FES1162508341"</f>
        <v>FES1162508341</v>
      </c>
      <c r="F1934" s="3">
        <v>42663</v>
      </c>
      <c r="G1934" s="2">
        <v>201704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98</v>
      </c>
      <c r="M1934" s="2" t="s">
        <v>99</v>
      </c>
      <c r="N1934" s="2" t="s">
        <v>109</v>
      </c>
      <c r="O1934" s="2" t="s">
        <v>96</v>
      </c>
      <c r="P1934" s="2" t="str">
        <f>"2170531650                    "</f>
        <v xml:space="preserve">2170531650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3.32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1.3</v>
      </c>
      <c r="BJ1934" s="2">
        <v>0.2</v>
      </c>
      <c r="BK1934" s="2">
        <v>1.5</v>
      </c>
      <c r="BL1934" s="2">
        <v>40.76</v>
      </c>
      <c r="BM1934" s="2">
        <v>5.71</v>
      </c>
      <c r="BN1934" s="2">
        <v>46.47</v>
      </c>
      <c r="BO1934" s="2">
        <v>46.47</v>
      </c>
      <c r="BP1934" s="2"/>
      <c r="BQ1934" s="2" t="s">
        <v>110</v>
      </c>
      <c r="BR1934" s="2" t="s">
        <v>83</v>
      </c>
      <c r="BS1934" s="3">
        <v>42664</v>
      </c>
      <c r="BT1934" s="4">
        <v>0.3743055555555555</v>
      </c>
      <c r="BU1934" s="2" t="s">
        <v>2014</v>
      </c>
      <c r="BV1934" s="2" t="s">
        <v>85</v>
      </c>
      <c r="BW1934" s="2"/>
      <c r="BX1934" s="2"/>
      <c r="BY1934" s="2">
        <v>1200</v>
      </c>
      <c r="BZ1934" s="2" t="s">
        <v>27</v>
      </c>
      <c r="CA1934" s="2" t="s">
        <v>1349</v>
      </c>
      <c r="CB1934" s="2"/>
      <c r="CC1934" s="2" t="s">
        <v>99</v>
      </c>
      <c r="CD1934" s="2">
        <v>6001</v>
      </c>
      <c r="CE1934" s="2" t="s">
        <v>108</v>
      </c>
      <c r="CF1934" s="5">
        <v>42667</v>
      </c>
      <c r="CG1934" s="2"/>
      <c r="CH1934" s="2"/>
      <c r="CI1934" s="2">
        <v>1</v>
      </c>
      <c r="CJ1934" s="2">
        <v>1</v>
      </c>
      <c r="CK1934" s="2">
        <v>21</v>
      </c>
      <c r="CL1934" s="2" t="s">
        <v>88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"FES1162508175"</f>
        <v>FES1162508175</v>
      </c>
      <c r="F1935" s="3">
        <v>42663</v>
      </c>
      <c r="G1935" s="2">
        <v>201704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253</v>
      </c>
      <c r="M1935" s="2" t="s">
        <v>254</v>
      </c>
      <c r="N1935" s="2" t="s">
        <v>255</v>
      </c>
      <c r="O1935" s="2" t="s">
        <v>96</v>
      </c>
      <c r="P1935" s="2" t="str">
        <f>"2170531439                    "</f>
        <v xml:space="preserve">2170531439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9.33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3</v>
      </c>
      <c r="BJ1935" s="2">
        <v>3</v>
      </c>
      <c r="BK1935" s="2">
        <v>3</v>
      </c>
      <c r="BL1935" s="2">
        <v>114.63</v>
      </c>
      <c r="BM1935" s="2">
        <v>16.05</v>
      </c>
      <c r="BN1935" s="2">
        <v>130.68</v>
      </c>
      <c r="BO1935" s="2">
        <v>130.68</v>
      </c>
      <c r="BP1935" s="2"/>
      <c r="BQ1935" s="2" t="s">
        <v>117</v>
      </c>
      <c r="BR1935" s="2" t="s">
        <v>83</v>
      </c>
      <c r="BS1935" s="3">
        <v>42664</v>
      </c>
      <c r="BT1935" s="4">
        <v>0.5</v>
      </c>
      <c r="BU1935" s="2" t="s">
        <v>457</v>
      </c>
      <c r="BV1935" s="2" t="s">
        <v>85</v>
      </c>
      <c r="BW1935" s="2"/>
      <c r="BX1935" s="2"/>
      <c r="BY1935" s="2">
        <v>15232</v>
      </c>
      <c r="BZ1935" s="2" t="s">
        <v>27</v>
      </c>
      <c r="CA1935" s="2"/>
      <c r="CB1935" s="2"/>
      <c r="CC1935" s="2" t="s">
        <v>254</v>
      </c>
      <c r="CD1935" s="2">
        <v>3370</v>
      </c>
      <c r="CE1935" s="2" t="s">
        <v>368</v>
      </c>
      <c r="CF1935" s="5">
        <v>42668</v>
      </c>
      <c r="CG1935" s="2"/>
      <c r="CH1935" s="2"/>
      <c r="CI1935" s="2">
        <v>3</v>
      </c>
      <c r="CJ1935" s="2">
        <v>1</v>
      </c>
      <c r="CK1935" s="2">
        <v>23</v>
      </c>
      <c r="CL1935" s="2" t="s">
        <v>88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"FES1162508099"</f>
        <v>FES1162508099</v>
      </c>
      <c r="F1936" s="3">
        <v>42663</v>
      </c>
      <c r="G1936" s="2">
        <v>201704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153</v>
      </c>
      <c r="M1936" s="2" t="s">
        <v>153</v>
      </c>
      <c r="N1936" s="2" t="s">
        <v>501</v>
      </c>
      <c r="O1936" s="2" t="s">
        <v>96</v>
      </c>
      <c r="P1936" s="2" t="str">
        <f>"2170528164                    "</f>
        <v xml:space="preserve">2170528164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3.32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</v>
      </c>
      <c r="BJ1936" s="2">
        <v>0.2</v>
      </c>
      <c r="BK1936" s="2">
        <v>1</v>
      </c>
      <c r="BL1936" s="2">
        <v>40.76</v>
      </c>
      <c r="BM1936" s="2">
        <v>5.71</v>
      </c>
      <c r="BN1936" s="2">
        <v>46.47</v>
      </c>
      <c r="BO1936" s="2">
        <v>46.47</v>
      </c>
      <c r="BP1936" s="2"/>
      <c r="BQ1936" s="2" t="s">
        <v>82</v>
      </c>
      <c r="BR1936" s="2" t="s">
        <v>83</v>
      </c>
      <c r="BS1936" s="3">
        <v>42664</v>
      </c>
      <c r="BT1936" s="4">
        <v>0.54097222222222219</v>
      </c>
      <c r="BU1936" s="2" t="s">
        <v>752</v>
      </c>
      <c r="BV1936" s="2" t="s">
        <v>85</v>
      </c>
      <c r="BW1936" s="2"/>
      <c r="BX1936" s="2"/>
      <c r="BY1936" s="2">
        <v>1200</v>
      </c>
      <c r="BZ1936" s="2" t="s">
        <v>27</v>
      </c>
      <c r="CA1936" s="2"/>
      <c r="CB1936" s="2"/>
      <c r="CC1936" s="2" t="s">
        <v>153</v>
      </c>
      <c r="CD1936" s="2">
        <v>7620</v>
      </c>
      <c r="CE1936" s="2" t="s">
        <v>108</v>
      </c>
      <c r="CF1936" s="5">
        <v>42667</v>
      </c>
      <c r="CG1936" s="2"/>
      <c r="CH1936" s="2"/>
      <c r="CI1936" s="2">
        <v>1</v>
      </c>
      <c r="CJ1936" s="2">
        <v>1</v>
      </c>
      <c r="CK1936" s="2">
        <v>21</v>
      </c>
      <c r="CL1936" s="2" t="s">
        <v>88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"FES1162508308"</f>
        <v>FES1162508308</v>
      </c>
      <c r="F1937" s="3">
        <v>42663</v>
      </c>
      <c r="G1937" s="2">
        <v>201704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269</v>
      </c>
      <c r="M1937" s="2" t="s">
        <v>270</v>
      </c>
      <c r="N1937" s="2" t="s">
        <v>1543</v>
      </c>
      <c r="O1937" s="2" t="s">
        <v>96</v>
      </c>
      <c r="P1937" s="2" t="str">
        <f>"2170531608                    "</f>
        <v xml:space="preserve">2170531608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30.68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6.4</v>
      </c>
      <c r="BJ1937" s="2">
        <v>18.399999999999999</v>
      </c>
      <c r="BK1937" s="2">
        <v>18.5</v>
      </c>
      <c r="BL1937" s="2">
        <v>377</v>
      </c>
      <c r="BM1937" s="2">
        <v>52.78</v>
      </c>
      <c r="BN1937" s="2">
        <v>429.78</v>
      </c>
      <c r="BO1937" s="2">
        <v>429.78</v>
      </c>
      <c r="BP1937" s="2"/>
      <c r="BQ1937" s="2" t="s">
        <v>117</v>
      </c>
      <c r="BR1937" s="2" t="s">
        <v>83</v>
      </c>
      <c r="BS1937" s="3">
        <v>42664</v>
      </c>
      <c r="BT1937" s="4">
        <v>0.4375</v>
      </c>
      <c r="BU1937" s="2" t="s">
        <v>1790</v>
      </c>
      <c r="BV1937" s="2" t="s">
        <v>85</v>
      </c>
      <c r="BW1937" s="2"/>
      <c r="BX1937" s="2"/>
      <c r="BY1937" s="2">
        <v>92120.7</v>
      </c>
      <c r="BZ1937" s="2" t="s">
        <v>27</v>
      </c>
      <c r="CA1937" s="2"/>
      <c r="CB1937" s="2"/>
      <c r="CC1937" s="2" t="s">
        <v>270</v>
      </c>
      <c r="CD1937" s="2">
        <v>3610</v>
      </c>
      <c r="CE1937" s="2" t="s">
        <v>86</v>
      </c>
      <c r="CF1937" s="5">
        <v>42667</v>
      </c>
      <c r="CG1937" s="2"/>
      <c r="CH1937" s="2"/>
      <c r="CI1937" s="2">
        <v>1</v>
      </c>
      <c r="CJ1937" s="2">
        <v>1</v>
      </c>
      <c r="CK1937" s="2">
        <v>21</v>
      </c>
      <c r="CL1937" s="2" t="s">
        <v>88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"FES1162508120"</f>
        <v>FES1162508120</v>
      </c>
      <c r="F1938" s="3">
        <v>42663</v>
      </c>
      <c r="G1938" s="2">
        <v>201704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823</v>
      </c>
      <c r="M1938" s="2" t="s">
        <v>824</v>
      </c>
      <c r="N1938" s="2" t="s">
        <v>825</v>
      </c>
      <c r="O1938" s="2" t="s">
        <v>96</v>
      </c>
      <c r="P1938" s="2" t="str">
        <f>"2170529135                    "</f>
        <v xml:space="preserve">2170529135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4.66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57.31</v>
      </c>
      <c r="BM1938" s="2">
        <v>8.02</v>
      </c>
      <c r="BN1938" s="2">
        <v>65.33</v>
      </c>
      <c r="BO1938" s="2">
        <v>65.33</v>
      </c>
      <c r="BP1938" s="2"/>
      <c r="BQ1938" s="2" t="s">
        <v>91</v>
      </c>
      <c r="BR1938" s="2" t="s">
        <v>83</v>
      </c>
      <c r="BS1938" s="3">
        <v>42664</v>
      </c>
      <c r="BT1938" s="4">
        <v>0.41666666666666669</v>
      </c>
      <c r="BU1938" s="2" t="s">
        <v>2044</v>
      </c>
      <c r="BV1938" s="2"/>
      <c r="BW1938" s="2"/>
      <c r="BX1938" s="2"/>
      <c r="BY1938" s="2">
        <v>1200</v>
      </c>
      <c r="BZ1938" s="2" t="s">
        <v>27</v>
      </c>
      <c r="CA1938" s="2"/>
      <c r="CB1938" s="2"/>
      <c r="CC1938" s="2" t="s">
        <v>824</v>
      </c>
      <c r="CD1938" s="2">
        <v>2410</v>
      </c>
      <c r="CE1938" s="2" t="s">
        <v>108</v>
      </c>
      <c r="CF1938" s="5">
        <v>42668</v>
      </c>
      <c r="CG1938" s="2"/>
      <c r="CH1938" s="2"/>
      <c r="CI1938" s="2">
        <v>0</v>
      </c>
      <c r="CJ1938" s="2">
        <v>0</v>
      </c>
      <c r="CK1938" s="2">
        <v>24</v>
      </c>
      <c r="CL1938" s="2" t="s">
        <v>88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"FES1162508066"</f>
        <v>FES1162508066</v>
      </c>
      <c r="F1939" s="3">
        <v>42663</v>
      </c>
      <c r="G1939" s="2">
        <v>201704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160</v>
      </c>
      <c r="M1939" s="2" t="s">
        <v>161</v>
      </c>
      <c r="N1939" s="2" t="s">
        <v>647</v>
      </c>
      <c r="O1939" s="2" t="s">
        <v>96</v>
      </c>
      <c r="P1939" s="2" t="str">
        <f>"2170531397                    "</f>
        <v xml:space="preserve">2170531397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3.32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1</v>
      </c>
      <c r="BJ1939" s="2">
        <v>0.2</v>
      </c>
      <c r="BK1939" s="2">
        <v>1</v>
      </c>
      <c r="BL1939" s="2">
        <v>40.76</v>
      </c>
      <c r="BM1939" s="2">
        <v>5.71</v>
      </c>
      <c r="BN1939" s="2">
        <v>46.47</v>
      </c>
      <c r="BO1939" s="2">
        <v>46.47</v>
      </c>
      <c r="BP1939" s="2"/>
      <c r="BQ1939" s="2" t="s">
        <v>2045</v>
      </c>
      <c r="BR1939" s="2" t="s">
        <v>83</v>
      </c>
      <c r="BS1939" s="3">
        <v>42664</v>
      </c>
      <c r="BT1939" s="4">
        <v>0.3576388888888889</v>
      </c>
      <c r="BU1939" s="2" t="s">
        <v>2046</v>
      </c>
      <c r="BV1939" s="2" t="s">
        <v>85</v>
      </c>
      <c r="BW1939" s="2"/>
      <c r="BX1939" s="2"/>
      <c r="BY1939" s="2">
        <v>1200</v>
      </c>
      <c r="BZ1939" s="2" t="s">
        <v>27</v>
      </c>
      <c r="CA1939" s="2"/>
      <c r="CB1939" s="2"/>
      <c r="CC1939" s="2" t="s">
        <v>161</v>
      </c>
      <c r="CD1939" s="2">
        <v>7493</v>
      </c>
      <c r="CE1939" s="2" t="s">
        <v>108</v>
      </c>
      <c r="CF1939" s="5">
        <v>42667</v>
      </c>
      <c r="CG1939" s="2"/>
      <c r="CH1939" s="2"/>
      <c r="CI1939" s="2">
        <v>1</v>
      </c>
      <c r="CJ1939" s="2">
        <v>1</v>
      </c>
      <c r="CK1939" s="2">
        <v>21</v>
      </c>
      <c r="CL1939" s="2" t="s">
        <v>88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"FES1162508301"</f>
        <v>FES1162508301</v>
      </c>
      <c r="F1940" s="3">
        <v>42663</v>
      </c>
      <c r="G1940" s="2">
        <v>201704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160</v>
      </c>
      <c r="M1940" s="2" t="s">
        <v>161</v>
      </c>
      <c r="N1940" s="2" t="s">
        <v>267</v>
      </c>
      <c r="O1940" s="2" t="s">
        <v>96</v>
      </c>
      <c r="P1940" s="2" t="str">
        <f>"2170531600                    "</f>
        <v xml:space="preserve">2170531600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3.32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40.76</v>
      </c>
      <c r="BM1940" s="2">
        <v>5.71</v>
      </c>
      <c r="BN1940" s="2">
        <v>46.47</v>
      </c>
      <c r="BO1940" s="2">
        <v>46.47</v>
      </c>
      <c r="BP1940" s="2"/>
      <c r="BQ1940" s="2" t="s">
        <v>117</v>
      </c>
      <c r="BR1940" s="2" t="s">
        <v>83</v>
      </c>
      <c r="BS1940" s="3">
        <v>42664</v>
      </c>
      <c r="BT1940" s="4">
        <v>0.43402777777777773</v>
      </c>
      <c r="BU1940" s="2" t="s">
        <v>2047</v>
      </c>
      <c r="BV1940" s="2" t="s">
        <v>85</v>
      </c>
      <c r="BW1940" s="2"/>
      <c r="BX1940" s="2"/>
      <c r="BY1940" s="2">
        <v>1200</v>
      </c>
      <c r="BZ1940" s="2" t="s">
        <v>27</v>
      </c>
      <c r="CA1940" s="2" t="s">
        <v>129</v>
      </c>
      <c r="CB1940" s="2"/>
      <c r="CC1940" s="2" t="s">
        <v>161</v>
      </c>
      <c r="CD1940" s="2">
        <v>7441</v>
      </c>
      <c r="CE1940" s="2" t="s">
        <v>108</v>
      </c>
      <c r="CF1940" s="5">
        <v>42667</v>
      </c>
      <c r="CG1940" s="2"/>
      <c r="CH1940" s="2"/>
      <c r="CI1940" s="2">
        <v>1</v>
      </c>
      <c r="CJ1940" s="2">
        <v>1</v>
      </c>
      <c r="CK1940" s="2">
        <v>21</v>
      </c>
      <c r="CL1940" s="2" t="s">
        <v>88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"FES1162508211"</f>
        <v>FES1162508211</v>
      </c>
      <c r="F1941" s="3">
        <v>42663</v>
      </c>
      <c r="G1941" s="2">
        <v>201704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260</v>
      </c>
      <c r="M1941" s="2" t="s">
        <v>261</v>
      </c>
      <c r="N1941" s="2" t="s">
        <v>347</v>
      </c>
      <c r="O1941" s="2" t="s">
        <v>96</v>
      </c>
      <c r="P1941" s="2" t="str">
        <f>"2170531510                    "</f>
        <v xml:space="preserve">2170531510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5.81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3.4</v>
      </c>
      <c r="BJ1941" s="2">
        <v>1.6</v>
      </c>
      <c r="BK1941" s="2">
        <v>3.5</v>
      </c>
      <c r="BL1941" s="2">
        <v>71.33</v>
      </c>
      <c r="BM1941" s="2">
        <v>9.99</v>
      </c>
      <c r="BN1941" s="2">
        <v>81.319999999999993</v>
      </c>
      <c r="BO1941" s="2">
        <v>81.319999999999993</v>
      </c>
      <c r="BP1941" s="2"/>
      <c r="BQ1941" s="2"/>
      <c r="BR1941" s="2" t="s">
        <v>83</v>
      </c>
      <c r="BS1941" s="3">
        <v>42664</v>
      </c>
      <c r="BT1941" s="4">
        <v>0.41666666666666669</v>
      </c>
      <c r="BU1941" s="2" t="s">
        <v>1585</v>
      </c>
      <c r="BV1941" s="2" t="s">
        <v>85</v>
      </c>
      <c r="BW1941" s="2"/>
      <c r="BX1941" s="2"/>
      <c r="BY1941" s="2">
        <v>7968</v>
      </c>
      <c r="BZ1941" s="2" t="s">
        <v>27</v>
      </c>
      <c r="CA1941" s="2" t="s">
        <v>264</v>
      </c>
      <c r="CB1941" s="2"/>
      <c r="CC1941" s="2" t="s">
        <v>261</v>
      </c>
      <c r="CD1941" s="2">
        <v>6850</v>
      </c>
      <c r="CE1941" s="2" t="s">
        <v>86</v>
      </c>
      <c r="CF1941" s="5">
        <v>42664</v>
      </c>
      <c r="CG1941" s="2"/>
      <c r="CH1941" s="2"/>
      <c r="CI1941" s="2">
        <v>3</v>
      </c>
      <c r="CJ1941" s="2">
        <v>1</v>
      </c>
      <c r="CK1941" s="2">
        <v>21</v>
      </c>
      <c r="CL1941" s="2" t="s">
        <v>88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"FES1162508103"</f>
        <v>FES1162508103</v>
      </c>
      <c r="F1942" s="3">
        <v>42663</v>
      </c>
      <c r="G1942" s="2">
        <v>201704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98</v>
      </c>
      <c r="M1942" s="2" t="s">
        <v>99</v>
      </c>
      <c r="N1942" s="2" t="s">
        <v>109</v>
      </c>
      <c r="O1942" s="2" t="s">
        <v>96</v>
      </c>
      <c r="P1942" s="2" t="str">
        <f>"2170528563                    "</f>
        <v xml:space="preserve">2170528563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6.63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3.7</v>
      </c>
      <c r="BJ1942" s="2">
        <v>3.7</v>
      </c>
      <c r="BK1942" s="2">
        <v>4</v>
      </c>
      <c r="BL1942" s="2">
        <v>81.510000000000005</v>
      </c>
      <c r="BM1942" s="2">
        <v>11.41</v>
      </c>
      <c r="BN1942" s="2">
        <v>92.92</v>
      </c>
      <c r="BO1942" s="2">
        <v>92.92</v>
      </c>
      <c r="BP1942" s="2"/>
      <c r="BQ1942" s="2" t="s">
        <v>110</v>
      </c>
      <c r="BR1942" s="2" t="s">
        <v>83</v>
      </c>
      <c r="BS1942" s="3">
        <v>42664</v>
      </c>
      <c r="BT1942" s="4">
        <v>0.37361111111111112</v>
      </c>
      <c r="BU1942" s="2" t="s">
        <v>2014</v>
      </c>
      <c r="BV1942" s="2" t="s">
        <v>85</v>
      </c>
      <c r="BW1942" s="2"/>
      <c r="BX1942" s="2"/>
      <c r="BY1942" s="2">
        <v>18613.91</v>
      </c>
      <c r="BZ1942" s="2" t="s">
        <v>27</v>
      </c>
      <c r="CA1942" s="2" t="s">
        <v>1349</v>
      </c>
      <c r="CB1942" s="2"/>
      <c r="CC1942" s="2" t="s">
        <v>99</v>
      </c>
      <c r="CD1942" s="2">
        <v>6001</v>
      </c>
      <c r="CE1942" s="2" t="s">
        <v>86</v>
      </c>
      <c r="CF1942" s="5">
        <v>42667</v>
      </c>
      <c r="CG1942" s="2"/>
      <c r="CH1942" s="2"/>
      <c r="CI1942" s="2">
        <v>1</v>
      </c>
      <c r="CJ1942" s="2">
        <v>1</v>
      </c>
      <c r="CK1942" s="2">
        <v>21</v>
      </c>
      <c r="CL1942" s="2" t="s">
        <v>88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"FES1162508136"</f>
        <v>FES1162508136</v>
      </c>
      <c r="F1943" s="3">
        <v>42663</v>
      </c>
      <c r="G1943" s="2">
        <v>201704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160</v>
      </c>
      <c r="M1943" s="2" t="s">
        <v>161</v>
      </c>
      <c r="N1943" s="2" t="s">
        <v>1436</v>
      </c>
      <c r="O1943" s="2" t="s">
        <v>96</v>
      </c>
      <c r="P1943" s="2" t="str">
        <f>"2170530080                    "</f>
        <v xml:space="preserve">2170530080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3.32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1</v>
      </c>
      <c r="BJ1943" s="2">
        <v>0.2</v>
      </c>
      <c r="BK1943" s="2">
        <v>1</v>
      </c>
      <c r="BL1943" s="2">
        <v>40.76</v>
      </c>
      <c r="BM1943" s="2">
        <v>5.71</v>
      </c>
      <c r="BN1943" s="2">
        <v>46.47</v>
      </c>
      <c r="BO1943" s="2">
        <v>46.47</v>
      </c>
      <c r="BP1943" s="2"/>
      <c r="BQ1943" s="2" t="s">
        <v>1437</v>
      </c>
      <c r="BR1943" s="2" t="s">
        <v>83</v>
      </c>
      <c r="BS1943" s="3">
        <v>42664</v>
      </c>
      <c r="BT1943" s="4">
        <v>0.41666666666666669</v>
      </c>
      <c r="BU1943" s="2" t="s">
        <v>2048</v>
      </c>
      <c r="BV1943" s="2" t="s">
        <v>85</v>
      </c>
      <c r="BW1943" s="2"/>
      <c r="BX1943" s="2"/>
      <c r="BY1943" s="2">
        <v>1200</v>
      </c>
      <c r="BZ1943" s="2" t="s">
        <v>27</v>
      </c>
      <c r="CA1943" s="2"/>
      <c r="CB1943" s="2"/>
      <c r="CC1943" s="2" t="s">
        <v>161</v>
      </c>
      <c r="CD1943" s="2">
        <v>7460</v>
      </c>
      <c r="CE1943" s="2" t="s">
        <v>108</v>
      </c>
      <c r="CF1943" s="5">
        <v>42667</v>
      </c>
      <c r="CG1943" s="2"/>
      <c r="CH1943" s="2"/>
      <c r="CI1943" s="2">
        <v>1</v>
      </c>
      <c r="CJ1943" s="2">
        <v>1</v>
      </c>
      <c r="CK1943" s="2">
        <v>21</v>
      </c>
      <c r="CL1943" s="2" t="s">
        <v>88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"FES1162508222"</f>
        <v>FES1162508222</v>
      </c>
      <c r="F1944" s="3">
        <v>42663</v>
      </c>
      <c r="G1944" s="2">
        <v>201704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160</v>
      </c>
      <c r="M1944" s="2" t="s">
        <v>161</v>
      </c>
      <c r="N1944" s="2" t="s">
        <v>279</v>
      </c>
      <c r="O1944" s="2" t="s">
        <v>96</v>
      </c>
      <c r="P1944" s="2" t="str">
        <f>"2170531521                    "</f>
        <v xml:space="preserve">2170531521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3.32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1</v>
      </c>
      <c r="BJ1944" s="2">
        <v>0.2</v>
      </c>
      <c r="BK1944" s="2">
        <v>1</v>
      </c>
      <c r="BL1944" s="2">
        <v>40.76</v>
      </c>
      <c r="BM1944" s="2">
        <v>5.71</v>
      </c>
      <c r="BN1944" s="2">
        <v>46.47</v>
      </c>
      <c r="BO1944" s="2">
        <v>46.47</v>
      </c>
      <c r="BP1944" s="2"/>
      <c r="BQ1944" s="2" t="s">
        <v>280</v>
      </c>
      <c r="BR1944" s="2" t="s">
        <v>83</v>
      </c>
      <c r="BS1944" s="3">
        <v>42664</v>
      </c>
      <c r="BT1944" s="4">
        <v>0.36805555555555558</v>
      </c>
      <c r="BU1944" s="2" t="s">
        <v>2049</v>
      </c>
      <c r="BV1944" s="2" t="s">
        <v>85</v>
      </c>
      <c r="BW1944" s="2"/>
      <c r="BX1944" s="2"/>
      <c r="BY1944" s="2">
        <v>1200</v>
      </c>
      <c r="BZ1944" s="2" t="s">
        <v>27</v>
      </c>
      <c r="CA1944" s="2" t="s">
        <v>129</v>
      </c>
      <c r="CB1944" s="2"/>
      <c r="CC1944" s="2" t="s">
        <v>161</v>
      </c>
      <c r="CD1944" s="2">
        <v>7441</v>
      </c>
      <c r="CE1944" s="2" t="s">
        <v>108</v>
      </c>
      <c r="CF1944" s="5">
        <v>42667</v>
      </c>
      <c r="CG1944" s="2"/>
      <c r="CH1944" s="2"/>
      <c r="CI1944" s="2">
        <v>1</v>
      </c>
      <c r="CJ1944" s="2">
        <v>1</v>
      </c>
      <c r="CK1944" s="2">
        <v>21</v>
      </c>
      <c r="CL1944" s="2" t="s">
        <v>88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"FES1162508280"</f>
        <v>FES1162508280</v>
      </c>
      <c r="F1945" s="3">
        <v>42663</v>
      </c>
      <c r="G1945" s="2">
        <v>201704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269</v>
      </c>
      <c r="M1945" s="2" t="s">
        <v>270</v>
      </c>
      <c r="N1945" s="2" t="s">
        <v>1504</v>
      </c>
      <c r="O1945" s="2" t="s">
        <v>96</v>
      </c>
      <c r="P1945" s="2" t="str">
        <f>"2170531565                    "</f>
        <v xml:space="preserve">2170531565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3.32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1</v>
      </c>
      <c r="BJ1945" s="2">
        <v>0.2</v>
      </c>
      <c r="BK1945" s="2">
        <v>1</v>
      </c>
      <c r="BL1945" s="2">
        <v>40.76</v>
      </c>
      <c r="BM1945" s="2">
        <v>5.71</v>
      </c>
      <c r="BN1945" s="2">
        <v>46.47</v>
      </c>
      <c r="BO1945" s="2">
        <v>46.47</v>
      </c>
      <c r="BP1945" s="2"/>
      <c r="BQ1945" s="2" t="s">
        <v>168</v>
      </c>
      <c r="BR1945" s="2" t="s">
        <v>83</v>
      </c>
      <c r="BS1945" s="3">
        <v>42664</v>
      </c>
      <c r="BT1945" s="4">
        <v>0.34375</v>
      </c>
      <c r="BU1945" s="2" t="s">
        <v>2032</v>
      </c>
      <c r="BV1945" s="2" t="s">
        <v>85</v>
      </c>
      <c r="BW1945" s="2"/>
      <c r="BX1945" s="2"/>
      <c r="BY1945" s="2">
        <v>1200</v>
      </c>
      <c r="BZ1945" s="2" t="s">
        <v>27</v>
      </c>
      <c r="CA1945" s="2"/>
      <c r="CB1945" s="2"/>
      <c r="CC1945" s="2" t="s">
        <v>270</v>
      </c>
      <c r="CD1945" s="2">
        <v>3610</v>
      </c>
      <c r="CE1945" s="2" t="s">
        <v>108</v>
      </c>
      <c r="CF1945" s="2"/>
      <c r="CG1945" s="2"/>
      <c r="CH1945" s="2"/>
      <c r="CI1945" s="2">
        <v>1</v>
      </c>
      <c r="CJ1945" s="2">
        <v>1</v>
      </c>
      <c r="CK1945" s="2">
        <v>21</v>
      </c>
      <c r="CL1945" s="2" t="s">
        <v>88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"FES1162508304"</f>
        <v>FES1162508304</v>
      </c>
      <c r="F1946" s="3">
        <v>42663</v>
      </c>
      <c r="G1946" s="2">
        <v>201704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98</v>
      </c>
      <c r="M1946" s="2" t="s">
        <v>99</v>
      </c>
      <c r="N1946" s="2" t="s">
        <v>104</v>
      </c>
      <c r="O1946" s="2" t="s">
        <v>96</v>
      </c>
      <c r="P1946" s="2" t="str">
        <f>"2170531610                    "</f>
        <v xml:space="preserve">2170531610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3.32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1</v>
      </c>
      <c r="BJ1946" s="2">
        <v>0.2</v>
      </c>
      <c r="BK1946" s="2">
        <v>1</v>
      </c>
      <c r="BL1946" s="2">
        <v>40.76</v>
      </c>
      <c r="BM1946" s="2">
        <v>5.71</v>
      </c>
      <c r="BN1946" s="2">
        <v>46.47</v>
      </c>
      <c r="BO1946" s="2">
        <v>46.47</v>
      </c>
      <c r="BP1946" s="2"/>
      <c r="BQ1946" s="2" t="s">
        <v>105</v>
      </c>
      <c r="BR1946" s="2" t="s">
        <v>83</v>
      </c>
      <c r="BS1946" s="3">
        <v>42664</v>
      </c>
      <c r="BT1946" s="4">
        <v>0.40277777777777773</v>
      </c>
      <c r="BU1946" s="2" t="s">
        <v>2050</v>
      </c>
      <c r="BV1946" s="2" t="s">
        <v>85</v>
      </c>
      <c r="BW1946" s="2"/>
      <c r="BX1946" s="2"/>
      <c r="BY1946" s="2">
        <v>1200</v>
      </c>
      <c r="BZ1946" s="2" t="s">
        <v>27</v>
      </c>
      <c r="CA1946" s="2"/>
      <c r="CB1946" s="2"/>
      <c r="CC1946" s="2" t="s">
        <v>99</v>
      </c>
      <c r="CD1946" s="2">
        <v>6001</v>
      </c>
      <c r="CE1946" s="2" t="s">
        <v>108</v>
      </c>
      <c r="CF1946" s="5">
        <v>42667</v>
      </c>
      <c r="CG1946" s="2"/>
      <c r="CH1946" s="2"/>
      <c r="CI1946" s="2">
        <v>1</v>
      </c>
      <c r="CJ1946" s="2">
        <v>1</v>
      </c>
      <c r="CK1946" s="2">
        <v>21</v>
      </c>
      <c r="CL1946" s="2" t="s">
        <v>88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"FES1162508228"</f>
        <v>FES1162508228</v>
      </c>
      <c r="F1947" s="3">
        <v>42663</v>
      </c>
      <c r="G1947" s="2">
        <v>201704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137</v>
      </c>
      <c r="M1947" s="2" t="s">
        <v>138</v>
      </c>
      <c r="N1947" s="2" t="s">
        <v>1916</v>
      </c>
      <c r="O1947" s="2" t="s">
        <v>96</v>
      </c>
      <c r="P1947" s="2" t="str">
        <f>"2170531524                    "</f>
        <v xml:space="preserve">2170531524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3.32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40.76</v>
      </c>
      <c r="BM1947" s="2">
        <v>5.71</v>
      </c>
      <c r="BN1947" s="2">
        <v>46.47</v>
      </c>
      <c r="BO1947" s="2">
        <v>46.47</v>
      </c>
      <c r="BP1947" s="2"/>
      <c r="BQ1947" s="2" t="s">
        <v>168</v>
      </c>
      <c r="BR1947" s="2" t="s">
        <v>83</v>
      </c>
      <c r="BS1947" s="3">
        <v>42664</v>
      </c>
      <c r="BT1947" s="4">
        <v>0.4145833333333333</v>
      </c>
      <c r="BU1947" s="2" t="s">
        <v>2051</v>
      </c>
      <c r="BV1947" s="2"/>
      <c r="BW1947" s="2"/>
      <c r="BX1947" s="2"/>
      <c r="BY1947" s="2">
        <v>1200</v>
      </c>
      <c r="BZ1947" s="2" t="s">
        <v>27</v>
      </c>
      <c r="CA1947" s="2"/>
      <c r="CB1947" s="2"/>
      <c r="CC1947" s="2" t="s">
        <v>138</v>
      </c>
      <c r="CD1947" s="2">
        <v>3201</v>
      </c>
      <c r="CE1947" s="2" t="s">
        <v>108</v>
      </c>
      <c r="CF1947" s="5">
        <v>42664</v>
      </c>
      <c r="CG1947" s="2"/>
      <c r="CH1947" s="2"/>
      <c r="CI1947" s="2">
        <v>0</v>
      </c>
      <c r="CJ1947" s="2">
        <v>0</v>
      </c>
      <c r="CK1947" s="2">
        <v>21</v>
      </c>
      <c r="CL1947" s="2" t="s">
        <v>88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"FES1162508249"</f>
        <v>FES1162508249</v>
      </c>
      <c r="F1948" s="3">
        <v>42663</v>
      </c>
      <c r="G1948" s="2">
        <v>201704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207</v>
      </c>
      <c r="M1948" s="2" t="s">
        <v>208</v>
      </c>
      <c r="N1948" s="2" t="s">
        <v>1774</v>
      </c>
      <c r="O1948" s="2" t="s">
        <v>96</v>
      </c>
      <c r="P1948" s="2" t="str">
        <f>"2170531442                    "</f>
        <v xml:space="preserve">2170531442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3.32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1</v>
      </c>
      <c r="BJ1948" s="2">
        <v>0.2</v>
      </c>
      <c r="BK1948" s="2">
        <v>1</v>
      </c>
      <c r="BL1948" s="2">
        <v>40.76</v>
      </c>
      <c r="BM1948" s="2">
        <v>5.71</v>
      </c>
      <c r="BN1948" s="2">
        <v>46.47</v>
      </c>
      <c r="BO1948" s="2">
        <v>46.47</v>
      </c>
      <c r="BP1948" s="2"/>
      <c r="BQ1948" s="2" t="s">
        <v>168</v>
      </c>
      <c r="BR1948" s="2" t="s">
        <v>83</v>
      </c>
      <c r="BS1948" s="3">
        <v>42664</v>
      </c>
      <c r="BT1948" s="4">
        <v>0.4375</v>
      </c>
      <c r="BU1948" s="2" t="s">
        <v>2052</v>
      </c>
      <c r="BV1948" s="2" t="s">
        <v>85</v>
      </c>
      <c r="BW1948" s="2"/>
      <c r="BX1948" s="2"/>
      <c r="BY1948" s="2">
        <v>1200</v>
      </c>
      <c r="BZ1948" s="2" t="s">
        <v>27</v>
      </c>
      <c r="CA1948" s="2"/>
      <c r="CB1948" s="2"/>
      <c r="CC1948" s="2" t="s">
        <v>208</v>
      </c>
      <c r="CD1948" s="2">
        <v>4113</v>
      </c>
      <c r="CE1948" s="2" t="s">
        <v>108</v>
      </c>
      <c r="CF1948" s="5">
        <v>42667</v>
      </c>
      <c r="CG1948" s="2"/>
      <c r="CH1948" s="2"/>
      <c r="CI1948" s="2">
        <v>1</v>
      </c>
      <c r="CJ1948" s="2">
        <v>1</v>
      </c>
      <c r="CK1948" s="2">
        <v>21</v>
      </c>
      <c r="CL1948" s="2" t="s">
        <v>88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"FES1162508297"</f>
        <v>FES1162508297</v>
      </c>
      <c r="F1949" s="3">
        <v>42663</v>
      </c>
      <c r="G1949" s="2">
        <v>201704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160</v>
      </c>
      <c r="M1949" s="2" t="s">
        <v>161</v>
      </c>
      <c r="N1949" s="2" t="s">
        <v>1397</v>
      </c>
      <c r="O1949" s="2" t="s">
        <v>96</v>
      </c>
      <c r="P1949" s="2" t="str">
        <f>"2170531597                    "</f>
        <v xml:space="preserve">2170531597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3.32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1</v>
      </c>
      <c r="BJ1949" s="2">
        <v>0.2</v>
      </c>
      <c r="BK1949" s="2">
        <v>1</v>
      </c>
      <c r="BL1949" s="2">
        <v>40.76</v>
      </c>
      <c r="BM1949" s="2">
        <v>5.71</v>
      </c>
      <c r="BN1949" s="2">
        <v>46.47</v>
      </c>
      <c r="BO1949" s="2">
        <v>46.47</v>
      </c>
      <c r="BP1949" s="2"/>
      <c r="BQ1949" s="2" t="s">
        <v>127</v>
      </c>
      <c r="BR1949" s="2" t="s">
        <v>83</v>
      </c>
      <c r="BS1949" s="3">
        <v>42664</v>
      </c>
      <c r="BT1949" s="4">
        <v>0.41666666666666669</v>
      </c>
      <c r="BU1949" s="2" t="s">
        <v>2053</v>
      </c>
      <c r="BV1949" s="2" t="s">
        <v>85</v>
      </c>
      <c r="BW1949" s="2"/>
      <c r="BX1949" s="2"/>
      <c r="BY1949" s="2">
        <v>1200</v>
      </c>
      <c r="BZ1949" s="2" t="s">
        <v>27</v>
      </c>
      <c r="CA1949" s="2"/>
      <c r="CB1949" s="2"/>
      <c r="CC1949" s="2" t="s">
        <v>161</v>
      </c>
      <c r="CD1949" s="2">
        <v>7460</v>
      </c>
      <c r="CE1949" s="2" t="s">
        <v>108</v>
      </c>
      <c r="CF1949" s="5">
        <v>42667</v>
      </c>
      <c r="CG1949" s="2"/>
      <c r="CH1949" s="2"/>
      <c r="CI1949" s="2">
        <v>1</v>
      </c>
      <c r="CJ1949" s="2">
        <v>1</v>
      </c>
      <c r="CK1949" s="2">
        <v>21</v>
      </c>
      <c r="CL1949" s="2" t="s">
        <v>88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"FES1162508087"</f>
        <v>FES1162508087</v>
      </c>
      <c r="F1950" s="3">
        <v>42663</v>
      </c>
      <c r="G1950" s="2">
        <v>201704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160</v>
      </c>
      <c r="M1950" s="2" t="s">
        <v>161</v>
      </c>
      <c r="N1950" s="2" t="s">
        <v>179</v>
      </c>
      <c r="O1950" s="2" t="s">
        <v>96</v>
      </c>
      <c r="P1950" s="2" t="str">
        <f>"2170531421                    "</f>
        <v xml:space="preserve">2170531421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3.32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1</v>
      </c>
      <c r="BJ1950" s="2">
        <v>0.2</v>
      </c>
      <c r="BK1950" s="2">
        <v>1</v>
      </c>
      <c r="BL1950" s="2">
        <v>40.76</v>
      </c>
      <c r="BM1950" s="2">
        <v>5.71</v>
      </c>
      <c r="BN1950" s="2">
        <v>46.47</v>
      </c>
      <c r="BO1950" s="2">
        <v>46.47</v>
      </c>
      <c r="BP1950" s="2"/>
      <c r="BQ1950" s="2" t="s">
        <v>180</v>
      </c>
      <c r="BR1950" s="2" t="s">
        <v>83</v>
      </c>
      <c r="BS1950" s="3">
        <v>42664</v>
      </c>
      <c r="BT1950" s="4">
        <v>0.41666666666666669</v>
      </c>
      <c r="BU1950" s="2" t="s">
        <v>1988</v>
      </c>
      <c r="BV1950" s="2" t="s">
        <v>85</v>
      </c>
      <c r="BW1950" s="2"/>
      <c r="BX1950" s="2"/>
      <c r="BY1950" s="2">
        <v>1200</v>
      </c>
      <c r="BZ1950" s="2" t="s">
        <v>27</v>
      </c>
      <c r="CA1950" s="2"/>
      <c r="CB1950" s="2"/>
      <c r="CC1950" s="2" t="s">
        <v>161</v>
      </c>
      <c r="CD1950" s="2">
        <v>7405</v>
      </c>
      <c r="CE1950" s="2" t="s">
        <v>108</v>
      </c>
      <c r="CF1950" s="5">
        <v>42667</v>
      </c>
      <c r="CG1950" s="2"/>
      <c r="CH1950" s="2"/>
      <c r="CI1950" s="2">
        <v>1</v>
      </c>
      <c r="CJ1950" s="2">
        <v>1</v>
      </c>
      <c r="CK1950" s="2">
        <v>21</v>
      </c>
      <c r="CL1950" s="2" t="s">
        <v>88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"FES1162508232"</f>
        <v>FES1162508232</v>
      </c>
      <c r="F1951" s="3">
        <v>42663</v>
      </c>
      <c r="G1951" s="2">
        <v>201704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160</v>
      </c>
      <c r="M1951" s="2" t="s">
        <v>161</v>
      </c>
      <c r="N1951" s="2" t="s">
        <v>334</v>
      </c>
      <c r="O1951" s="2" t="s">
        <v>96</v>
      </c>
      <c r="P1951" s="2" t="str">
        <f>"2170531530                    "</f>
        <v xml:space="preserve">2170531530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3.32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1</v>
      </c>
      <c r="BJ1951" s="2">
        <v>0.2</v>
      </c>
      <c r="BK1951" s="2">
        <v>1</v>
      </c>
      <c r="BL1951" s="2">
        <v>40.76</v>
      </c>
      <c r="BM1951" s="2">
        <v>5.71</v>
      </c>
      <c r="BN1951" s="2">
        <v>46.47</v>
      </c>
      <c r="BO1951" s="2">
        <v>46.47</v>
      </c>
      <c r="BP1951" s="2"/>
      <c r="BQ1951" s="2" t="s">
        <v>168</v>
      </c>
      <c r="BR1951" s="2" t="s">
        <v>83</v>
      </c>
      <c r="BS1951" s="3">
        <v>42664</v>
      </c>
      <c r="BT1951" s="4">
        <v>0.45833333333333331</v>
      </c>
      <c r="BU1951" s="2" t="s">
        <v>2054</v>
      </c>
      <c r="BV1951" s="2" t="s">
        <v>85</v>
      </c>
      <c r="BW1951" s="2"/>
      <c r="BX1951" s="2"/>
      <c r="BY1951" s="2">
        <v>1200</v>
      </c>
      <c r="BZ1951" s="2" t="s">
        <v>27</v>
      </c>
      <c r="CA1951" s="2"/>
      <c r="CB1951" s="2"/>
      <c r="CC1951" s="2" t="s">
        <v>161</v>
      </c>
      <c r="CD1951" s="2">
        <v>7945</v>
      </c>
      <c r="CE1951" s="2" t="s">
        <v>108</v>
      </c>
      <c r="CF1951" s="5">
        <v>42667</v>
      </c>
      <c r="CG1951" s="2"/>
      <c r="CH1951" s="2"/>
      <c r="CI1951" s="2">
        <v>1</v>
      </c>
      <c r="CJ1951" s="2">
        <v>1</v>
      </c>
      <c r="CK1951" s="2">
        <v>21</v>
      </c>
      <c r="CL1951" s="2" t="s">
        <v>88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"FES1162508148"</f>
        <v>FES1162508148</v>
      </c>
      <c r="F1952" s="3">
        <v>42663</v>
      </c>
      <c r="G1952" s="2">
        <v>201704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160</v>
      </c>
      <c r="M1952" s="2" t="s">
        <v>161</v>
      </c>
      <c r="N1952" s="2" t="s">
        <v>930</v>
      </c>
      <c r="O1952" s="2" t="s">
        <v>96</v>
      </c>
      <c r="P1952" s="2" t="str">
        <f>"2170531432                    "</f>
        <v xml:space="preserve">2170531432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3.32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40.76</v>
      </c>
      <c r="BM1952" s="2">
        <v>5.71</v>
      </c>
      <c r="BN1952" s="2">
        <v>46.47</v>
      </c>
      <c r="BO1952" s="2">
        <v>46.47</v>
      </c>
      <c r="BP1952" s="2"/>
      <c r="BQ1952" s="2" t="s">
        <v>931</v>
      </c>
      <c r="BR1952" s="2" t="s">
        <v>83</v>
      </c>
      <c r="BS1952" s="3">
        <v>42664</v>
      </c>
      <c r="BT1952" s="4">
        <v>0.41666666666666669</v>
      </c>
      <c r="BU1952" s="2" t="s">
        <v>2055</v>
      </c>
      <c r="BV1952" s="2" t="s">
        <v>85</v>
      </c>
      <c r="BW1952" s="2"/>
      <c r="BX1952" s="2"/>
      <c r="BY1952" s="2">
        <v>1200</v>
      </c>
      <c r="BZ1952" s="2" t="s">
        <v>27</v>
      </c>
      <c r="CA1952" s="2"/>
      <c r="CB1952" s="2"/>
      <c r="CC1952" s="2" t="s">
        <v>161</v>
      </c>
      <c r="CD1952" s="2">
        <v>7460</v>
      </c>
      <c r="CE1952" s="2" t="s">
        <v>108</v>
      </c>
      <c r="CF1952" s="5">
        <v>42667</v>
      </c>
      <c r="CG1952" s="2"/>
      <c r="CH1952" s="2"/>
      <c r="CI1952" s="2">
        <v>1</v>
      </c>
      <c r="CJ1952" s="2">
        <v>1</v>
      </c>
      <c r="CK1952" s="2">
        <v>21</v>
      </c>
      <c r="CL1952" s="2" t="s">
        <v>88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"FES1162508095"</f>
        <v>FES1162508095</v>
      </c>
      <c r="F1953" s="3">
        <v>42663</v>
      </c>
      <c r="G1953" s="2">
        <v>201704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160</v>
      </c>
      <c r="M1953" s="2" t="s">
        <v>161</v>
      </c>
      <c r="N1953" s="2" t="s">
        <v>179</v>
      </c>
      <c r="O1953" s="2" t="s">
        <v>96</v>
      </c>
      <c r="P1953" s="2" t="str">
        <f>"2170526814                    "</f>
        <v xml:space="preserve">2170526814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3.32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2</v>
      </c>
      <c r="BJ1953" s="2">
        <v>0.2</v>
      </c>
      <c r="BK1953" s="2">
        <v>2</v>
      </c>
      <c r="BL1953" s="2">
        <v>40.76</v>
      </c>
      <c r="BM1953" s="2">
        <v>5.71</v>
      </c>
      <c r="BN1953" s="2">
        <v>46.47</v>
      </c>
      <c r="BO1953" s="2">
        <v>46.47</v>
      </c>
      <c r="BP1953" s="2"/>
      <c r="BQ1953" s="2" t="s">
        <v>180</v>
      </c>
      <c r="BR1953" s="2" t="s">
        <v>83</v>
      </c>
      <c r="BS1953" s="3">
        <v>42664</v>
      </c>
      <c r="BT1953" s="4">
        <v>0.41666666666666669</v>
      </c>
      <c r="BU1953" s="2" t="s">
        <v>1988</v>
      </c>
      <c r="BV1953" s="2" t="s">
        <v>85</v>
      </c>
      <c r="BW1953" s="2"/>
      <c r="BX1953" s="2"/>
      <c r="BY1953" s="2">
        <v>1200</v>
      </c>
      <c r="BZ1953" s="2" t="s">
        <v>27</v>
      </c>
      <c r="CA1953" s="2"/>
      <c r="CB1953" s="2"/>
      <c r="CC1953" s="2" t="s">
        <v>161</v>
      </c>
      <c r="CD1953" s="2">
        <v>7405</v>
      </c>
      <c r="CE1953" s="2" t="s">
        <v>108</v>
      </c>
      <c r="CF1953" s="5">
        <v>42667</v>
      </c>
      <c r="CG1953" s="2"/>
      <c r="CH1953" s="2"/>
      <c r="CI1953" s="2">
        <v>1</v>
      </c>
      <c r="CJ1953" s="2">
        <v>1</v>
      </c>
      <c r="CK1953" s="2">
        <v>21</v>
      </c>
      <c r="CL1953" s="2" t="s">
        <v>88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"FES1162508241"</f>
        <v>FES1162508241</v>
      </c>
      <c r="F1954" s="3">
        <v>42663</v>
      </c>
      <c r="G1954" s="2">
        <v>201704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78</v>
      </c>
      <c r="M1954" s="2" t="s">
        <v>79</v>
      </c>
      <c r="N1954" s="2" t="s">
        <v>2056</v>
      </c>
      <c r="O1954" s="2" t="s">
        <v>96</v>
      </c>
      <c r="P1954" s="2" t="str">
        <f>"2170531554                    "</f>
        <v xml:space="preserve">2170531554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3.32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1</v>
      </c>
      <c r="BJ1954" s="2">
        <v>0.2</v>
      </c>
      <c r="BK1954" s="2">
        <v>1</v>
      </c>
      <c r="BL1954" s="2">
        <v>40.76</v>
      </c>
      <c r="BM1954" s="2">
        <v>5.71</v>
      </c>
      <c r="BN1954" s="2">
        <v>46.47</v>
      </c>
      <c r="BO1954" s="2">
        <v>46.47</v>
      </c>
      <c r="BP1954" s="2"/>
      <c r="BQ1954" s="2"/>
      <c r="BR1954" s="2" t="s">
        <v>83</v>
      </c>
      <c r="BS1954" s="3">
        <v>42667</v>
      </c>
      <c r="BT1954" s="4">
        <v>0.41666666666666669</v>
      </c>
      <c r="BU1954" s="2" t="s">
        <v>2057</v>
      </c>
      <c r="BV1954" s="2" t="s">
        <v>88</v>
      </c>
      <c r="BW1954" s="2" t="s">
        <v>2058</v>
      </c>
      <c r="BX1954" s="2" t="s">
        <v>2059</v>
      </c>
      <c r="BY1954" s="2">
        <v>1200</v>
      </c>
      <c r="BZ1954" s="2" t="s">
        <v>27</v>
      </c>
      <c r="CA1954" s="2"/>
      <c r="CB1954" s="2"/>
      <c r="CC1954" s="2" t="s">
        <v>79</v>
      </c>
      <c r="CD1954" s="2">
        <v>1930</v>
      </c>
      <c r="CE1954" s="2" t="s">
        <v>108</v>
      </c>
      <c r="CF1954" s="5">
        <v>42669</v>
      </c>
      <c r="CG1954" s="2"/>
      <c r="CH1954" s="2"/>
      <c r="CI1954" s="2">
        <v>1</v>
      </c>
      <c r="CJ1954" s="2">
        <v>2</v>
      </c>
      <c r="CK1954" s="2">
        <v>21</v>
      </c>
      <c r="CL1954" s="2" t="s">
        <v>88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"FES1162508197"</f>
        <v>FES1162508197</v>
      </c>
      <c r="F1955" s="3">
        <v>42663</v>
      </c>
      <c r="G1955" s="2">
        <v>201704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137</v>
      </c>
      <c r="M1955" s="2" t="s">
        <v>138</v>
      </c>
      <c r="N1955" s="2" t="s">
        <v>2060</v>
      </c>
      <c r="O1955" s="2" t="s">
        <v>96</v>
      </c>
      <c r="P1955" s="2" t="str">
        <f>"2170531493                    "</f>
        <v xml:space="preserve">2170531493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5.81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3</v>
      </c>
      <c r="BJ1955" s="2">
        <v>3.5</v>
      </c>
      <c r="BK1955" s="2">
        <v>3.5</v>
      </c>
      <c r="BL1955" s="2">
        <v>71.33</v>
      </c>
      <c r="BM1955" s="2">
        <v>9.99</v>
      </c>
      <c r="BN1955" s="2">
        <v>81.319999999999993</v>
      </c>
      <c r="BO1955" s="2">
        <v>81.319999999999993</v>
      </c>
      <c r="BP1955" s="2"/>
      <c r="BQ1955" s="2" t="s">
        <v>2061</v>
      </c>
      <c r="BR1955" s="2" t="s">
        <v>83</v>
      </c>
      <c r="BS1955" s="3">
        <v>42664</v>
      </c>
      <c r="BT1955" s="4">
        <v>0.40972222222222227</v>
      </c>
      <c r="BU1955" s="2" t="s">
        <v>860</v>
      </c>
      <c r="BV1955" s="2"/>
      <c r="BW1955" s="2"/>
      <c r="BX1955" s="2"/>
      <c r="BY1955" s="2">
        <v>17353.43</v>
      </c>
      <c r="BZ1955" s="2" t="s">
        <v>27</v>
      </c>
      <c r="CA1955" s="2" t="s">
        <v>170</v>
      </c>
      <c r="CB1955" s="2"/>
      <c r="CC1955" s="2" t="s">
        <v>138</v>
      </c>
      <c r="CD1955" s="2">
        <v>3201</v>
      </c>
      <c r="CE1955" s="2" t="s">
        <v>368</v>
      </c>
      <c r="CF1955" s="5">
        <v>42664</v>
      </c>
      <c r="CG1955" s="2"/>
      <c r="CH1955" s="2"/>
      <c r="CI1955" s="2">
        <v>0</v>
      </c>
      <c r="CJ1955" s="2">
        <v>0</v>
      </c>
      <c r="CK1955" s="2">
        <v>21</v>
      </c>
      <c r="CL1955" s="2" t="s">
        <v>88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"FES1162508330"</f>
        <v>FES1162508330</v>
      </c>
      <c r="F1956" s="3">
        <v>42663</v>
      </c>
      <c r="G1956" s="2">
        <v>201704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510</v>
      </c>
      <c r="M1956" s="2" t="s">
        <v>511</v>
      </c>
      <c r="N1956" s="2" t="s">
        <v>982</v>
      </c>
      <c r="O1956" s="2" t="s">
        <v>96</v>
      </c>
      <c r="P1956" s="2" t="str">
        <f>"2170531639                    "</f>
        <v xml:space="preserve">2170531639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9.9499999999999993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3</v>
      </c>
      <c r="BJ1956" s="2">
        <v>5.7</v>
      </c>
      <c r="BK1956" s="2">
        <v>6</v>
      </c>
      <c r="BL1956" s="2">
        <v>122.27</v>
      </c>
      <c r="BM1956" s="2">
        <v>17.12</v>
      </c>
      <c r="BN1956" s="2">
        <v>139.38999999999999</v>
      </c>
      <c r="BO1956" s="2">
        <v>139.38999999999999</v>
      </c>
      <c r="BP1956" s="2"/>
      <c r="BQ1956" s="2" t="s">
        <v>983</v>
      </c>
      <c r="BR1956" s="2" t="s">
        <v>83</v>
      </c>
      <c r="BS1956" s="3">
        <v>42664</v>
      </c>
      <c r="BT1956" s="4">
        <v>0.4375</v>
      </c>
      <c r="BU1956" s="2" t="s">
        <v>984</v>
      </c>
      <c r="BV1956" s="2" t="s">
        <v>85</v>
      </c>
      <c r="BW1956" s="2"/>
      <c r="BX1956" s="2"/>
      <c r="BY1956" s="2">
        <v>28728</v>
      </c>
      <c r="BZ1956" s="2" t="s">
        <v>27</v>
      </c>
      <c r="CA1956" s="2"/>
      <c r="CB1956" s="2"/>
      <c r="CC1956" s="2" t="s">
        <v>511</v>
      </c>
      <c r="CD1956" s="2">
        <v>3290</v>
      </c>
      <c r="CE1956" s="2" t="s">
        <v>86</v>
      </c>
      <c r="CF1956" s="5">
        <v>42667</v>
      </c>
      <c r="CG1956" s="2"/>
      <c r="CH1956" s="2"/>
      <c r="CI1956" s="2">
        <v>1</v>
      </c>
      <c r="CJ1956" s="2">
        <v>1</v>
      </c>
      <c r="CK1956" s="2">
        <v>21</v>
      </c>
      <c r="CL1956" s="2" t="s">
        <v>88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"FES1162508173"</f>
        <v>FES1162508173</v>
      </c>
      <c r="F1957" s="3">
        <v>42663</v>
      </c>
      <c r="G1957" s="2">
        <v>201704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153</v>
      </c>
      <c r="M1957" s="2" t="s">
        <v>153</v>
      </c>
      <c r="N1957" s="2" t="s">
        <v>501</v>
      </c>
      <c r="O1957" s="2" t="s">
        <v>96</v>
      </c>
      <c r="P1957" s="2" t="str">
        <f>"2170531414                    "</f>
        <v xml:space="preserve">2170531414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3.32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1</v>
      </c>
      <c r="BJ1957" s="2">
        <v>0.2</v>
      </c>
      <c r="BK1957" s="2">
        <v>1</v>
      </c>
      <c r="BL1957" s="2">
        <v>40.76</v>
      </c>
      <c r="BM1957" s="2">
        <v>5.71</v>
      </c>
      <c r="BN1957" s="2">
        <v>46.47</v>
      </c>
      <c r="BO1957" s="2">
        <v>46.47</v>
      </c>
      <c r="BP1957" s="2"/>
      <c r="BQ1957" s="2" t="s">
        <v>82</v>
      </c>
      <c r="BR1957" s="2" t="s">
        <v>83</v>
      </c>
      <c r="BS1957" s="3">
        <v>42664</v>
      </c>
      <c r="BT1957" s="4">
        <v>0.54097222222222219</v>
      </c>
      <c r="BU1957" s="2" t="s">
        <v>752</v>
      </c>
      <c r="BV1957" s="2" t="s">
        <v>85</v>
      </c>
      <c r="BW1957" s="2"/>
      <c r="BX1957" s="2"/>
      <c r="BY1957" s="2">
        <v>1200</v>
      </c>
      <c r="BZ1957" s="2" t="s">
        <v>27</v>
      </c>
      <c r="CA1957" s="2"/>
      <c r="CB1957" s="2"/>
      <c r="CC1957" s="2" t="s">
        <v>153</v>
      </c>
      <c r="CD1957" s="2">
        <v>7620</v>
      </c>
      <c r="CE1957" s="2" t="s">
        <v>108</v>
      </c>
      <c r="CF1957" s="5">
        <v>42667</v>
      </c>
      <c r="CG1957" s="2"/>
      <c r="CH1957" s="2"/>
      <c r="CI1957" s="2">
        <v>1</v>
      </c>
      <c r="CJ1957" s="2">
        <v>1</v>
      </c>
      <c r="CK1957" s="2">
        <v>21</v>
      </c>
      <c r="CL1957" s="2" t="s">
        <v>88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"FES1162508243"</f>
        <v>FES1162508243</v>
      </c>
      <c r="F1958" s="3">
        <v>42663</v>
      </c>
      <c r="G1958" s="2">
        <v>201704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143</v>
      </c>
      <c r="M1958" s="2" t="s">
        <v>144</v>
      </c>
      <c r="N1958" s="2" t="s">
        <v>239</v>
      </c>
      <c r="O1958" s="2" t="s">
        <v>96</v>
      </c>
      <c r="P1958" s="2" t="str">
        <f>"2170530844                    "</f>
        <v xml:space="preserve">2170530844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14.93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9</v>
      </c>
      <c r="BJ1958" s="2">
        <v>4.7</v>
      </c>
      <c r="BK1958" s="2">
        <v>9</v>
      </c>
      <c r="BL1958" s="2">
        <v>183.41</v>
      </c>
      <c r="BM1958" s="2">
        <v>25.68</v>
      </c>
      <c r="BN1958" s="2">
        <v>209.09</v>
      </c>
      <c r="BO1958" s="2">
        <v>209.09</v>
      </c>
      <c r="BP1958" s="2"/>
      <c r="BQ1958" s="2" t="s">
        <v>168</v>
      </c>
      <c r="BR1958" s="2" t="s">
        <v>83</v>
      </c>
      <c r="BS1958" s="3">
        <v>42664</v>
      </c>
      <c r="BT1958" s="4">
        <v>0.4375</v>
      </c>
      <c r="BU1958" s="2" t="s">
        <v>2062</v>
      </c>
      <c r="BV1958" s="2"/>
      <c r="BW1958" s="2"/>
      <c r="BX1958" s="2"/>
      <c r="BY1958" s="2">
        <v>23556</v>
      </c>
      <c r="BZ1958" s="2" t="s">
        <v>27</v>
      </c>
      <c r="CA1958" s="2"/>
      <c r="CB1958" s="2"/>
      <c r="CC1958" s="2" t="s">
        <v>144</v>
      </c>
      <c r="CD1958" s="2">
        <v>5201</v>
      </c>
      <c r="CE1958" s="2" t="s">
        <v>368</v>
      </c>
      <c r="CF1958" s="5">
        <v>42668</v>
      </c>
      <c r="CG1958" s="2"/>
      <c r="CH1958" s="2"/>
      <c r="CI1958" s="2">
        <v>0</v>
      </c>
      <c r="CJ1958" s="2">
        <v>0</v>
      </c>
      <c r="CK1958" s="2">
        <v>21</v>
      </c>
      <c r="CL1958" s="2" t="s">
        <v>88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"FES1162508287"</f>
        <v>FES1162508287</v>
      </c>
      <c r="F1959" s="3">
        <v>42663</v>
      </c>
      <c r="G1959" s="2">
        <v>201704</v>
      </c>
      <c r="H1959" s="2" t="s">
        <v>74</v>
      </c>
      <c r="I1959" s="2" t="s">
        <v>75</v>
      </c>
      <c r="J1959" s="2" t="s">
        <v>76</v>
      </c>
      <c r="K1959" s="2" t="s">
        <v>77</v>
      </c>
      <c r="L1959" s="2" t="s">
        <v>143</v>
      </c>
      <c r="M1959" s="2" t="s">
        <v>144</v>
      </c>
      <c r="N1959" s="2" t="s">
        <v>1018</v>
      </c>
      <c r="O1959" s="2" t="s">
        <v>96</v>
      </c>
      <c r="P1959" s="2" t="str">
        <f>"2170531578                    "</f>
        <v xml:space="preserve">2170531578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14.93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9</v>
      </c>
      <c r="BJ1959" s="2">
        <v>4.0999999999999996</v>
      </c>
      <c r="BK1959" s="2">
        <v>9</v>
      </c>
      <c r="BL1959" s="2">
        <v>183.41</v>
      </c>
      <c r="BM1959" s="2">
        <v>25.68</v>
      </c>
      <c r="BN1959" s="2">
        <v>209.09</v>
      </c>
      <c r="BO1959" s="2">
        <v>209.09</v>
      </c>
      <c r="BP1959" s="2"/>
      <c r="BQ1959" s="2" t="s">
        <v>91</v>
      </c>
      <c r="BR1959" s="2" t="s">
        <v>83</v>
      </c>
      <c r="BS1959" s="3">
        <v>42664</v>
      </c>
      <c r="BT1959" s="4">
        <v>0.4375</v>
      </c>
      <c r="BU1959" s="2" t="s">
        <v>1991</v>
      </c>
      <c r="BV1959" s="2"/>
      <c r="BW1959" s="2"/>
      <c r="BX1959" s="2"/>
      <c r="BY1959" s="2">
        <v>20358</v>
      </c>
      <c r="BZ1959" s="2" t="s">
        <v>27</v>
      </c>
      <c r="CA1959" s="2"/>
      <c r="CB1959" s="2"/>
      <c r="CC1959" s="2" t="s">
        <v>144</v>
      </c>
      <c r="CD1959" s="2">
        <v>5201</v>
      </c>
      <c r="CE1959" s="2" t="s">
        <v>86</v>
      </c>
      <c r="CF1959" s="5">
        <v>42668</v>
      </c>
      <c r="CG1959" s="2"/>
      <c r="CH1959" s="2"/>
      <c r="CI1959" s="2">
        <v>0</v>
      </c>
      <c r="CJ1959" s="2">
        <v>0</v>
      </c>
      <c r="CK1959" s="2">
        <v>21</v>
      </c>
      <c r="CL1959" s="2" t="s">
        <v>88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"FES1162508080"</f>
        <v>FES1162508080</v>
      </c>
      <c r="F1960" s="3">
        <v>42663</v>
      </c>
      <c r="G1960" s="2">
        <v>201704</v>
      </c>
      <c r="H1960" s="2" t="s">
        <v>74</v>
      </c>
      <c r="I1960" s="2" t="s">
        <v>75</v>
      </c>
      <c r="J1960" s="2" t="s">
        <v>76</v>
      </c>
      <c r="K1960" s="2" t="s">
        <v>77</v>
      </c>
      <c r="L1960" s="2" t="s">
        <v>153</v>
      </c>
      <c r="M1960" s="2" t="s">
        <v>153</v>
      </c>
      <c r="N1960" s="2" t="s">
        <v>200</v>
      </c>
      <c r="O1960" s="2" t="s">
        <v>96</v>
      </c>
      <c r="P1960" s="2" t="str">
        <f>"2170531407                    "</f>
        <v xml:space="preserve">2170531407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3.32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1.7</v>
      </c>
      <c r="BJ1960" s="2">
        <v>1</v>
      </c>
      <c r="BK1960" s="2">
        <v>2</v>
      </c>
      <c r="BL1960" s="2">
        <v>40.76</v>
      </c>
      <c r="BM1960" s="2">
        <v>5.71</v>
      </c>
      <c r="BN1960" s="2">
        <v>46.47</v>
      </c>
      <c r="BO1960" s="2">
        <v>46.47</v>
      </c>
      <c r="BP1960" s="2"/>
      <c r="BQ1960" s="2" t="s">
        <v>201</v>
      </c>
      <c r="BR1960" s="2" t="s">
        <v>83</v>
      </c>
      <c r="BS1960" s="3">
        <v>42664</v>
      </c>
      <c r="BT1960" s="4">
        <v>0.5493055555555556</v>
      </c>
      <c r="BU1960" s="2" t="s">
        <v>448</v>
      </c>
      <c r="BV1960" s="2" t="s">
        <v>85</v>
      </c>
      <c r="BW1960" s="2"/>
      <c r="BX1960" s="2"/>
      <c r="BY1960" s="2">
        <v>5015.68</v>
      </c>
      <c r="BZ1960" s="2" t="s">
        <v>27</v>
      </c>
      <c r="CA1960" s="2"/>
      <c r="CB1960" s="2"/>
      <c r="CC1960" s="2" t="s">
        <v>153</v>
      </c>
      <c r="CD1960" s="2">
        <v>7646</v>
      </c>
      <c r="CE1960" s="2" t="s">
        <v>86</v>
      </c>
      <c r="CF1960" s="5">
        <v>42667</v>
      </c>
      <c r="CG1960" s="2"/>
      <c r="CH1960" s="2"/>
      <c r="CI1960" s="2">
        <v>1</v>
      </c>
      <c r="CJ1960" s="2">
        <v>1</v>
      </c>
      <c r="CK1960" s="2">
        <v>21</v>
      </c>
      <c r="CL1960" s="2" t="s">
        <v>88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"FES162508176"</f>
        <v>FES162508176</v>
      </c>
      <c r="F1961" s="3">
        <v>42663</v>
      </c>
      <c r="G1961" s="2">
        <v>201704</v>
      </c>
      <c r="H1961" s="2" t="s">
        <v>74</v>
      </c>
      <c r="I1961" s="2" t="s">
        <v>75</v>
      </c>
      <c r="J1961" s="2" t="s">
        <v>76</v>
      </c>
      <c r="K1961" s="2" t="s">
        <v>77</v>
      </c>
      <c r="L1961" s="2" t="s">
        <v>253</v>
      </c>
      <c r="M1961" s="2" t="s">
        <v>254</v>
      </c>
      <c r="N1961" s="2" t="s">
        <v>255</v>
      </c>
      <c r="O1961" s="2" t="s">
        <v>96</v>
      </c>
      <c r="P1961" s="2" t="str">
        <f>"2170531440                    "</f>
        <v xml:space="preserve">2170531440       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16.59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5.3</v>
      </c>
      <c r="BJ1961" s="2">
        <v>1.7</v>
      </c>
      <c r="BK1961" s="2">
        <v>5.5</v>
      </c>
      <c r="BL1961" s="2">
        <v>203.79</v>
      </c>
      <c r="BM1961" s="2">
        <v>28.53</v>
      </c>
      <c r="BN1961" s="2">
        <v>232.32</v>
      </c>
      <c r="BO1961" s="2">
        <v>232.32</v>
      </c>
      <c r="BP1961" s="2"/>
      <c r="BQ1961" s="2" t="s">
        <v>117</v>
      </c>
      <c r="BR1961" s="2" t="s">
        <v>83</v>
      </c>
      <c r="BS1961" s="3">
        <v>42664</v>
      </c>
      <c r="BT1961" s="4">
        <v>0.58333333333333337</v>
      </c>
      <c r="BU1961" s="2" t="s">
        <v>457</v>
      </c>
      <c r="BV1961" s="2" t="s">
        <v>85</v>
      </c>
      <c r="BW1961" s="2"/>
      <c r="BX1961" s="2"/>
      <c r="BY1961" s="2">
        <v>8346.6200000000008</v>
      </c>
      <c r="BZ1961" s="2" t="s">
        <v>27</v>
      </c>
      <c r="CA1961" s="2"/>
      <c r="CB1961" s="2"/>
      <c r="CC1961" s="2" t="s">
        <v>254</v>
      </c>
      <c r="CD1961" s="2">
        <v>3370</v>
      </c>
      <c r="CE1961" s="2" t="s">
        <v>86</v>
      </c>
      <c r="CF1961" s="2"/>
      <c r="CG1961" s="2"/>
      <c r="CH1961" s="2"/>
      <c r="CI1961" s="2">
        <v>3</v>
      </c>
      <c r="CJ1961" s="2">
        <v>1</v>
      </c>
      <c r="CK1961" s="2">
        <v>23</v>
      </c>
      <c r="CL1961" s="2" t="s">
        <v>88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"FES1162508274"</f>
        <v>FES1162508274</v>
      </c>
      <c r="F1962" s="3">
        <v>42663</v>
      </c>
      <c r="G1962" s="2">
        <v>201704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207</v>
      </c>
      <c r="M1962" s="2" t="s">
        <v>208</v>
      </c>
      <c r="N1962" s="2" t="s">
        <v>661</v>
      </c>
      <c r="O1962" s="2" t="s">
        <v>96</v>
      </c>
      <c r="P1962" s="2" t="str">
        <f>"2170531571                    "</f>
        <v xml:space="preserve">2170531571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4.1500000000000004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2.4</v>
      </c>
      <c r="BJ1962" s="2">
        <v>1.6</v>
      </c>
      <c r="BK1962" s="2">
        <v>2.5</v>
      </c>
      <c r="BL1962" s="2">
        <v>50.95</v>
      </c>
      <c r="BM1962" s="2">
        <v>7.13</v>
      </c>
      <c r="BN1962" s="2">
        <v>58.08</v>
      </c>
      <c r="BO1962" s="2">
        <v>58.08</v>
      </c>
      <c r="BP1962" s="2"/>
      <c r="BQ1962" s="2" t="s">
        <v>82</v>
      </c>
      <c r="BR1962" s="2" t="s">
        <v>83</v>
      </c>
      <c r="BS1962" s="3">
        <v>42664</v>
      </c>
      <c r="BT1962" s="4">
        <v>0.4375</v>
      </c>
      <c r="BU1962" s="2" t="s">
        <v>662</v>
      </c>
      <c r="BV1962" s="2" t="s">
        <v>85</v>
      </c>
      <c r="BW1962" s="2"/>
      <c r="BX1962" s="2"/>
      <c r="BY1962" s="2">
        <v>8189.75</v>
      </c>
      <c r="BZ1962" s="2" t="s">
        <v>27</v>
      </c>
      <c r="CA1962" s="2"/>
      <c r="CB1962" s="2"/>
      <c r="CC1962" s="2" t="s">
        <v>208</v>
      </c>
      <c r="CD1962" s="2">
        <v>4110</v>
      </c>
      <c r="CE1962" s="2" t="s">
        <v>86</v>
      </c>
      <c r="CF1962" s="5">
        <v>42667</v>
      </c>
      <c r="CG1962" s="2"/>
      <c r="CH1962" s="2"/>
      <c r="CI1962" s="2">
        <v>1</v>
      </c>
      <c r="CJ1962" s="2">
        <v>1</v>
      </c>
      <c r="CK1962" s="2">
        <v>21</v>
      </c>
      <c r="CL1962" s="2" t="s">
        <v>88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"009932186818"</f>
        <v>009932186818</v>
      </c>
      <c r="F1963" s="3">
        <v>42663</v>
      </c>
      <c r="G1963" s="2">
        <v>201704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160</v>
      </c>
      <c r="M1963" s="2" t="s">
        <v>161</v>
      </c>
      <c r="N1963" s="2" t="s">
        <v>236</v>
      </c>
      <c r="O1963" s="2" t="s">
        <v>96</v>
      </c>
      <c r="P1963" s="2" t="str">
        <f>"1162508052                    "</f>
        <v xml:space="preserve">1162508052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3.32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1</v>
      </c>
      <c r="BJ1963" s="2">
        <v>0.2</v>
      </c>
      <c r="BK1963" s="2">
        <v>1</v>
      </c>
      <c r="BL1963" s="2">
        <v>40.76</v>
      </c>
      <c r="BM1963" s="2">
        <v>5.71</v>
      </c>
      <c r="BN1963" s="2">
        <v>46.47</v>
      </c>
      <c r="BO1963" s="2">
        <v>46.47</v>
      </c>
      <c r="BP1963" s="2" t="s">
        <v>2063</v>
      </c>
      <c r="BQ1963" s="2" t="s">
        <v>237</v>
      </c>
      <c r="BR1963" s="2" t="s">
        <v>83</v>
      </c>
      <c r="BS1963" s="3">
        <v>42664</v>
      </c>
      <c r="BT1963" s="4">
        <v>0.41666666666666669</v>
      </c>
      <c r="BU1963" s="2" t="s">
        <v>2064</v>
      </c>
      <c r="BV1963" s="2" t="s">
        <v>85</v>
      </c>
      <c r="BW1963" s="2"/>
      <c r="BX1963" s="2"/>
      <c r="BY1963" s="2">
        <v>1200</v>
      </c>
      <c r="BZ1963" s="2" t="s">
        <v>27</v>
      </c>
      <c r="CA1963" s="2"/>
      <c r="CB1963" s="2"/>
      <c r="CC1963" s="2" t="s">
        <v>161</v>
      </c>
      <c r="CD1963" s="2">
        <v>7405</v>
      </c>
      <c r="CE1963" s="2" t="s">
        <v>108</v>
      </c>
      <c r="CF1963" s="5">
        <v>42667</v>
      </c>
      <c r="CG1963" s="2"/>
      <c r="CH1963" s="2"/>
      <c r="CI1963" s="2">
        <v>1</v>
      </c>
      <c r="CJ1963" s="2">
        <v>1</v>
      </c>
      <c r="CK1963" s="2">
        <v>21</v>
      </c>
      <c r="CL1963" s="2" t="s">
        <v>88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"FES1162508291"</f>
        <v>FES1162508291</v>
      </c>
      <c r="F1964" s="3">
        <v>42663</v>
      </c>
      <c r="G1964" s="2">
        <v>201704</v>
      </c>
      <c r="H1964" s="2" t="s">
        <v>74</v>
      </c>
      <c r="I1964" s="2" t="s">
        <v>75</v>
      </c>
      <c r="J1964" s="2" t="s">
        <v>76</v>
      </c>
      <c r="K1964" s="2" t="s">
        <v>77</v>
      </c>
      <c r="L1964" s="2" t="s">
        <v>269</v>
      </c>
      <c r="M1964" s="2" t="s">
        <v>270</v>
      </c>
      <c r="N1964" s="2" t="s">
        <v>1018</v>
      </c>
      <c r="O1964" s="2" t="s">
        <v>96</v>
      </c>
      <c r="P1964" s="2" t="str">
        <f>"2170531590                    "</f>
        <v xml:space="preserve">2170531590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3.32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1</v>
      </c>
      <c r="BJ1964" s="2">
        <v>0.2</v>
      </c>
      <c r="BK1964" s="2">
        <v>1</v>
      </c>
      <c r="BL1964" s="2">
        <v>40.76</v>
      </c>
      <c r="BM1964" s="2">
        <v>5.71</v>
      </c>
      <c r="BN1964" s="2">
        <v>46.47</v>
      </c>
      <c r="BO1964" s="2">
        <v>46.47</v>
      </c>
      <c r="BP1964" s="2"/>
      <c r="BQ1964" s="2" t="s">
        <v>2065</v>
      </c>
      <c r="BR1964" s="2" t="s">
        <v>83</v>
      </c>
      <c r="BS1964" s="3">
        <v>42664</v>
      </c>
      <c r="BT1964" s="4">
        <v>0.3611111111111111</v>
      </c>
      <c r="BU1964" s="2" t="s">
        <v>2066</v>
      </c>
      <c r="BV1964" s="2" t="s">
        <v>85</v>
      </c>
      <c r="BW1964" s="2"/>
      <c r="BX1964" s="2"/>
      <c r="BY1964" s="2">
        <v>1200</v>
      </c>
      <c r="BZ1964" s="2" t="s">
        <v>27</v>
      </c>
      <c r="CA1964" s="2"/>
      <c r="CB1964" s="2"/>
      <c r="CC1964" s="2" t="s">
        <v>270</v>
      </c>
      <c r="CD1964" s="2">
        <v>3610</v>
      </c>
      <c r="CE1964" s="2" t="s">
        <v>108</v>
      </c>
      <c r="CF1964" s="5">
        <v>42667</v>
      </c>
      <c r="CG1964" s="2"/>
      <c r="CH1964" s="2"/>
      <c r="CI1964" s="2">
        <v>1</v>
      </c>
      <c r="CJ1964" s="2">
        <v>1</v>
      </c>
      <c r="CK1964" s="2">
        <v>21</v>
      </c>
      <c r="CL1964" s="2" t="s">
        <v>88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"FES1162508289"</f>
        <v>FES1162508289</v>
      </c>
      <c r="F1965" s="3">
        <v>42663</v>
      </c>
      <c r="G1965" s="2">
        <v>201704</v>
      </c>
      <c r="H1965" s="2" t="s">
        <v>74</v>
      </c>
      <c r="I1965" s="2" t="s">
        <v>75</v>
      </c>
      <c r="J1965" s="2" t="s">
        <v>76</v>
      </c>
      <c r="K1965" s="2" t="s">
        <v>77</v>
      </c>
      <c r="L1965" s="2" t="s">
        <v>153</v>
      </c>
      <c r="M1965" s="2" t="s">
        <v>153</v>
      </c>
      <c r="N1965" s="2" t="s">
        <v>343</v>
      </c>
      <c r="O1965" s="2" t="s">
        <v>96</v>
      </c>
      <c r="P1965" s="2" t="str">
        <f>"2170531586                    "</f>
        <v xml:space="preserve">2170531586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3.32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1</v>
      </c>
      <c r="BJ1965" s="2">
        <v>0.2</v>
      </c>
      <c r="BK1965" s="2">
        <v>1</v>
      </c>
      <c r="BL1965" s="2">
        <v>40.76</v>
      </c>
      <c r="BM1965" s="2">
        <v>5.71</v>
      </c>
      <c r="BN1965" s="2">
        <v>46.47</v>
      </c>
      <c r="BO1965" s="2">
        <v>46.47</v>
      </c>
      <c r="BP1965" s="2"/>
      <c r="BQ1965" s="2" t="s">
        <v>344</v>
      </c>
      <c r="BR1965" s="2" t="s">
        <v>83</v>
      </c>
      <c r="BS1965" s="3">
        <v>42664</v>
      </c>
      <c r="BT1965" s="4">
        <v>0.54166666666666663</v>
      </c>
      <c r="BU1965" s="2" t="s">
        <v>345</v>
      </c>
      <c r="BV1965" s="2" t="s">
        <v>85</v>
      </c>
      <c r="BW1965" s="2"/>
      <c r="BX1965" s="2"/>
      <c r="BY1965" s="2">
        <v>1200</v>
      </c>
      <c r="BZ1965" s="2" t="s">
        <v>27</v>
      </c>
      <c r="CA1965" s="2"/>
      <c r="CB1965" s="2"/>
      <c r="CC1965" s="2" t="s">
        <v>153</v>
      </c>
      <c r="CD1965" s="2">
        <v>7646</v>
      </c>
      <c r="CE1965" s="2" t="s">
        <v>108</v>
      </c>
      <c r="CF1965" s="5">
        <v>42667</v>
      </c>
      <c r="CG1965" s="2"/>
      <c r="CH1965" s="2"/>
      <c r="CI1965" s="2">
        <v>1</v>
      </c>
      <c r="CJ1965" s="2">
        <v>1</v>
      </c>
      <c r="CK1965" s="2">
        <v>21</v>
      </c>
      <c r="CL1965" s="2" t="s">
        <v>88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"FES1162508262"</f>
        <v>FES1162508262</v>
      </c>
      <c r="F1966" s="3">
        <v>42663</v>
      </c>
      <c r="G1966" s="2">
        <v>201704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93</v>
      </c>
      <c r="M1966" s="2" t="s">
        <v>94</v>
      </c>
      <c r="N1966" s="2" t="s">
        <v>536</v>
      </c>
      <c r="O1966" s="2" t="s">
        <v>96</v>
      </c>
      <c r="P1966" s="2" t="str">
        <f>"2170531191                    "</f>
        <v xml:space="preserve">2170531191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13.27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8</v>
      </c>
      <c r="BJ1966" s="2">
        <v>2.6</v>
      </c>
      <c r="BK1966" s="2">
        <v>8</v>
      </c>
      <c r="BL1966" s="2">
        <v>163.03</v>
      </c>
      <c r="BM1966" s="2">
        <v>22.82</v>
      </c>
      <c r="BN1966" s="2">
        <v>185.85</v>
      </c>
      <c r="BO1966" s="2">
        <v>185.85</v>
      </c>
      <c r="BP1966" s="2"/>
      <c r="BQ1966" s="2" t="s">
        <v>537</v>
      </c>
      <c r="BR1966" s="2" t="s">
        <v>83</v>
      </c>
      <c r="BS1966" s="3">
        <v>42664</v>
      </c>
      <c r="BT1966" s="4">
        <v>0.4375</v>
      </c>
      <c r="BU1966" s="2" t="s">
        <v>538</v>
      </c>
      <c r="BV1966" s="2" t="s">
        <v>85</v>
      </c>
      <c r="BW1966" s="2"/>
      <c r="BX1966" s="2"/>
      <c r="BY1966" s="2">
        <v>12996</v>
      </c>
      <c r="BZ1966" s="2" t="s">
        <v>27</v>
      </c>
      <c r="CA1966" s="2"/>
      <c r="CB1966" s="2"/>
      <c r="CC1966" s="2" t="s">
        <v>94</v>
      </c>
      <c r="CD1966" s="2">
        <v>4300</v>
      </c>
      <c r="CE1966" s="2" t="s">
        <v>86</v>
      </c>
      <c r="CF1966" s="5">
        <v>42667</v>
      </c>
      <c r="CG1966" s="2"/>
      <c r="CH1966" s="2"/>
      <c r="CI1966" s="2">
        <v>1</v>
      </c>
      <c r="CJ1966" s="2">
        <v>1</v>
      </c>
      <c r="CK1966" s="2">
        <v>21</v>
      </c>
      <c r="CL1966" s="2" t="s">
        <v>88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"FES1162508318"</f>
        <v>FES1162508318</v>
      </c>
      <c r="F1967" s="3">
        <v>42663</v>
      </c>
      <c r="G1967" s="2">
        <v>201704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148</v>
      </c>
      <c r="M1967" s="2" t="s">
        <v>149</v>
      </c>
      <c r="N1967" s="2" t="s">
        <v>473</v>
      </c>
      <c r="O1967" s="2" t="s">
        <v>96</v>
      </c>
      <c r="P1967" s="2" t="str">
        <f>"2170531615                    "</f>
        <v xml:space="preserve">2170531615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3.32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</v>
      </c>
      <c r="BJ1967" s="2">
        <v>0.2</v>
      </c>
      <c r="BK1967" s="2">
        <v>1</v>
      </c>
      <c r="BL1967" s="2">
        <v>40.76</v>
      </c>
      <c r="BM1967" s="2">
        <v>5.71</v>
      </c>
      <c r="BN1967" s="2">
        <v>46.47</v>
      </c>
      <c r="BO1967" s="2">
        <v>46.47</v>
      </c>
      <c r="BP1967" s="2"/>
      <c r="BQ1967" s="2" t="s">
        <v>117</v>
      </c>
      <c r="BR1967" s="2" t="s">
        <v>83</v>
      </c>
      <c r="BS1967" s="3">
        <v>42664</v>
      </c>
      <c r="BT1967" s="4">
        <v>0.4375</v>
      </c>
      <c r="BU1967" s="2" t="s">
        <v>367</v>
      </c>
      <c r="BV1967" s="2" t="s">
        <v>85</v>
      </c>
      <c r="BW1967" s="2"/>
      <c r="BX1967" s="2"/>
      <c r="BY1967" s="2">
        <v>1200</v>
      </c>
      <c r="BZ1967" s="2" t="s">
        <v>27</v>
      </c>
      <c r="CA1967" s="2"/>
      <c r="CB1967" s="2"/>
      <c r="CC1967" s="2" t="s">
        <v>149</v>
      </c>
      <c r="CD1967" s="2">
        <v>4052</v>
      </c>
      <c r="CE1967" s="2" t="s">
        <v>108</v>
      </c>
      <c r="CF1967" s="5">
        <v>42667</v>
      </c>
      <c r="CG1967" s="2"/>
      <c r="CH1967" s="2"/>
      <c r="CI1967" s="2">
        <v>1</v>
      </c>
      <c r="CJ1967" s="2">
        <v>1</v>
      </c>
      <c r="CK1967" s="2">
        <v>21</v>
      </c>
      <c r="CL1967" s="2" t="s">
        <v>88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"FES1162508226"</f>
        <v>FES1162508226</v>
      </c>
      <c r="F1968" s="3">
        <v>42663</v>
      </c>
      <c r="G1968" s="2">
        <v>201704</v>
      </c>
      <c r="H1968" s="2" t="s">
        <v>74</v>
      </c>
      <c r="I1968" s="2" t="s">
        <v>75</v>
      </c>
      <c r="J1968" s="2" t="s">
        <v>76</v>
      </c>
      <c r="K1968" s="2" t="s">
        <v>77</v>
      </c>
      <c r="L1968" s="2" t="s">
        <v>1122</v>
      </c>
      <c r="M1968" s="2" t="s">
        <v>1123</v>
      </c>
      <c r="N1968" s="2" t="s">
        <v>2067</v>
      </c>
      <c r="O1968" s="2" t="s">
        <v>96</v>
      </c>
      <c r="P1968" s="2" t="str">
        <f>"2170531527                    "</f>
        <v xml:space="preserve">2170531527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3.32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1</v>
      </c>
      <c r="BJ1968" s="2">
        <v>0.2</v>
      </c>
      <c r="BK1968" s="2">
        <v>1</v>
      </c>
      <c r="BL1968" s="2">
        <v>40.76</v>
      </c>
      <c r="BM1968" s="2">
        <v>5.71</v>
      </c>
      <c r="BN1968" s="2">
        <v>46.47</v>
      </c>
      <c r="BO1968" s="2">
        <v>46.47</v>
      </c>
      <c r="BP1968" s="2"/>
      <c r="BQ1968" s="2" t="s">
        <v>2068</v>
      </c>
      <c r="BR1968" s="2" t="s">
        <v>83</v>
      </c>
      <c r="BS1968" s="3">
        <v>42664</v>
      </c>
      <c r="BT1968" s="4">
        <v>0.41666666666666669</v>
      </c>
      <c r="BU1968" s="2" t="s">
        <v>2069</v>
      </c>
      <c r="BV1968" s="2" t="s">
        <v>85</v>
      </c>
      <c r="BW1968" s="2"/>
      <c r="BX1968" s="2"/>
      <c r="BY1968" s="2">
        <v>1200</v>
      </c>
      <c r="BZ1968" s="2" t="s">
        <v>27</v>
      </c>
      <c r="CA1968" s="2"/>
      <c r="CB1968" s="2"/>
      <c r="CC1968" s="2" t="s">
        <v>1123</v>
      </c>
      <c r="CD1968" s="2">
        <v>1911</v>
      </c>
      <c r="CE1968" s="2" t="s">
        <v>108</v>
      </c>
      <c r="CF1968" s="5">
        <v>42668</v>
      </c>
      <c r="CG1968" s="2"/>
      <c r="CH1968" s="2"/>
      <c r="CI1968" s="2">
        <v>1</v>
      </c>
      <c r="CJ1968" s="2">
        <v>1</v>
      </c>
      <c r="CK1968" s="2">
        <v>21</v>
      </c>
      <c r="CL1968" s="2" t="s">
        <v>88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"FES1162508299"</f>
        <v>FES1162508299</v>
      </c>
      <c r="F1969" s="3">
        <v>42663</v>
      </c>
      <c r="G1969" s="2">
        <v>201704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1122</v>
      </c>
      <c r="M1969" s="2" t="s">
        <v>1123</v>
      </c>
      <c r="N1969" s="2" t="s">
        <v>422</v>
      </c>
      <c r="O1969" s="2" t="s">
        <v>96</v>
      </c>
      <c r="P1969" s="2" t="str">
        <f>"2170531595                    "</f>
        <v xml:space="preserve">2170531595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3.32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1</v>
      </c>
      <c r="BJ1969" s="2">
        <v>0.2</v>
      </c>
      <c r="BK1969" s="2">
        <v>1</v>
      </c>
      <c r="BL1969" s="2">
        <v>40.76</v>
      </c>
      <c r="BM1969" s="2">
        <v>5.71</v>
      </c>
      <c r="BN1969" s="2">
        <v>46.47</v>
      </c>
      <c r="BO1969" s="2">
        <v>46.47</v>
      </c>
      <c r="BP1969" s="2"/>
      <c r="BQ1969" s="2" t="s">
        <v>91</v>
      </c>
      <c r="BR1969" s="2" t="s">
        <v>83</v>
      </c>
      <c r="BS1969" s="3">
        <v>42664</v>
      </c>
      <c r="BT1969" s="4">
        <v>0.41666666666666669</v>
      </c>
      <c r="BU1969" s="2" t="s">
        <v>1999</v>
      </c>
      <c r="BV1969" s="2" t="s">
        <v>85</v>
      </c>
      <c r="BW1969" s="2"/>
      <c r="BX1969" s="2"/>
      <c r="BY1969" s="2">
        <v>1200</v>
      </c>
      <c r="BZ1969" s="2" t="s">
        <v>27</v>
      </c>
      <c r="CA1969" s="2"/>
      <c r="CB1969" s="2"/>
      <c r="CC1969" s="2" t="s">
        <v>1123</v>
      </c>
      <c r="CD1969" s="2">
        <v>1911</v>
      </c>
      <c r="CE1969" s="2" t="s">
        <v>108</v>
      </c>
      <c r="CF1969" s="5">
        <v>42668</v>
      </c>
      <c r="CG1969" s="2"/>
      <c r="CH1969" s="2"/>
      <c r="CI1969" s="2">
        <v>1</v>
      </c>
      <c r="CJ1969" s="2">
        <v>1</v>
      </c>
      <c r="CK1969" s="2">
        <v>21</v>
      </c>
      <c r="CL1969" s="2" t="s">
        <v>88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"FES1162508134"</f>
        <v>FES1162508134</v>
      </c>
      <c r="F1970" s="3">
        <v>42663</v>
      </c>
      <c r="G1970" s="2">
        <v>201704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160</v>
      </c>
      <c r="M1970" s="2" t="s">
        <v>161</v>
      </c>
      <c r="N1970" s="2" t="s">
        <v>176</v>
      </c>
      <c r="O1970" s="2" t="s">
        <v>96</v>
      </c>
      <c r="P1970" s="2" t="str">
        <f>"2170529426                    "</f>
        <v xml:space="preserve">2170529426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3.32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1</v>
      </c>
      <c r="BJ1970" s="2">
        <v>0.2</v>
      </c>
      <c r="BK1970" s="2">
        <v>1</v>
      </c>
      <c r="BL1970" s="2">
        <v>40.76</v>
      </c>
      <c r="BM1970" s="2">
        <v>5.71</v>
      </c>
      <c r="BN1970" s="2">
        <v>46.47</v>
      </c>
      <c r="BO1970" s="2">
        <v>46.47</v>
      </c>
      <c r="BP1970" s="2"/>
      <c r="BQ1970" s="2" t="s">
        <v>258</v>
      </c>
      <c r="BR1970" s="2" t="s">
        <v>83</v>
      </c>
      <c r="BS1970" s="3">
        <v>42664</v>
      </c>
      <c r="BT1970" s="4">
        <v>0.41666666666666669</v>
      </c>
      <c r="BU1970" s="2" t="s">
        <v>247</v>
      </c>
      <c r="BV1970" s="2" t="s">
        <v>85</v>
      </c>
      <c r="BW1970" s="2"/>
      <c r="BX1970" s="2"/>
      <c r="BY1970" s="2">
        <v>1200</v>
      </c>
      <c r="BZ1970" s="2" t="s">
        <v>27</v>
      </c>
      <c r="CA1970" s="2"/>
      <c r="CB1970" s="2"/>
      <c r="CC1970" s="2" t="s">
        <v>161</v>
      </c>
      <c r="CD1970" s="2">
        <v>7405</v>
      </c>
      <c r="CE1970" s="2" t="s">
        <v>108</v>
      </c>
      <c r="CF1970" s="5">
        <v>42667</v>
      </c>
      <c r="CG1970" s="2"/>
      <c r="CH1970" s="2"/>
      <c r="CI1970" s="2">
        <v>1</v>
      </c>
      <c r="CJ1970" s="2">
        <v>1</v>
      </c>
      <c r="CK1970" s="2">
        <v>21</v>
      </c>
      <c r="CL1970" s="2" t="s">
        <v>88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"FES1162508269"</f>
        <v>FES1162508269</v>
      </c>
      <c r="F1971" s="3">
        <v>42663</v>
      </c>
      <c r="G1971" s="2">
        <v>201704</v>
      </c>
      <c r="H1971" s="2" t="s">
        <v>74</v>
      </c>
      <c r="I1971" s="2" t="s">
        <v>75</v>
      </c>
      <c r="J1971" s="2" t="s">
        <v>76</v>
      </c>
      <c r="K1971" s="2" t="s">
        <v>77</v>
      </c>
      <c r="L1971" s="2" t="s">
        <v>98</v>
      </c>
      <c r="M1971" s="2" t="s">
        <v>99</v>
      </c>
      <c r="N1971" s="2" t="s">
        <v>330</v>
      </c>
      <c r="O1971" s="2" t="s">
        <v>96</v>
      </c>
      <c r="P1971" s="2" t="str">
        <f>"2170531566                    "</f>
        <v xml:space="preserve">2170531566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3.32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1</v>
      </c>
      <c r="BJ1971" s="2">
        <v>0.2</v>
      </c>
      <c r="BK1971" s="2">
        <v>1</v>
      </c>
      <c r="BL1971" s="2">
        <v>40.76</v>
      </c>
      <c r="BM1971" s="2">
        <v>5.71</v>
      </c>
      <c r="BN1971" s="2">
        <v>46.47</v>
      </c>
      <c r="BO1971" s="2">
        <v>46.47</v>
      </c>
      <c r="BP1971" s="2"/>
      <c r="BQ1971" s="2" t="s">
        <v>331</v>
      </c>
      <c r="BR1971" s="2" t="s">
        <v>83</v>
      </c>
      <c r="BS1971" s="3">
        <v>42664</v>
      </c>
      <c r="BT1971" s="4">
        <v>0.41666666666666669</v>
      </c>
      <c r="BU1971" s="2" t="s">
        <v>2070</v>
      </c>
      <c r="BV1971" s="2" t="s">
        <v>85</v>
      </c>
      <c r="BW1971" s="2"/>
      <c r="BX1971" s="2"/>
      <c r="BY1971" s="2">
        <v>1200</v>
      </c>
      <c r="BZ1971" s="2" t="s">
        <v>27</v>
      </c>
      <c r="CA1971" s="2" t="s">
        <v>468</v>
      </c>
      <c r="CB1971" s="2"/>
      <c r="CC1971" s="2" t="s">
        <v>99</v>
      </c>
      <c r="CD1971" s="2">
        <v>6070</v>
      </c>
      <c r="CE1971" s="2" t="s">
        <v>108</v>
      </c>
      <c r="CF1971" s="5">
        <v>42667</v>
      </c>
      <c r="CG1971" s="2"/>
      <c r="CH1971" s="2"/>
      <c r="CI1971" s="2">
        <v>1</v>
      </c>
      <c r="CJ1971" s="2">
        <v>1</v>
      </c>
      <c r="CK1971" s="2">
        <v>21</v>
      </c>
      <c r="CL1971" s="2" t="s">
        <v>88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"FES1162508245"</f>
        <v>FES1162508245</v>
      </c>
      <c r="F1972" s="3">
        <v>42663</v>
      </c>
      <c r="G1972" s="2">
        <v>201704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269</v>
      </c>
      <c r="M1972" s="2" t="s">
        <v>270</v>
      </c>
      <c r="N1972" s="2" t="s">
        <v>455</v>
      </c>
      <c r="O1972" s="2" t="s">
        <v>96</v>
      </c>
      <c r="P1972" s="2" t="str">
        <f>"2170531073                    "</f>
        <v xml:space="preserve">2170531073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6.63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4</v>
      </c>
      <c r="BJ1972" s="2">
        <v>2</v>
      </c>
      <c r="BK1972" s="2">
        <v>4</v>
      </c>
      <c r="BL1972" s="2">
        <v>81.510000000000005</v>
      </c>
      <c r="BM1972" s="2">
        <v>11.41</v>
      </c>
      <c r="BN1972" s="2">
        <v>92.92</v>
      </c>
      <c r="BO1972" s="2">
        <v>92.92</v>
      </c>
      <c r="BP1972" s="2"/>
      <c r="BQ1972" s="2" t="s">
        <v>1793</v>
      </c>
      <c r="BR1972" s="2" t="s">
        <v>83</v>
      </c>
      <c r="BS1972" s="3">
        <v>42664</v>
      </c>
      <c r="BT1972" s="4">
        <v>0.4375</v>
      </c>
      <c r="BU1972" s="2" t="s">
        <v>1794</v>
      </c>
      <c r="BV1972" s="2" t="s">
        <v>85</v>
      </c>
      <c r="BW1972" s="2"/>
      <c r="BX1972" s="2"/>
      <c r="BY1972" s="2">
        <v>9760</v>
      </c>
      <c r="BZ1972" s="2" t="s">
        <v>27</v>
      </c>
      <c r="CA1972" s="2"/>
      <c r="CB1972" s="2"/>
      <c r="CC1972" s="2" t="s">
        <v>270</v>
      </c>
      <c r="CD1972" s="2">
        <v>3610</v>
      </c>
      <c r="CE1972" s="2" t="s">
        <v>86</v>
      </c>
      <c r="CF1972" s="5">
        <v>42667</v>
      </c>
      <c r="CG1972" s="2"/>
      <c r="CH1972" s="2"/>
      <c r="CI1972" s="2">
        <v>1</v>
      </c>
      <c r="CJ1972" s="2">
        <v>1</v>
      </c>
      <c r="CK1972" s="2">
        <v>21</v>
      </c>
      <c r="CL1972" s="2" t="s">
        <v>88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"FES1162508272"</f>
        <v>FES1162508272</v>
      </c>
      <c r="F1973" s="3">
        <v>42663</v>
      </c>
      <c r="G1973" s="2">
        <v>201704</v>
      </c>
      <c r="H1973" s="2" t="s">
        <v>74</v>
      </c>
      <c r="I1973" s="2" t="s">
        <v>75</v>
      </c>
      <c r="J1973" s="2" t="s">
        <v>76</v>
      </c>
      <c r="K1973" s="2" t="s">
        <v>77</v>
      </c>
      <c r="L1973" s="2" t="s">
        <v>269</v>
      </c>
      <c r="M1973" s="2" t="s">
        <v>270</v>
      </c>
      <c r="N1973" s="2" t="s">
        <v>1018</v>
      </c>
      <c r="O1973" s="2" t="s">
        <v>96</v>
      </c>
      <c r="P1973" s="2" t="str">
        <f>"2170531567                    "</f>
        <v xml:space="preserve">2170531567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3.32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1</v>
      </c>
      <c r="BJ1973" s="2">
        <v>0.2</v>
      </c>
      <c r="BK1973" s="2">
        <v>1</v>
      </c>
      <c r="BL1973" s="2">
        <v>40.76</v>
      </c>
      <c r="BM1973" s="2">
        <v>5.71</v>
      </c>
      <c r="BN1973" s="2">
        <v>46.47</v>
      </c>
      <c r="BO1973" s="2">
        <v>46.47</v>
      </c>
      <c r="BP1973" s="2"/>
      <c r="BQ1973" s="2" t="s">
        <v>2065</v>
      </c>
      <c r="BR1973" s="2" t="s">
        <v>83</v>
      </c>
      <c r="BS1973" s="3">
        <v>42664</v>
      </c>
      <c r="BT1973" s="4">
        <v>0.3611111111111111</v>
      </c>
      <c r="BU1973" s="2" t="s">
        <v>2066</v>
      </c>
      <c r="BV1973" s="2" t="s">
        <v>85</v>
      </c>
      <c r="BW1973" s="2"/>
      <c r="BX1973" s="2"/>
      <c r="BY1973" s="2">
        <v>1200</v>
      </c>
      <c r="BZ1973" s="2" t="s">
        <v>27</v>
      </c>
      <c r="CA1973" s="2"/>
      <c r="CB1973" s="2"/>
      <c r="CC1973" s="2" t="s">
        <v>270</v>
      </c>
      <c r="CD1973" s="2">
        <v>3610</v>
      </c>
      <c r="CE1973" s="2" t="s">
        <v>108</v>
      </c>
      <c r="CF1973" s="5">
        <v>42667</v>
      </c>
      <c r="CG1973" s="2"/>
      <c r="CH1973" s="2"/>
      <c r="CI1973" s="2">
        <v>1</v>
      </c>
      <c r="CJ1973" s="2">
        <v>1</v>
      </c>
      <c r="CK1973" s="2">
        <v>21</v>
      </c>
      <c r="CL1973" s="2" t="s">
        <v>88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"FES1162508311"</f>
        <v>FES1162508311</v>
      </c>
      <c r="F1974" s="3">
        <v>42663</v>
      </c>
      <c r="G1974" s="2">
        <v>201704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137</v>
      </c>
      <c r="M1974" s="2" t="s">
        <v>138</v>
      </c>
      <c r="N1974" s="2" t="s">
        <v>420</v>
      </c>
      <c r="O1974" s="2" t="s">
        <v>96</v>
      </c>
      <c r="P1974" s="2" t="str">
        <f>"2170531352                    "</f>
        <v xml:space="preserve">2170531352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3.32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</v>
      </c>
      <c r="BJ1974" s="2">
        <v>0.9</v>
      </c>
      <c r="BK1974" s="2">
        <v>1</v>
      </c>
      <c r="BL1974" s="2">
        <v>40.76</v>
      </c>
      <c r="BM1974" s="2">
        <v>5.71</v>
      </c>
      <c r="BN1974" s="2">
        <v>46.47</v>
      </c>
      <c r="BO1974" s="2">
        <v>46.47</v>
      </c>
      <c r="BP1974" s="2"/>
      <c r="BQ1974" s="2" t="s">
        <v>117</v>
      </c>
      <c r="BR1974" s="2" t="s">
        <v>83</v>
      </c>
      <c r="BS1974" s="3">
        <v>42664</v>
      </c>
      <c r="BT1974" s="4">
        <v>0.37083333333333335</v>
      </c>
      <c r="BU1974" s="2" t="s">
        <v>612</v>
      </c>
      <c r="BV1974" s="2" t="s">
        <v>85</v>
      </c>
      <c r="BW1974" s="2"/>
      <c r="BX1974" s="2"/>
      <c r="BY1974" s="2">
        <v>4680</v>
      </c>
      <c r="BZ1974" s="2" t="s">
        <v>27</v>
      </c>
      <c r="CA1974" s="2"/>
      <c r="CB1974" s="2"/>
      <c r="CC1974" s="2" t="s">
        <v>138</v>
      </c>
      <c r="CD1974" s="2">
        <v>3201</v>
      </c>
      <c r="CE1974" s="2" t="s">
        <v>86</v>
      </c>
      <c r="CF1974" s="5">
        <v>42667</v>
      </c>
      <c r="CG1974" s="2"/>
      <c r="CH1974" s="2"/>
      <c r="CI1974" s="2">
        <v>1</v>
      </c>
      <c r="CJ1974" s="2">
        <v>1</v>
      </c>
      <c r="CK1974" s="2">
        <v>21</v>
      </c>
      <c r="CL1974" s="2" t="s">
        <v>88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"FES1162508327"</f>
        <v>FES1162508327</v>
      </c>
      <c r="F1975" s="3">
        <v>42663</v>
      </c>
      <c r="G1975" s="2">
        <v>201704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160</v>
      </c>
      <c r="M1975" s="2" t="s">
        <v>161</v>
      </c>
      <c r="N1975" s="2" t="s">
        <v>622</v>
      </c>
      <c r="O1975" s="2" t="s">
        <v>96</v>
      </c>
      <c r="P1975" s="2" t="str">
        <f>"2170531626                    "</f>
        <v xml:space="preserve">2170531626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3.32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0.2</v>
      </c>
      <c r="BK1975" s="2">
        <v>1</v>
      </c>
      <c r="BL1975" s="2">
        <v>40.76</v>
      </c>
      <c r="BM1975" s="2">
        <v>5.71</v>
      </c>
      <c r="BN1975" s="2">
        <v>46.47</v>
      </c>
      <c r="BO1975" s="2">
        <v>46.47</v>
      </c>
      <c r="BP1975" s="2"/>
      <c r="BQ1975" s="2" t="s">
        <v>623</v>
      </c>
      <c r="BR1975" s="2" t="s">
        <v>83</v>
      </c>
      <c r="BS1975" s="3">
        <v>42664</v>
      </c>
      <c r="BT1975" s="4">
        <v>0.42430555555555555</v>
      </c>
      <c r="BU1975" s="2" t="s">
        <v>2015</v>
      </c>
      <c r="BV1975" s="2" t="s">
        <v>85</v>
      </c>
      <c r="BW1975" s="2"/>
      <c r="BX1975" s="2"/>
      <c r="BY1975" s="2">
        <v>1200</v>
      </c>
      <c r="BZ1975" s="2" t="s">
        <v>27</v>
      </c>
      <c r="CA1975" s="2" t="s">
        <v>129</v>
      </c>
      <c r="CB1975" s="2"/>
      <c r="CC1975" s="2" t="s">
        <v>161</v>
      </c>
      <c r="CD1975" s="2">
        <v>7490</v>
      </c>
      <c r="CE1975" s="2" t="s">
        <v>108</v>
      </c>
      <c r="CF1975" s="5">
        <v>42667</v>
      </c>
      <c r="CG1975" s="2"/>
      <c r="CH1975" s="2"/>
      <c r="CI1975" s="2">
        <v>1</v>
      </c>
      <c r="CJ1975" s="2">
        <v>1</v>
      </c>
      <c r="CK1975" s="2">
        <v>21</v>
      </c>
      <c r="CL1975" s="2" t="s">
        <v>88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"FES1162508319"</f>
        <v>FES1162508319</v>
      </c>
      <c r="F1976" s="3">
        <v>42663</v>
      </c>
      <c r="G1976" s="2">
        <v>201704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137</v>
      </c>
      <c r="M1976" s="2" t="s">
        <v>138</v>
      </c>
      <c r="N1976" s="2" t="s">
        <v>420</v>
      </c>
      <c r="O1976" s="2" t="s">
        <v>96</v>
      </c>
      <c r="P1976" s="2" t="str">
        <f>"2170531186                    "</f>
        <v xml:space="preserve">2170531186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4.1500000000000004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2.2000000000000002</v>
      </c>
      <c r="BJ1976" s="2">
        <v>1.7</v>
      </c>
      <c r="BK1976" s="2">
        <v>2.5</v>
      </c>
      <c r="BL1976" s="2">
        <v>50.95</v>
      </c>
      <c r="BM1976" s="2">
        <v>7.13</v>
      </c>
      <c r="BN1976" s="2">
        <v>58.08</v>
      </c>
      <c r="BO1976" s="2">
        <v>58.08</v>
      </c>
      <c r="BP1976" s="2"/>
      <c r="BQ1976" s="2" t="s">
        <v>117</v>
      </c>
      <c r="BR1976" s="2" t="s">
        <v>83</v>
      </c>
      <c r="BS1976" s="3">
        <v>42664</v>
      </c>
      <c r="BT1976" s="4">
        <v>0.37083333333333335</v>
      </c>
      <c r="BU1976" s="2" t="s">
        <v>612</v>
      </c>
      <c r="BV1976" s="2" t="s">
        <v>85</v>
      </c>
      <c r="BW1976" s="2"/>
      <c r="BX1976" s="2"/>
      <c r="BY1976" s="2">
        <v>8332.18</v>
      </c>
      <c r="BZ1976" s="2" t="s">
        <v>27</v>
      </c>
      <c r="CA1976" s="2"/>
      <c r="CB1976" s="2"/>
      <c r="CC1976" s="2" t="s">
        <v>138</v>
      </c>
      <c r="CD1976" s="2">
        <v>3201</v>
      </c>
      <c r="CE1976" s="2" t="s">
        <v>86</v>
      </c>
      <c r="CF1976" s="5">
        <v>42667</v>
      </c>
      <c r="CG1976" s="2"/>
      <c r="CH1976" s="2"/>
      <c r="CI1976" s="2">
        <v>1</v>
      </c>
      <c r="CJ1976" s="2">
        <v>1</v>
      </c>
      <c r="CK1976" s="2">
        <v>21</v>
      </c>
      <c r="CL1976" s="2" t="s">
        <v>88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"FES1162507625"</f>
        <v>FES1162507625</v>
      </c>
      <c r="F1977" s="3">
        <v>42663</v>
      </c>
      <c r="G1977" s="2">
        <v>201704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269</v>
      </c>
      <c r="M1977" s="2" t="s">
        <v>270</v>
      </c>
      <c r="N1977" s="2" t="s">
        <v>1543</v>
      </c>
      <c r="O1977" s="2" t="s">
        <v>96</v>
      </c>
      <c r="P1977" s="2" t="str">
        <f>"2170531042                    "</f>
        <v xml:space="preserve">2170531042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5.81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1.5</v>
      </c>
      <c r="BJ1977" s="2">
        <v>3.3</v>
      </c>
      <c r="BK1977" s="2">
        <v>3.5</v>
      </c>
      <c r="BL1977" s="2">
        <v>71.33</v>
      </c>
      <c r="BM1977" s="2">
        <v>9.99</v>
      </c>
      <c r="BN1977" s="2">
        <v>81.319999999999993</v>
      </c>
      <c r="BO1977" s="2">
        <v>81.319999999999993</v>
      </c>
      <c r="BP1977" s="2"/>
      <c r="BQ1977" s="2" t="s">
        <v>117</v>
      </c>
      <c r="BR1977" s="2" t="s">
        <v>83</v>
      </c>
      <c r="BS1977" s="3">
        <v>42664</v>
      </c>
      <c r="BT1977" s="4">
        <v>0.4375</v>
      </c>
      <c r="BU1977" s="2" t="s">
        <v>1790</v>
      </c>
      <c r="BV1977" s="2" t="s">
        <v>85</v>
      </c>
      <c r="BW1977" s="2"/>
      <c r="BX1977" s="2"/>
      <c r="BY1977" s="2">
        <v>16638.16</v>
      </c>
      <c r="BZ1977" s="2" t="s">
        <v>27</v>
      </c>
      <c r="CA1977" s="2"/>
      <c r="CB1977" s="2"/>
      <c r="CC1977" s="2" t="s">
        <v>270</v>
      </c>
      <c r="CD1977" s="2">
        <v>3610</v>
      </c>
      <c r="CE1977" s="2" t="s">
        <v>86</v>
      </c>
      <c r="CF1977" s="5">
        <v>42667</v>
      </c>
      <c r="CG1977" s="2"/>
      <c r="CH1977" s="2"/>
      <c r="CI1977" s="2">
        <v>1</v>
      </c>
      <c r="CJ1977" s="2">
        <v>1</v>
      </c>
      <c r="CK1977" s="2">
        <v>21</v>
      </c>
      <c r="CL1977" s="2" t="s">
        <v>88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"FES1162508316"</f>
        <v>FES1162508316</v>
      </c>
      <c r="F1978" s="3">
        <v>42663</v>
      </c>
      <c r="G1978" s="2">
        <v>201704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2034</v>
      </c>
      <c r="M1978" s="2" t="s">
        <v>2035</v>
      </c>
      <c r="N1978" s="2" t="s">
        <v>2036</v>
      </c>
      <c r="O1978" s="2" t="s">
        <v>96</v>
      </c>
      <c r="P1978" s="2" t="str">
        <f>"2170531558                    "</f>
        <v xml:space="preserve">2170531558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5.81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1.4</v>
      </c>
      <c r="BJ1978" s="2">
        <v>3.4</v>
      </c>
      <c r="BK1978" s="2">
        <v>3.5</v>
      </c>
      <c r="BL1978" s="2">
        <v>71.33</v>
      </c>
      <c r="BM1978" s="2">
        <v>9.99</v>
      </c>
      <c r="BN1978" s="2">
        <v>81.319999999999993</v>
      </c>
      <c r="BO1978" s="2">
        <v>81.319999999999993</v>
      </c>
      <c r="BP1978" s="2"/>
      <c r="BQ1978" s="2" t="s">
        <v>2037</v>
      </c>
      <c r="BR1978" s="2" t="s">
        <v>83</v>
      </c>
      <c r="BS1978" s="3">
        <v>42664</v>
      </c>
      <c r="BT1978" s="4">
        <v>0.51250000000000007</v>
      </c>
      <c r="BU1978" s="2" t="s">
        <v>2038</v>
      </c>
      <c r="BV1978" s="2" t="s">
        <v>85</v>
      </c>
      <c r="BW1978" s="2"/>
      <c r="BX1978" s="2"/>
      <c r="BY1978" s="2">
        <v>16867.82</v>
      </c>
      <c r="BZ1978" s="2" t="s">
        <v>27</v>
      </c>
      <c r="CA1978" s="2"/>
      <c r="CB1978" s="2"/>
      <c r="CC1978" s="2" t="s">
        <v>2035</v>
      </c>
      <c r="CD1978" s="2">
        <v>3265</v>
      </c>
      <c r="CE1978" s="2" t="s">
        <v>86</v>
      </c>
      <c r="CF1978" s="5">
        <v>42667</v>
      </c>
      <c r="CG1978" s="2"/>
      <c r="CH1978" s="2"/>
      <c r="CI1978" s="2">
        <v>1</v>
      </c>
      <c r="CJ1978" s="2">
        <v>1</v>
      </c>
      <c r="CK1978" s="2">
        <v>21</v>
      </c>
      <c r="CL1978" s="2" t="s">
        <v>88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"FES1162508298"</f>
        <v>FES1162508298</v>
      </c>
      <c r="F1979" s="3">
        <v>42663</v>
      </c>
      <c r="G1979" s="2">
        <v>201704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137</v>
      </c>
      <c r="M1979" s="2" t="s">
        <v>138</v>
      </c>
      <c r="N1979" s="2" t="s">
        <v>514</v>
      </c>
      <c r="O1979" s="2" t="s">
        <v>96</v>
      </c>
      <c r="P1979" s="2" t="str">
        <f>"2170531543                    "</f>
        <v xml:space="preserve">2170531543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22.39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13.2</v>
      </c>
      <c r="BJ1979" s="2">
        <v>4.7</v>
      </c>
      <c r="BK1979" s="2">
        <v>13.5</v>
      </c>
      <c r="BL1979" s="2">
        <v>275.11</v>
      </c>
      <c r="BM1979" s="2">
        <v>38.520000000000003</v>
      </c>
      <c r="BN1979" s="2">
        <v>313.63</v>
      </c>
      <c r="BO1979" s="2">
        <v>313.63</v>
      </c>
      <c r="BP1979" s="2"/>
      <c r="BQ1979" s="2" t="s">
        <v>515</v>
      </c>
      <c r="BR1979" s="2" t="s">
        <v>83</v>
      </c>
      <c r="BS1979" s="3">
        <v>42664</v>
      </c>
      <c r="BT1979" s="4">
        <v>0.36319444444444443</v>
      </c>
      <c r="BU1979" s="2" t="s">
        <v>2071</v>
      </c>
      <c r="BV1979" s="2"/>
      <c r="BW1979" s="2"/>
      <c r="BX1979" s="2"/>
      <c r="BY1979" s="2">
        <v>23742.12</v>
      </c>
      <c r="BZ1979" s="2" t="s">
        <v>27</v>
      </c>
      <c r="CA1979" s="2"/>
      <c r="CB1979" s="2"/>
      <c r="CC1979" s="2" t="s">
        <v>138</v>
      </c>
      <c r="CD1979" s="2">
        <v>3201</v>
      </c>
      <c r="CE1979" s="2" t="s">
        <v>86</v>
      </c>
      <c r="CF1979" s="5">
        <v>42667</v>
      </c>
      <c r="CG1979" s="2"/>
      <c r="CH1979" s="2"/>
      <c r="CI1979" s="2">
        <v>0</v>
      </c>
      <c r="CJ1979" s="2">
        <v>0</v>
      </c>
      <c r="CK1979" s="2">
        <v>21</v>
      </c>
      <c r="CL1979" s="2" t="s">
        <v>88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"FES1162507847"</f>
        <v>FES1162507847</v>
      </c>
      <c r="F1980" s="3">
        <v>42663</v>
      </c>
      <c r="G1980" s="2">
        <v>201704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377</v>
      </c>
      <c r="M1980" s="2" t="s">
        <v>378</v>
      </c>
      <c r="N1980" s="2" t="s">
        <v>532</v>
      </c>
      <c r="O1980" s="2" t="s">
        <v>96</v>
      </c>
      <c r="P1980" s="2" t="str">
        <f>"2170529076                    "</f>
        <v xml:space="preserve">2170529076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3.32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1</v>
      </c>
      <c r="BJ1980" s="2">
        <v>0.2</v>
      </c>
      <c r="BK1980" s="2">
        <v>1</v>
      </c>
      <c r="BL1980" s="2">
        <v>40.76</v>
      </c>
      <c r="BM1980" s="2">
        <v>5.71</v>
      </c>
      <c r="BN1980" s="2">
        <v>46.47</v>
      </c>
      <c r="BO1980" s="2">
        <v>46.47</v>
      </c>
      <c r="BP1980" s="2"/>
      <c r="BQ1980" s="2" t="s">
        <v>533</v>
      </c>
      <c r="BR1980" s="2" t="s">
        <v>83</v>
      </c>
      <c r="BS1980" s="3">
        <v>42664</v>
      </c>
      <c r="BT1980" s="4">
        <v>0.38194444444444442</v>
      </c>
      <c r="BU1980" s="2" t="s">
        <v>2072</v>
      </c>
      <c r="BV1980" s="2" t="s">
        <v>85</v>
      </c>
      <c r="BW1980" s="2"/>
      <c r="BX1980" s="2"/>
      <c r="BY1980" s="2">
        <v>1200</v>
      </c>
      <c r="BZ1980" s="2" t="s">
        <v>27</v>
      </c>
      <c r="CA1980" s="2"/>
      <c r="CB1980" s="2"/>
      <c r="CC1980" s="2" t="s">
        <v>378</v>
      </c>
      <c r="CD1980" s="2">
        <v>6536</v>
      </c>
      <c r="CE1980" s="2" t="s">
        <v>108</v>
      </c>
      <c r="CF1980" s="5">
        <v>42667</v>
      </c>
      <c r="CG1980" s="2"/>
      <c r="CH1980" s="2"/>
      <c r="CI1980" s="2">
        <v>1</v>
      </c>
      <c r="CJ1980" s="2">
        <v>1</v>
      </c>
      <c r="CK1980" s="2">
        <v>21</v>
      </c>
      <c r="CL1980" s="2" t="s">
        <v>88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"FES1162507712"</f>
        <v>FES1162507712</v>
      </c>
      <c r="F1981" s="3">
        <v>42663</v>
      </c>
      <c r="G1981" s="2">
        <v>201704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2073</v>
      </c>
      <c r="M1981" s="2" t="s">
        <v>2074</v>
      </c>
      <c r="N1981" s="2" t="s">
        <v>2075</v>
      </c>
      <c r="O1981" s="2" t="s">
        <v>96</v>
      </c>
      <c r="P1981" s="2" t="str">
        <f>"2170528183                    "</f>
        <v xml:space="preserve">2170528183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6.43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1</v>
      </c>
      <c r="BJ1981" s="2">
        <v>0.2</v>
      </c>
      <c r="BK1981" s="2">
        <v>1</v>
      </c>
      <c r="BL1981" s="2">
        <v>78.97</v>
      </c>
      <c r="BM1981" s="2">
        <v>11.06</v>
      </c>
      <c r="BN1981" s="2">
        <v>90.03</v>
      </c>
      <c r="BO1981" s="2">
        <v>90.03</v>
      </c>
      <c r="BP1981" s="2"/>
      <c r="BQ1981" s="2" t="s">
        <v>82</v>
      </c>
      <c r="BR1981" s="2" t="s">
        <v>83</v>
      </c>
      <c r="BS1981" s="3">
        <v>42667</v>
      </c>
      <c r="BT1981" s="4">
        <v>0.41666666666666669</v>
      </c>
      <c r="BU1981" s="2" t="s">
        <v>2076</v>
      </c>
      <c r="BV1981" s="2" t="s">
        <v>85</v>
      </c>
      <c r="BW1981" s="2"/>
      <c r="BX1981" s="2"/>
      <c r="BY1981" s="2">
        <v>1200</v>
      </c>
      <c r="BZ1981" s="2" t="s">
        <v>27</v>
      </c>
      <c r="CA1981" s="2"/>
      <c r="CB1981" s="2"/>
      <c r="CC1981" s="2" t="s">
        <v>2074</v>
      </c>
      <c r="CD1981" s="2">
        <v>7390</v>
      </c>
      <c r="CE1981" s="2" t="s">
        <v>108</v>
      </c>
      <c r="CF1981" s="5">
        <v>42670</v>
      </c>
      <c r="CG1981" s="2"/>
      <c r="CH1981" s="2"/>
      <c r="CI1981" s="2">
        <v>3</v>
      </c>
      <c r="CJ1981" s="2">
        <v>2</v>
      </c>
      <c r="CK1981" s="2">
        <v>23</v>
      </c>
      <c r="CL1981" s="2" t="s">
        <v>88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"FES1162507735"</f>
        <v>FES1162507735</v>
      </c>
      <c r="F1982" s="3">
        <v>42663</v>
      </c>
      <c r="G1982" s="2">
        <v>201704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160</v>
      </c>
      <c r="M1982" s="2" t="s">
        <v>161</v>
      </c>
      <c r="N1982" s="2" t="s">
        <v>2077</v>
      </c>
      <c r="O1982" s="2" t="s">
        <v>96</v>
      </c>
      <c r="P1982" s="2" t="str">
        <f>"2170528581                    "</f>
        <v xml:space="preserve">2170528581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3.32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1</v>
      </c>
      <c r="BJ1982" s="2">
        <v>0.2</v>
      </c>
      <c r="BK1982" s="2">
        <v>1</v>
      </c>
      <c r="BL1982" s="2">
        <v>40.76</v>
      </c>
      <c r="BM1982" s="2">
        <v>5.71</v>
      </c>
      <c r="BN1982" s="2">
        <v>46.47</v>
      </c>
      <c r="BO1982" s="2">
        <v>46.47</v>
      </c>
      <c r="BP1982" s="2"/>
      <c r="BQ1982" s="2" t="s">
        <v>2078</v>
      </c>
      <c r="BR1982" s="2" t="s">
        <v>83</v>
      </c>
      <c r="BS1982" s="3">
        <v>42664</v>
      </c>
      <c r="BT1982" s="4">
        <v>0.41666666666666669</v>
      </c>
      <c r="BU1982" s="2" t="s">
        <v>2079</v>
      </c>
      <c r="BV1982" s="2" t="s">
        <v>85</v>
      </c>
      <c r="BW1982" s="2"/>
      <c r="BX1982" s="2"/>
      <c r="BY1982" s="2">
        <v>1200</v>
      </c>
      <c r="BZ1982" s="2" t="s">
        <v>27</v>
      </c>
      <c r="CA1982" s="2"/>
      <c r="CB1982" s="2"/>
      <c r="CC1982" s="2" t="s">
        <v>161</v>
      </c>
      <c r="CD1982" s="2">
        <v>7475</v>
      </c>
      <c r="CE1982" s="2" t="s">
        <v>108</v>
      </c>
      <c r="CF1982" s="5">
        <v>42667</v>
      </c>
      <c r="CG1982" s="2"/>
      <c r="CH1982" s="2"/>
      <c r="CI1982" s="2">
        <v>1</v>
      </c>
      <c r="CJ1982" s="2">
        <v>1</v>
      </c>
      <c r="CK1982" s="2">
        <v>21</v>
      </c>
      <c r="CL1982" s="2" t="s">
        <v>88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"FES1162507717"</f>
        <v>FES1162507717</v>
      </c>
      <c r="F1983" s="3">
        <v>42663</v>
      </c>
      <c r="G1983" s="2">
        <v>201704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898</v>
      </c>
      <c r="M1983" s="2" t="s">
        <v>899</v>
      </c>
      <c r="N1983" s="2" t="s">
        <v>900</v>
      </c>
      <c r="O1983" s="2" t="s">
        <v>96</v>
      </c>
      <c r="P1983" s="2" t="str">
        <f>"2170528235                    "</f>
        <v xml:space="preserve">2170528235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3.32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1</v>
      </c>
      <c r="BJ1983" s="2">
        <v>0.2</v>
      </c>
      <c r="BK1983" s="2">
        <v>1</v>
      </c>
      <c r="BL1983" s="2">
        <v>40.76</v>
      </c>
      <c r="BM1983" s="2">
        <v>5.71</v>
      </c>
      <c r="BN1983" s="2">
        <v>46.47</v>
      </c>
      <c r="BO1983" s="2">
        <v>46.47</v>
      </c>
      <c r="BP1983" s="2"/>
      <c r="BQ1983" s="2" t="s">
        <v>901</v>
      </c>
      <c r="BR1983" s="2" t="s">
        <v>83</v>
      </c>
      <c r="BS1983" s="3">
        <v>42667</v>
      </c>
      <c r="BT1983" s="4">
        <v>0.41666666666666669</v>
      </c>
      <c r="BU1983" s="2" t="s">
        <v>902</v>
      </c>
      <c r="BV1983" s="2" t="s">
        <v>88</v>
      </c>
      <c r="BW1983" s="2" t="s">
        <v>2080</v>
      </c>
      <c r="BX1983" s="2" t="s">
        <v>223</v>
      </c>
      <c r="BY1983" s="2">
        <v>1200</v>
      </c>
      <c r="BZ1983" s="2" t="s">
        <v>27</v>
      </c>
      <c r="CA1983" s="2"/>
      <c r="CB1983" s="2"/>
      <c r="CC1983" s="2" t="s">
        <v>899</v>
      </c>
      <c r="CD1983" s="2">
        <v>7654</v>
      </c>
      <c r="CE1983" s="2" t="s">
        <v>108</v>
      </c>
      <c r="CF1983" s="5">
        <v>42668</v>
      </c>
      <c r="CG1983" s="2"/>
      <c r="CH1983" s="2"/>
      <c r="CI1983" s="2">
        <v>1</v>
      </c>
      <c r="CJ1983" s="2">
        <v>2</v>
      </c>
      <c r="CK1983" s="2">
        <v>21</v>
      </c>
      <c r="CL1983" s="2" t="s">
        <v>88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"FES1162508060"</f>
        <v>FES1162508060</v>
      </c>
      <c r="F1984" s="3">
        <v>42663</v>
      </c>
      <c r="G1984" s="2">
        <v>201704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160</v>
      </c>
      <c r="M1984" s="2" t="s">
        <v>161</v>
      </c>
      <c r="N1984" s="2" t="s">
        <v>179</v>
      </c>
      <c r="O1984" s="2" t="s">
        <v>96</v>
      </c>
      <c r="P1984" s="2" t="str">
        <f>"2170528622                    "</f>
        <v xml:space="preserve">2170528622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3.32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40.76</v>
      </c>
      <c r="BM1984" s="2">
        <v>5.71</v>
      </c>
      <c r="BN1984" s="2">
        <v>46.47</v>
      </c>
      <c r="BO1984" s="2">
        <v>46.47</v>
      </c>
      <c r="BP1984" s="2"/>
      <c r="BQ1984" s="2" t="s">
        <v>180</v>
      </c>
      <c r="BR1984" s="2" t="s">
        <v>83</v>
      </c>
      <c r="BS1984" s="3">
        <v>42664</v>
      </c>
      <c r="BT1984" s="4">
        <v>0.41666666666666669</v>
      </c>
      <c r="BU1984" s="2" t="s">
        <v>1988</v>
      </c>
      <c r="BV1984" s="2" t="s">
        <v>85</v>
      </c>
      <c r="BW1984" s="2"/>
      <c r="BX1984" s="2"/>
      <c r="BY1984" s="2">
        <v>1200</v>
      </c>
      <c r="BZ1984" s="2" t="s">
        <v>27</v>
      </c>
      <c r="CA1984" s="2"/>
      <c r="CB1984" s="2"/>
      <c r="CC1984" s="2" t="s">
        <v>161</v>
      </c>
      <c r="CD1984" s="2">
        <v>7405</v>
      </c>
      <c r="CE1984" s="2" t="s">
        <v>108</v>
      </c>
      <c r="CF1984" s="5">
        <v>42667</v>
      </c>
      <c r="CG1984" s="2"/>
      <c r="CH1984" s="2"/>
      <c r="CI1984" s="2">
        <v>1</v>
      </c>
      <c r="CJ1984" s="2">
        <v>1</v>
      </c>
      <c r="CK1984" s="2">
        <v>21</v>
      </c>
      <c r="CL1984" s="2" t="s">
        <v>88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"FES1162508340"</f>
        <v>FES1162508340</v>
      </c>
      <c r="F1985" s="3">
        <v>42663</v>
      </c>
      <c r="G1985" s="2">
        <v>201704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614</v>
      </c>
      <c r="M1985" s="2" t="s">
        <v>615</v>
      </c>
      <c r="N1985" s="2" t="s">
        <v>616</v>
      </c>
      <c r="O1985" s="2" t="s">
        <v>96</v>
      </c>
      <c r="P1985" s="2" t="str">
        <f>"2170531648                    "</f>
        <v xml:space="preserve">2170531648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3.32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1</v>
      </c>
      <c r="BJ1985" s="2">
        <v>0.2</v>
      </c>
      <c r="BK1985" s="2">
        <v>1</v>
      </c>
      <c r="BL1985" s="2">
        <v>40.76</v>
      </c>
      <c r="BM1985" s="2">
        <v>5.71</v>
      </c>
      <c r="BN1985" s="2">
        <v>46.47</v>
      </c>
      <c r="BO1985" s="2">
        <v>46.47</v>
      </c>
      <c r="BP1985" s="2"/>
      <c r="BQ1985" s="2" t="s">
        <v>617</v>
      </c>
      <c r="BR1985" s="2" t="s">
        <v>83</v>
      </c>
      <c r="BS1985" s="3">
        <v>42664</v>
      </c>
      <c r="BT1985" s="4">
        <v>0.4375</v>
      </c>
      <c r="BU1985" s="2" t="s">
        <v>1534</v>
      </c>
      <c r="BV1985" s="2" t="s">
        <v>85</v>
      </c>
      <c r="BW1985" s="2"/>
      <c r="BX1985" s="2"/>
      <c r="BY1985" s="2">
        <v>1200</v>
      </c>
      <c r="BZ1985" s="2" t="s">
        <v>27</v>
      </c>
      <c r="CA1985" s="2"/>
      <c r="CB1985" s="2"/>
      <c r="CC1985" s="2" t="s">
        <v>615</v>
      </c>
      <c r="CD1985" s="2">
        <v>4026</v>
      </c>
      <c r="CE1985" s="2" t="s">
        <v>108</v>
      </c>
      <c r="CF1985" s="5">
        <v>42667</v>
      </c>
      <c r="CG1985" s="2"/>
      <c r="CH1985" s="2"/>
      <c r="CI1985" s="2">
        <v>1</v>
      </c>
      <c r="CJ1985" s="2">
        <v>1</v>
      </c>
      <c r="CK1985" s="2">
        <v>21</v>
      </c>
      <c r="CL1985" s="2" t="s">
        <v>88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"FES1162508323"</f>
        <v>FES1162508323</v>
      </c>
      <c r="F1986" s="3">
        <v>42663</v>
      </c>
      <c r="G1986" s="2">
        <v>201704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160</v>
      </c>
      <c r="M1986" s="2" t="s">
        <v>161</v>
      </c>
      <c r="N1986" s="2" t="s">
        <v>622</v>
      </c>
      <c r="O1986" s="2" t="s">
        <v>96</v>
      </c>
      <c r="P1986" s="2" t="str">
        <f>"2170531622                    "</f>
        <v xml:space="preserve">2170531622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3.32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40.76</v>
      </c>
      <c r="BM1986" s="2">
        <v>5.71</v>
      </c>
      <c r="BN1986" s="2">
        <v>46.47</v>
      </c>
      <c r="BO1986" s="2">
        <v>46.47</v>
      </c>
      <c r="BP1986" s="2"/>
      <c r="BQ1986" s="2" t="s">
        <v>623</v>
      </c>
      <c r="BR1986" s="2" t="s">
        <v>83</v>
      </c>
      <c r="BS1986" s="3">
        <v>42664</v>
      </c>
      <c r="BT1986" s="4">
        <v>0.42430555555555555</v>
      </c>
      <c r="BU1986" s="2" t="s">
        <v>2015</v>
      </c>
      <c r="BV1986" s="2" t="s">
        <v>85</v>
      </c>
      <c r="BW1986" s="2"/>
      <c r="BX1986" s="2"/>
      <c r="BY1986" s="2">
        <v>1200</v>
      </c>
      <c r="BZ1986" s="2" t="s">
        <v>27</v>
      </c>
      <c r="CA1986" s="2" t="s">
        <v>129</v>
      </c>
      <c r="CB1986" s="2"/>
      <c r="CC1986" s="2" t="s">
        <v>161</v>
      </c>
      <c r="CD1986" s="2">
        <v>7490</v>
      </c>
      <c r="CE1986" s="2" t="s">
        <v>108</v>
      </c>
      <c r="CF1986" s="5">
        <v>42667</v>
      </c>
      <c r="CG1986" s="2"/>
      <c r="CH1986" s="2"/>
      <c r="CI1986" s="2">
        <v>1</v>
      </c>
      <c r="CJ1986" s="2">
        <v>1</v>
      </c>
      <c r="CK1986" s="2">
        <v>21</v>
      </c>
      <c r="CL1986" s="2" t="s">
        <v>88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"FES1162508266"</f>
        <v>FES1162508266</v>
      </c>
      <c r="F1987" s="3">
        <v>42663</v>
      </c>
      <c r="G1987" s="2">
        <v>201704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160</v>
      </c>
      <c r="M1987" s="2" t="s">
        <v>161</v>
      </c>
      <c r="N1987" s="2" t="s">
        <v>176</v>
      </c>
      <c r="O1987" s="2" t="s">
        <v>96</v>
      </c>
      <c r="P1987" s="2" t="str">
        <f>"2170531561                    "</f>
        <v xml:space="preserve">2170531561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3.32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40.76</v>
      </c>
      <c r="BM1987" s="2">
        <v>5.71</v>
      </c>
      <c r="BN1987" s="2">
        <v>46.47</v>
      </c>
      <c r="BO1987" s="2">
        <v>46.47</v>
      </c>
      <c r="BP1987" s="2"/>
      <c r="BQ1987" s="2" t="s">
        <v>258</v>
      </c>
      <c r="BR1987" s="2" t="s">
        <v>83</v>
      </c>
      <c r="BS1987" s="3">
        <v>42667</v>
      </c>
      <c r="BT1987" s="4">
        <v>0.41666666666666669</v>
      </c>
      <c r="BU1987" s="2" t="s">
        <v>725</v>
      </c>
      <c r="BV1987" s="2" t="s">
        <v>88</v>
      </c>
      <c r="BW1987" s="2" t="s">
        <v>222</v>
      </c>
      <c r="BX1987" s="2" t="s">
        <v>356</v>
      </c>
      <c r="BY1987" s="2">
        <v>1200</v>
      </c>
      <c r="BZ1987" s="2" t="s">
        <v>27</v>
      </c>
      <c r="CA1987" s="2" t="s">
        <v>129</v>
      </c>
      <c r="CB1987" s="2"/>
      <c r="CC1987" s="2" t="s">
        <v>161</v>
      </c>
      <c r="CD1987" s="2">
        <v>7405</v>
      </c>
      <c r="CE1987" s="2" t="s">
        <v>108</v>
      </c>
      <c r="CF1987" s="5">
        <v>42667</v>
      </c>
      <c r="CG1987" s="2"/>
      <c r="CH1987" s="2"/>
      <c r="CI1987" s="2">
        <v>1</v>
      </c>
      <c r="CJ1987" s="2">
        <v>2</v>
      </c>
      <c r="CK1987" s="2">
        <v>21</v>
      </c>
      <c r="CL1987" s="2" t="s">
        <v>88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"FES1162508135"</f>
        <v>FES1162508135</v>
      </c>
      <c r="F1988" s="3">
        <v>42663</v>
      </c>
      <c r="G1988" s="2">
        <v>201704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160</v>
      </c>
      <c r="M1988" s="2" t="s">
        <v>161</v>
      </c>
      <c r="N1988" s="2" t="s">
        <v>647</v>
      </c>
      <c r="O1988" s="2" t="s">
        <v>96</v>
      </c>
      <c r="P1988" s="2" t="str">
        <f>"2170529588                    "</f>
        <v xml:space="preserve">2170529588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3.32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1</v>
      </c>
      <c r="BJ1988" s="2">
        <v>0.2</v>
      </c>
      <c r="BK1988" s="2">
        <v>1</v>
      </c>
      <c r="BL1988" s="2">
        <v>40.76</v>
      </c>
      <c r="BM1988" s="2">
        <v>5.71</v>
      </c>
      <c r="BN1988" s="2">
        <v>46.47</v>
      </c>
      <c r="BO1988" s="2">
        <v>46.47</v>
      </c>
      <c r="BP1988" s="2"/>
      <c r="BQ1988" s="2" t="s">
        <v>2045</v>
      </c>
      <c r="BR1988" s="2" t="s">
        <v>83</v>
      </c>
      <c r="BS1988" s="3">
        <v>42664</v>
      </c>
      <c r="BT1988" s="4">
        <v>0.3576388888888889</v>
      </c>
      <c r="BU1988" s="2" t="s">
        <v>2046</v>
      </c>
      <c r="BV1988" s="2" t="s">
        <v>85</v>
      </c>
      <c r="BW1988" s="2"/>
      <c r="BX1988" s="2"/>
      <c r="BY1988" s="2">
        <v>1200</v>
      </c>
      <c r="BZ1988" s="2" t="s">
        <v>27</v>
      </c>
      <c r="CA1988" s="2"/>
      <c r="CB1988" s="2"/>
      <c r="CC1988" s="2" t="s">
        <v>161</v>
      </c>
      <c r="CD1988" s="2">
        <v>7493</v>
      </c>
      <c r="CE1988" s="2" t="s">
        <v>108</v>
      </c>
      <c r="CF1988" s="5">
        <v>42667</v>
      </c>
      <c r="CG1988" s="2"/>
      <c r="CH1988" s="2"/>
      <c r="CI1988" s="2">
        <v>1</v>
      </c>
      <c r="CJ1988" s="2">
        <v>1</v>
      </c>
      <c r="CK1988" s="2">
        <v>21</v>
      </c>
      <c r="CL1988" s="2" t="s">
        <v>88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"FES1162507749"</f>
        <v>FES1162507749</v>
      </c>
      <c r="F1989" s="3">
        <v>42663</v>
      </c>
      <c r="G1989" s="2">
        <v>201704</v>
      </c>
      <c r="H1989" s="2" t="s">
        <v>74</v>
      </c>
      <c r="I1989" s="2" t="s">
        <v>75</v>
      </c>
      <c r="J1989" s="2" t="s">
        <v>76</v>
      </c>
      <c r="K1989" s="2" t="s">
        <v>77</v>
      </c>
      <c r="L1989" s="2" t="s">
        <v>160</v>
      </c>
      <c r="M1989" s="2" t="s">
        <v>161</v>
      </c>
      <c r="N1989" s="2" t="s">
        <v>184</v>
      </c>
      <c r="O1989" s="2" t="s">
        <v>96</v>
      </c>
      <c r="P1989" s="2" t="str">
        <f>"2170528784                    "</f>
        <v xml:space="preserve">2170528784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3.32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40.76</v>
      </c>
      <c r="BM1989" s="2">
        <v>5.71</v>
      </c>
      <c r="BN1989" s="2">
        <v>46.47</v>
      </c>
      <c r="BO1989" s="2">
        <v>46.47</v>
      </c>
      <c r="BP1989" s="2"/>
      <c r="BQ1989" s="2" t="s">
        <v>117</v>
      </c>
      <c r="BR1989" s="2" t="s">
        <v>83</v>
      </c>
      <c r="BS1989" s="3">
        <v>42664</v>
      </c>
      <c r="BT1989" s="4">
        <v>0.41666666666666669</v>
      </c>
      <c r="BU1989" s="2" t="s">
        <v>185</v>
      </c>
      <c r="BV1989" s="2" t="s">
        <v>85</v>
      </c>
      <c r="BW1989" s="2"/>
      <c r="BX1989" s="2"/>
      <c r="BY1989" s="2">
        <v>1200</v>
      </c>
      <c r="BZ1989" s="2" t="s">
        <v>27</v>
      </c>
      <c r="CA1989" s="2"/>
      <c r="CB1989" s="2"/>
      <c r="CC1989" s="2" t="s">
        <v>161</v>
      </c>
      <c r="CD1989" s="2">
        <v>7441</v>
      </c>
      <c r="CE1989" s="2" t="s">
        <v>108</v>
      </c>
      <c r="CF1989" s="5">
        <v>42667</v>
      </c>
      <c r="CG1989" s="2"/>
      <c r="CH1989" s="2"/>
      <c r="CI1989" s="2">
        <v>1</v>
      </c>
      <c r="CJ1989" s="2">
        <v>1</v>
      </c>
      <c r="CK1989" s="2">
        <v>21</v>
      </c>
      <c r="CL1989" s="2" t="s">
        <v>88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"FES1162508118"</f>
        <v>FES1162508118</v>
      </c>
      <c r="F1990" s="3">
        <v>42663</v>
      </c>
      <c r="G1990" s="2">
        <v>201704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253</v>
      </c>
      <c r="M1990" s="2" t="s">
        <v>254</v>
      </c>
      <c r="N1990" s="2" t="s">
        <v>255</v>
      </c>
      <c r="O1990" s="2" t="s">
        <v>96</v>
      </c>
      <c r="P1990" s="2" t="str">
        <f>"2170529124                    "</f>
        <v xml:space="preserve">2170529124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70.28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2</v>
      </c>
      <c r="BI1990" s="2">
        <v>24</v>
      </c>
      <c r="BJ1990" s="2">
        <v>22.7</v>
      </c>
      <c r="BK1990" s="2">
        <v>24</v>
      </c>
      <c r="BL1990" s="2">
        <v>863.54</v>
      </c>
      <c r="BM1990" s="2">
        <v>120.9</v>
      </c>
      <c r="BN1990" s="2">
        <v>984.44</v>
      </c>
      <c r="BO1990" s="2">
        <v>984.44</v>
      </c>
      <c r="BP1990" s="2"/>
      <c r="BQ1990" s="2" t="s">
        <v>117</v>
      </c>
      <c r="BR1990" s="2" t="s">
        <v>83</v>
      </c>
      <c r="BS1990" s="3">
        <v>42664</v>
      </c>
      <c r="BT1990" s="4">
        <v>0.5</v>
      </c>
      <c r="BU1990" s="2" t="s">
        <v>457</v>
      </c>
      <c r="BV1990" s="2" t="s">
        <v>85</v>
      </c>
      <c r="BW1990" s="2"/>
      <c r="BX1990" s="2"/>
      <c r="BY1990" s="2">
        <v>113584</v>
      </c>
      <c r="BZ1990" s="2" t="s">
        <v>27</v>
      </c>
      <c r="CA1990" s="2"/>
      <c r="CB1990" s="2"/>
      <c r="CC1990" s="2" t="s">
        <v>254</v>
      </c>
      <c r="CD1990" s="2">
        <v>3370</v>
      </c>
      <c r="CE1990" s="2" t="s">
        <v>86</v>
      </c>
      <c r="CF1990" s="5">
        <v>42668</v>
      </c>
      <c r="CG1990" s="2"/>
      <c r="CH1990" s="2"/>
      <c r="CI1990" s="2">
        <v>3</v>
      </c>
      <c r="CJ1990" s="2">
        <v>1</v>
      </c>
      <c r="CK1990" s="2">
        <v>23</v>
      </c>
      <c r="CL1990" s="2" t="s">
        <v>88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"FES1162508251"</f>
        <v>FES1162508251</v>
      </c>
      <c r="F1991" s="3">
        <v>42663</v>
      </c>
      <c r="G1991" s="2">
        <v>201704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160</v>
      </c>
      <c r="M1991" s="2" t="s">
        <v>161</v>
      </c>
      <c r="N1991" s="2" t="s">
        <v>176</v>
      </c>
      <c r="O1991" s="2" t="s">
        <v>96</v>
      </c>
      <c r="P1991" s="2" t="str">
        <f>"2170531553                    "</f>
        <v xml:space="preserve">2170531553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3.32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40.76</v>
      </c>
      <c r="BM1991" s="2">
        <v>5.71</v>
      </c>
      <c r="BN1991" s="2">
        <v>46.47</v>
      </c>
      <c r="BO1991" s="2">
        <v>46.47</v>
      </c>
      <c r="BP1991" s="2"/>
      <c r="BQ1991" s="2" t="s">
        <v>258</v>
      </c>
      <c r="BR1991" s="2" t="s">
        <v>83</v>
      </c>
      <c r="BS1991" s="3">
        <v>42664</v>
      </c>
      <c r="BT1991" s="4">
        <v>0.41666666666666669</v>
      </c>
      <c r="BU1991" s="2" t="s">
        <v>247</v>
      </c>
      <c r="BV1991" s="2" t="s">
        <v>85</v>
      </c>
      <c r="BW1991" s="2"/>
      <c r="BX1991" s="2"/>
      <c r="BY1991" s="2">
        <v>1200</v>
      </c>
      <c r="BZ1991" s="2" t="s">
        <v>27</v>
      </c>
      <c r="CA1991" s="2"/>
      <c r="CB1991" s="2"/>
      <c r="CC1991" s="2" t="s">
        <v>161</v>
      </c>
      <c r="CD1991" s="2">
        <v>7405</v>
      </c>
      <c r="CE1991" s="2" t="s">
        <v>108</v>
      </c>
      <c r="CF1991" s="5">
        <v>42667</v>
      </c>
      <c r="CG1991" s="2"/>
      <c r="CH1991" s="2"/>
      <c r="CI1991" s="2">
        <v>1</v>
      </c>
      <c r="CJ1991" s="2">
        <v>1</v>
      </c>
      <c r="CK1991" s="2">
        <v>21</v>
      </c>
      <c r="CL1991" s="2" t="s">
        <v>88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"FES1162508235"</f>
        <v>FES1162508235</v>
      </c>
      <c r="F1992" s="3">
        <v>42663</v>
      </c>
      <c r="G1992" s="2">
        <v>201704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1062</v>
      </c>
      <c r="M1992" s="2" t="s">
        <v>161</v>
      </c>
      <c r="N1992" s="2" t="s">
        <v>176</v>
      </c>
      <c r="O1992" s="2" t="s">
        <v>81</v>
      </c>
      <c r="P1992" s="2" t="str">
        <f>"2170531535                    "</f>
        <v xml:space="preserve">2170531535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40.79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80</v>
      </c>
      <c r="BJ1992" s="2">
        <v>131.5</v>
      </c>
      <c r="BK1992" s="2">
        <v>132</v>
      </c>
      <c r="BL1992" s="2">
        <v>506.19</v>
      </c>
      <c r="BM1992" s="2">
        <v>70.87</v>
      </c>
      <c r="BN1992" s="2">
        <v>577.05999999999995</v>
      </c>
      <c r="BO1992" s="2">
        <v>577.05999999999995</v>
      </c>
      <c r="BP1992" s="2" t="s">
        <v>1836</v>
      </c>
      <c r="BQ1992" s="2" t="s">
        <v>258</v>
      </c>
      <c r="BR1992" s="2" t="s">
        <v>83</v>
      </c>
      <c r="BS1992" s="3">
        <v>42667</v>
      </c>
      <c r="BT1992" s="4">
        <v>0.41666666666666669</v>
      </c>
      <c r="BU1992" s="2" t="s">
        <v>247</v>
      </c>
      <c r="BV1992" s="2" t="s">
        <v>85</v>
      </c>
      <c r="BW1992" s="2"/>
      <c r="BX1992" s="2"/>
      <c r="BY1992" s="2">
        <v>657558</v>
      </c>
      <c r="BZ1992" s="2"/>
      <c r="CA1992" s="2"/>
      <c r="CB1992" s="2"/>
      <c r="CC1992" s="2" t="s">
        <v>161</v>
      </c>
      <c r="CD1992" s="2">
        <v>7405</v>
      </c>
      <c r="CE1992" s="2" t="s">
        <v>86</v>
      </c>
      <c r="CF1992" s="5">
        <v>42668</v>
      </c>
      <c r="CG1992" s="2"/>
      <c r="CH1992" s="2"/>
      <c r="CI1992" s="2">
        <v>2</v>
      </c>
      <c r="CJ1992" s="2">
        <v>2</v>
      </c>
      <c r="CK1992" s="2" t="s">
        <v>1063</v>
      </c>
      <c r="CL1992" s="2" t="s">
        <v>88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"FES1162508217"</f>
        <v>FES1162508217</v>
      </c>
      <c r="F1993" s="3">
        <v>42663</v>
      </c>
      <c r="G1993" s="2">
        <v>201704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78</v>
      </c>
      <c r="M1993" s="2" t="s">
        <v>79</v>
      </c>
      <c r="N1993" s="2" t="s">
        <v>2081</v>
      </c>
      <c r="O1993" s="2" t="s">
        <v>81</v>
      </c>
      <c r="P1993" s="2" t="str">
        <f>"2170531457                    "</f>
        <v xml:space="preserve">2170531457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5.7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4</v>
      </c>
      <c r="BJ1993" s="2">
        <v>1.5</v>
      </c>
      <c r="BK1993" s="2">
        <v>4</v>
      </c>
      <c r="BL1993" s="2">
        <v>75.05</v>
      </c>
      <c r="BM1993" s="2">
        <v>10.51</v>
      </c>
      <c r="BN1993" s="2">
        <v>85.56</v>
      </c>
      <c r="BO1993" s="2">
        <v>85.56</v>
      </c>
      <c r="BP1993" s="2"/>
      <c r="BQ1993" s="2"/>
      <c r="BR1993" s="2" t="s">
        <v>83</v>
      </c>
      <c r="BS1993" s="3">
        <v>42664</v>
      </c>
      <c r="BT1993" s="4">
        <v>0.41666666666666669</v>
      </c>
      <c r="BU1993" s="2" t="s">
        <v>2082</v>
      </c>
      <c r="BV1993" s="2" t="s">
        <v>85</v>
      </c>
      <c r="BW1993" s="2"/>
      <c r="BX1993" s="2"/>
      <c r="BY1993" s="2">
        <v>7644</v>
      </c>
      <c r="BZ1993" s="2"/>
      <c r="CA1993" s="2" t="s">
        <v>129</v>
      </c>
      <c r="CB1993" s="2"/>
      <c r="CC1993" s="2" t="s">
        <v>79</v>
      </c>
      <c r="CD1993" s="2">
        <v>1930</v>
      </c>
      <c r="CE1993" s="2" t="s">
        <v>86</v>
      </c>
      <c r="CF1993" s="5">
        <v>42668</v>
      </c>
      <c r="CG1993" s="2"/>
      <c r="CH1993" s="2"/>
      <c r="CI1993" s="2">
        <v>1</v>
      </c>
      <c r="CJ1993" s="2">
        <v>1</v>
      </c>
      <c r="CK1993" s="2" t="s">
        <v>87</v>
      </c>
      <c r="CL1993" s="2" t="s">
        <v>88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"FES1162508125"</f>
        <v>FES1162508125</v>
      </c>
      <c r="F1994" s="3">
        <v>42663</v>
      </c>
      <c r="G1994" s="2">
        <v>201704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78</v>
      </c>
      <c r="M1994" s="2" t="s">
        <v>79</v>
      </c>
      <c r="N1994" s="2" t="s">
        <v>1397</v>
      </c>
      <c r="O1994" s="2" t="s">
        <v>81</v>
      </c>
      <c r="P1994" s="2" t="str">
        <f>"2170529239                    "</f>
        <v xml:space="preserve">2170529239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5.7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6.3</v>
      </c>
      <c r="BJ1994" s="2">
        <v>5.2</v>
      </c>
      <c r="BK1994" s="2">
        <v>7</v>
      </c>
      <c r="BL1994" s="2">
        <v>75.05</v>
      </c>
      <c r="BM1994" s="2">
        <v>10.51</v>
      </c>
      <c r="BN1994" s="2">
        <v>85.56</v>
      </c>
      <c r="BO1994" s="2">
        <v>85.56</v>
      </c>
      <c r="BP1994" s="2"/>
      <c r="BQ1994" s="2" t="s">
        <v>1398</v>
      </c>
      <c r="BR1994" s="2" t="s">
        <v>83</v>
      </c>
      <c r="BS1994" s="3">
        <v>42664</v>
      </c>
      <c r="BT1994" s="4">
        <v>0.41666666666666669</v>
      </c>
      <c r="BU1994" s="2" t="s">
        <v>1999</v>
      </c>
      <c r="BV1994" s="2" t="s">
        <v>85</v>
      </c>
      <c r="BW1994" s="2"/>
      <c r="BX1994" s="2"/>
      <c r="BY1994" s="2">
        <v>25764</v>
      </c>
      <c r="BZ1994" s="2"/>
      <c r="CA1994" s="2"/>
      <c r="CB1994" s="2"/>
      <c r="CC1994" s="2" t="s">
        <v>79</v>
      </c>
      <c r="CD1994" s="2">
        <v>1939</v>
      </c>
      <c r="CE1994" s="2" t="s">
        <v>86</v>
      </c>
      <c r="CF1994" s="5">
        <v>42668</v>
      </c>
      <c r="CG1994" s="2"/>
      <c r="CH1994" s="2"/>
      <c r="CI1994" s="2">
        <v>1</v>
      </c>
      <c r="CJ1994" s="2">
        <v>1</v>
      </c>
      <c r="CK1994" s="2" t="s">
        <v>87</v>
      </c>
      <c r="CL1994" s="2" t="s">
        <v>88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"FES1162508321"</f>
        <v>FES1162508321</v>
      </c>
      <c r="F1995" s="3">
        <v>42663</v>
      </c>
      <c r="G1995" s="2">
        <v>201704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1122</v>
      </c>
      <c r="M1995" s="2" t="s">
        <v>1123</v>
      </c>
      <c r="N1995" s="2" t="s">
        <v>1124</v>
      </c>
      <c r="O1995" s="2" t="s">
        <v>81</v>
      </c>
      <c r="P1995" s="2" t="str">
        <f>"2170528330                    "</f>
        <v xml:space="preserve">2170528330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5.7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7.7</v>
      </c>
      <c r="BJ1995" s="2">
        <v>2.4</v>
      </c>
      <c r="BK1995" s="2">
        <v>8</v>
      </c>
      <c r="BL1995" s="2">
        <v>75.05</v>
      </c>
      <c r="BM1995" s="2">
        <v>10.51</v>
      </c>
      <c r="BN1995" s="2">
        <v>85.56</v>
      </c>
      <c r="BO1995" s="2">
        <v>85.56</v>
      </c>
      <c r="BP1995" s="2"/>
      <c r="BQ1995" s="2" t="s">
        <v>1125</v>
      </c>
      <c r="BR1995" s="2" t="s">
        <v>83</v>
      </c>
      <c r="BS1995" s="3">
        <v>42664</v>
      </c>
      <c r="BT1995" s="4">
        <v>0.41666666666666669</v>
      </c>
      <c r="BU1995" s="2" t="s">
        <v>1999</v>
      </c>
      <c r="BV1995" s="2" t="s">
        <v>85</v>
      </c>
      <c r="BW1995" s="2"/>
      <c r="BX1995" s="2"/>
      <c r="BY1995" s="2">
        <v>12172.16</v>
      </c>
      <c r="BZ1995" s="2"/>
      <c r="CA1995" s="2"/>
      <c r="CB1995" s="2"/>
      <c r="CC1995" s="2" t="s">
        <v>1123</v>
      </c>
      <c r="CD1995" s="2">
        <v>1911</v>
      </c>
      <c r="CE1995" s="2" t="s">
        <v>86</v>
      </c>
      <c r="CF1995" s="5">
        <v>42668</v>
      </c>
      <c r="CG1995" s="2"/>
      <c r="CH1995" s="2"/>
      <c r="CI1995" s="2">
        <v>1</v>
      </c>
      <c r="CJ1995" s="2">
        <v>1</v>
      </c>
      <c r="CK1995" s="2" t="s">
        <v>87</v>
      </c>
      <c r="CL1995" s="2" t="s">
        <v>88</v>
      </c>
      <c r="CM1995" s="2"/>
    </row>
    <row r="1996" spans="1:91">
      <c r="A1996" s="2" t="s">
        <v>1182</v>
      </c>
      <c r="B1996" s="2" t="s">
        <v>72</v>
      </c>
      <c r="C1996" s="2" t="s">
        <v>73</v>
      </c>
      <c r="D1996" s="2"/>
      <c r="E1996" s="2" t="str">
        <f>"029907567757"</f>
        <v>029907567757</v>
      </c>
      <c r="F1996" s="3">
        <v>42663</v>
      </c>
      <c r="G1996" s="2">
        <v>201704</v>
      </c>
      <c r="H1996" s="2" t="s">
        <v>137</v>
      </c>
      <c r="I1996" s="2" t="s">
        <v>138</v>
      </c>
      <c r="J1996" s="2" t="s">
        <v>1183</v>
      </c>
      <c r="K1996" s="2" t="s">
        <v>77</v>
      </c>
      <c r="L1996" s="2" t="s">
        <v>74</v>
      </c>
      <c r="M1996" s="2" t="s">
        <v>75</v>
      </c>
      <c r="N1996" s="2" t="s">
        <v>1341</v>
      </c>
      <c r="O1996" s="2" t="s">
        <v>81</v>
      </c>
      <c r="P1996" s="2" t="str">
        <f>"                              "</f>
        <v xml:space="preserve">          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6.22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81.42</v>
      </c>
      <c r="BM1996" s="2">
        <v>11.4</v>
      </c>
      <c r="BN1996" s="2">
        <v>92.82</v>
      </c>
      <c r="BO1996" s="2">
        <v>92.82</v>
      </c>
      <c r="BP1996" s="2"/>
      <c r="BQ1996" s="2" t="s">
        <v>2083</v>
      </c>
      <c r="BR1996" s="2" t="s">
        <v>1186</v>
      </c>
      <c r="BS1996" s="3">
        <v>42664</v>
      </c>
      <c r="BT1996" s="4">
        <v>0.40277777777777773</v>
      </c>
      <c r="BU1996" s="2" t="s">
        <v>102</v>
      </c>
      <c r="BV1996" s="2" t="s">
        <v>85</v>
      </c>
      <c r="BW1996" s="2"/>
      <c r="BX1996" s="2"/>
      <c r="BY1996" s="2">
        <v>1200</v>
      </c>
      <c r="BZ1996" s="2"/>
      <c r="CA1996" s="2"/>
      <c r="CB1996" s="2"/>
      <c r="CC1996" s="2" t="s">
        <v>75</v>
      </c>
      <c r="CD1996" s="2">
        <v>1600</v>
      </c>
      <c r="CE1996" s="2" t="s">
        <v>86</v>
      </c>
      <c r="CF1996" s="5">
        <v>42667</v>
      </c>
      <c r="CG1996" s="2"/>
      <c r="CH1996" s="2"/>
      <c r="CI1996" s="2">
        <v>1</v>
      </c>
      <c r="CJ1996" s="2">
        <v>1</v>
      </c>
      <c r="CK1996" s="2" t="s">
        <v>366</v>
      </c>
      <c r="CL1996" s="2" t="s">
        <v>88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"FES1162508265"</f>
        <v>FES1162508265</v>
      </c>
      <c r="F1997" s="3">
        <v>42663</v>
      </c>
      <c r="G1997" s="2">
        <v>201704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153</v>
      </c>
      <c r="M1997" s="2" t="s">
        <v>153</v>
      </c>
      <c r="N1997" s="2" t="s">
        <v>501</v>
      </c>
      <c r="O1997" s="2" t="s">
        <v>96</v>
      </c>
      <c r="P1997" s="2" t="str">
        <f>"2170531414                    "</f>
        <v xml:space="preserve">2170531414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4.1500000000000004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0.8</v>
      </c>
      <c r="BJ1997" s="2">
        <v>2.2000000000000002</v>
      </c>
      <c r="BK1997" s="2">
        <v>2.5</v>
      </c>
      <c r="BL1997" s="2">
        <v>50.95</v>
      </c>
      <c r="BM1997" s="2">
        <v>7.13</v>
      </c>
      <c r="BN1997" s="2">
        <v>58.08</v>
      </c>
      <c r="BO1997" s="2">
        <v>58.08</v>
      </c>
      <c r="BP1997" s="2"/>
      <c r="BQ1997" s="2" t="s">
        <v>82</v>
      </c>
      <c r="BR1997" s="2" t="s">
        <v>83</v>
      </c>
      <c r="BS1997" s="3">
        <v>42664</v>
      </c>
      <c r="BT1997" s="4">
        <v>0.54097222222222219</v>
      </c>
      <c r="BU1997" s="2" t="s">
        <v>752</v>
      </c>
      <c r="BV1997" s="2" t="s">
        <v>85</v>
      </c>
      <c r="BW1997" s="2"/>
      <c r="BX1997" s="2"/>
      <c r="BY1997" s="2">
        <v>10996.13</v>
      </c>
      <c r="BZ1997" s="2"/>
      <c r="CA1997" s="2"/>
      <c r="CB1997" s="2"/>
      <c r="CC1997" s="2" t="s">
        <v>153</v>
      </c>
      <c r="CD1997" s="2">
        <v>7620</v>
      </c>
      <c r="CE1997" s="2" t="s">
        <v>108</v>
      </c>
      <c r="CF1997" s="5">
        <v>42667</v>
      </c>
      <c r="CG1997" s="2"/>
      <c r="CH1997" s="2"/>
      <c r="CI1997" s="2">
        <v>1</v>
      </c>
      <c r="CJ1997" s="2">
        <v>1</v>
      </c>
      <c r="CK1997" s="2">
        <v>21</v>
      </c>
      <c r="CL1997" s="2" t="s">
        <v>88</v>
      </c>
      <c r="CM1997" s="2"/>
    </row>
    <row r="1998" spans="1:91">
      <c r="A1998" s="2" t="s">
        <v>71</v>
      </c>
      <c r="B1998" s="2" t="s">
        <v>72</v>
      </c>
      <c r="C1998" s="2" t="s">
        <v>73</v>
      </c>
      <c r="D1998" s="2"/>
      <c r="E1998" s="2" t="str">
        <f>"FES1162508303"</f>
        <v>FES1162508303</v>
      </c>
      <c r="F1998" s="3">
        <v>42663</v>
      </c>
      <c r="G1998" s="2">
        <v>201704</v>
      </c>
      <c r="H1998" s="2" t="s">
        <v>74</v>
      </c>
      <c r="I1998" s="2" t="s">
        <v>75</v>
      </c>
      <c r="J1998" s="2" t="s">
        <v>76</v>
      </c>
      <c r="K1998" s="2" t="s">
        <v>77</v>
      </c>
      <c r="L1998" s="2" t="s">
        <v>160</v>
      </c>
      <c r="M1998" s="2" t="s">
        <v>161</v>
      </c>
      <c r="N1998" s="2" t="s">
        <v>279</v>
      </c>
      <c r="O1998" s="2" t="s">
        <v>96</v>
      </c>
      <c r="P1998" s="2" t="str">
        <f>"2170531603                    "</f>
        <v xml:space="preserve">2170531603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3.32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1.3</v>
      </c>
      <c r="BJ1998" s="2">
        <v>1.3</v>
      </c>
      <c r="BK1998" s="2">
        <v>1.5</v>
      </c>
      <c r="BL1998" s="2">
        <v>40.76</v>
      </c>
      <c r="BM1998" s="2">
        <v>5.71</v>
      </c>
      <c r="BN1998" s="2">
        <v>46.47</v>
      </c>
      <c r="BO1998" s="2">
        <v>46.47</v>
      </c>
      <c r="BP1998" s="2"/>
      <c r="BQ1998" s="2" t="s">
        <v>280</v>
      </c>
      <c r="BR1998" s="2" t="s">
        <v>83</v>
      </c>
      <c r="BS1998" s="3">
        <v>42664</v>
      </c>
      <c r="BT1998" s="4">
        <v>0.36805555555555558</v>
      </c>
      <c r="BU1998" s="2" t="s">
        <v>2049</v>
      </c>
      <c r="BV1998" s="2" t="s">
        <v>85</v>
      </c>
      <c r="BW1998" s="2"/>
      <c r="BX1998" s="2"/>
      <c r="BY1998" s="2">
        <v>6738.5</v>
      </c>
      <c r="BZ1998" s="2"/>
      <c r="CA1998" s="2" t="s">
        <v>129</v>
      </c>
      <c r="CB1998" s="2"/>
      <c r="CC1998" s="2" t="s">
        <v>161</v>
      </c>
      <c r="CD1998" s="2">
        <v>7441</v>
      </c>
      <c r="CE1998" s="2" t="s">
        <v>108</v>
      </c>
      <c r="CF1998" s="5">
        <v>42667</v>
      </c>
      <c r="CG1998" s="2"/>
      <c r="CH1998" s="2"/>
      <c r="CI1998" s="2">
        <v>1</v>
      </c>
      <c r="CJ1998" s="2">
        <v>1</v>
      </c>
      <c r="CK1998" s="2">
        <v>21</v>
      </c>
      <c r="CL1998" s="2" t="s">
        <v>88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"FES1162508331"</f>
        <v>FES1162508331</v>
      </c>
      <c r="F1999" s="3">
        <v>42663</v>
      </c>
      <c r="G1999" s="2">
        <v>201704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160</v>
      </c>
      <c r="M1999" s="2" t="s">
        <v>161</v>
      </c>
      <c r="N1999" s="2" t="s">
        <v>176</v>
      </c>
      <c r="O1999" s="2" t="s">
        <v>96</v>
      </c>
      <c r="P1999" s="2" t="str">
        <f>"2170531641                    "</f>
        <v xml:space="preserve">2170531641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3.32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0.6</v>
      </c>
      <c r="BJ1999" s="2">
        <v>1.4</v>
      </c>
      <c r="BK1999" s="2">
        <v>1.5</v>
      </c>
      <c r="BL1999" s="2">
        <v>40.76</v>
      </c>
      <c r="BM1999" s="2">
        <v>5.71</v>
      </c>
      <c r="BN1999" s="2">
        <v>46.47</v>
      </c>
      <c r="BO1999" s="2">
        <v>46.47</v>
      </c>
      <c r="BP1999" s="2"/>
      <c r="BQ1999" s="2" t="s">
        <v>177</v>
      </c>
      <c r="BR1999" s="2" t="s">
        <v>83</v>
      </c>
      <c r="BS1999" s="3">
        <v>42664</v>
      </c>
      <c r="BT1999" s="4">
        <v>0.40277777777777773</v>
      </c>
      <c r="BU1999" s="2" t="s">
        <v>1990</v>
      </c>
      <c r="BV1999" s="2" t="s">
        <v>85</v>
      </c>
      <c r="BW1999" s="2"/>
      <c r="BX1999" s="2"/>
      <c r="BY1999" s="2">
        <v>6783.85</v>
      </c>
      <c r="BZ1999" s="2"/>
      <c r="CA1999" s="2"/>
      <c r="CB1999" s="2"/>
      <c r="CC1999" s="2" t="s">
        <v>161</v>
      </c>
      <c r="CD1999" s="2">
        <v>7530</v>
      </c>
      <c r="CE1999" s="2" t="s">
        <v>108</v>
      </c>
      <c r="CF1999" s="5">
        <v>42667</v>
      </c>
      <c r="CG1999" s="2"/>
      <c r="CH1999" s="2"/>
      <c r="CI1999" s="2">
        <v>1</v>
      </c>
      <c r="CJ1999" s="2">
        <v>1</v>
      </c>
      <c r="CK1999" s="2">
        <v>21</v>
      </c>
      <c r="CL1999" s="2" t="s">
        <v>88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"FES162507288"</f>
        <v>FES162507288</v>
      </c>
      <c r="F2000" s="3">
        <v>42661</v>
      </c>
      <c r="G2000" s="2">
        <v>201704</v>
      </c>
      <c r="H2000" s="2" t="s">
        <v>636</v>
      </c>
      <c r="I2000" s="2" t="s">
        <v>1664</v>
      </c>
      <c r="J2000" s="2" t="s">
        <v>189</v>
      </c>
      <c r="K2000" s="2" t="s">
        <v>77</v>
      </c>
      <c r="L2000" s="2" t="s">
        <v>98</v>
      </c>
      <c r="M2000" s="2" t="s">
        <v>99</v>
      </c>
      <c r="N2000" s="2" t="s">
        <v>2084</v>
      </c>
      <c r="O2000" s="2" t="s">
        <v>96</v>
      </c>
      <c r="P2000" s="2" t="str">
        <f>"2170526239                    "</f>
        <v xml:space="preserve">2170526239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3.32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0.2</v>
      </c>
      <c r="BK2000" s="2">
        <v>1</v>
      </c>
      <c r="BL2000" s="2">
        <v>40.76</v>
      </c>
      <c r="BM2000" s="2">
        <v>5.71</v>
      </c>
      <c r="BN2000" s="2">
        <v>46.47</v>
      </c>
      <c r="BO2000" s="2">
        <v>46.47</v>
      </c>
      <c r="BP2000" s="2"/>
      <c r="BQ2000" s="2" t="s">
        <v>110</v>
      </c>
      <c r="BR2000" s="2" t="s">
        <v>381</v>
      </c>
      <c r="BS2000" s="6" t="s">
        <v>679</v>
      </c>
      <c r="BT2000" s="2"/>
      <c r="BU2000" s="2"/>
      <c r="BV2000" s="2"/>
      <c r="BW2000" s="2"/>
      <c r="BX2000" s="2"/>
      <c r="BY2000" s="2">
        <v>1200</v>
      </c>
      <c r="BZ2000" s="2" t="s">
        <v>27</v>
      </c>
      <c r="CA2000" s="2"/>
      <c r="CB2000" s="2"/>
      <c r="CC2000" s="2" t="s">
        <v>99</v>
      </c>
      <c r="CD2000" s="2">
        <v>6000</v>
      </c>
      <c r="CE2000" s="2"/>
      <c r="CF2000" s="2"/>
      <c r="CG2000" s="2"/>
      <c r="CH2000" s="2"/>
      <c r="CI2000" s="2">
        <v>1</v>
      </c>
      <c r="CJ2000" s="2" t="s">
        <v>679</v>
      </c>
      <c r="CK2000" s="2">
        <v>21</v>
      </c>
      <c r="CL2000" s="2" t="s">
        <v>88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"080001463185"</f>
        <v>080001463185</v>
      </c>
      <c r="F2001" s="3">
        <v>42663</v>
      </c>
      <c r="G2001" s="2">
        <v>201704</v>
      </c>
      <c r="H2001" s="2" t="s">
        <v>93</v>
      </c>
      <c r="I2001" s="2" t="s">
        <v>94</v>
      </c>
      <c r="J2001" s="2" t="s">
        <v>2085</v>
      </c>
      <c r="K2001" s="2" t="s">
        <v>77</v>
      </c>
      <c r="L2001" s="2" t="s">
        <v>74</v>
      </c>
      <c r="M2001" s="2" t="s">
        <v>75</v>
      </c>
      <c r="N2001" s="2" t="s">
        <v>189</v>
      </c>
      <c r="O2001" s="2" t="s">
        <v>96</v>
      </c>
      <c r="P2001" s="2" t="str">
        <f>"MERSETA DATABASE(FESTO DIDACTI"</f>
        <v>MERSETA DATABASE(FESTO DIDACTI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3.32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1.5</v>
      </c>
      <c r="BJ2001" s="2">
        <v>1</v>
      </c>
      <c r="BK2001" s="2">
        <v>1.5</v>
      </c>
      <c r="BL2001" s="2">
        <v>40.76</v>
      </c>
      <c r="BM2001" s="2">
        <v>5.71</v>
      </c>
      <c r="BN2001" s="2">
        <v>46.47</v>
      </c>
      <c r="BO2001" s="2">
        <v>46.47</v>
      </c>
      <c r="BP2001" s="2" t="s">
        <v>2086</v>
      </c>
      <c r="BQ2001" s="2" t="s">
        <v>2087</v>
      </c>
      <c r="BR2001" s="2" t="s">
        <v>488</v>
      </c>
      <c r="BS2001" s="3">
        <v>42664</v>
      </c>
      <c r="BT2001" s="4">
        <v>0.34166666666666662</v>
      </c>
      <c r="BU2001" s="2" t="s">
        <v>381</v>
      </c>
      <c r="BV2001" s="2" t="s">
        <v>85</v>
      </c>
      <c r="BW2001" s="2"/>
      <c r="BX2001" s="2"/>
      <c r="BY2001" s="2">
        <v>5000</v>
      </c>
      <c r="BZ2001" s="2" t="s">
        <v>27</v>
      </c>
      <c r="CA2001" s="2"/>
      <c r="CB2001" s="2"/>
      <c r="CC2001" s="2" t="s">
        <v>75</v>
      </c>
      <c r="CD2001" s="2">
        <v>1601</v>
      </c>
      <c r="CE2001" s="2" t="s">
        <v>86</v>
      </c>
      <c r="CF2001" s="5">
        <v>42667</v>
      </c>
      <c r="CG2001" s="2"/>
      <c r="CH2001" s="2"/>
      <c r="CI2001" s="2">
        <v>1</v>
      </c>
      <c r="CJ2001" s="2">
        <v>1</v>
      </c>
      <c r="CK2001" s="2">
        <v>21</v>
      </c>
      <c r="CL2001" s="2" t="s">
        <v>88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"FES1162508427"</f>
        <v>FES1162508427</v>
      </c>
      <c r="F2002" s="3">
        <v>42664</v>
      </c>
      <c r="G2002" s="2">
        <v>201704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98</v>
      </c>
      <c r="M2002" s="2" t="s">
        <v>99</v>
      </c>
      <c r="N2002" s="2" t="s">
        <v>133</v>
      </c>
      <c r="O2002" s="2" t="s">
        <v>96</v>
      </c>
      <c r="P2002" s="2" t="str">
        <f>"2170529598                    "</f>
        <v xml:space="preserve">2170529598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6.63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4</v>
      </c>
      <c r="BJ2002" s="2">
        <v>1.7</v>
      </c>
      <c r="BK2002" s="2">
        <v>4</v>
      </c>
      <c r="BL2002" s="2">
        <v>81.510000000000005</v>
      </c>
      <c r="BM2002" s="2">
        <v>11.41</v>
      </c>
      <c r="BN2002" s="2">
        <v>92.92</v>
      </c>
      <c r="BO2002" s="2">
        <v>92.92</v>
      </c>
      <c r="BP2002" s="2"/>
      <c r="BQ2002" s="2" t="s">
        <v>134</v>
      </c>
      <c r="BR2002" s="2" t="s">
        <v>83</v>
      </c>
      <c r="BS2002" s="3">
        <v>42667</v>
      </c>
      <c r="BT2002" s="4">
        <v>0.34027777777777773</v>
      </c>
      <c r="BU2002" s="2" t="s">
        <v>2088</v>
      </c>
      <c r="BV2002" s="2" t="s">
        <v>85</v>
      </c>
      <c r="BW2002" s="2"/>
      <c r="BX2002" s="2"/>
      <c r="BY2002" s="2">
        <v>8513.06</v>
      </c>
      <c r="BZ2002" s="2"/>
      <c r="CA2002" s="2"/>
      <c r="CB2002" s="2"/>
      <c r="CC2002" s="2" t="s">
        <v>99</v>
      </c>
      <c r="CD2002" s="2">
        <v>6001</v>
      </c>
      <c r="CE2002" s="2" t="s">
        <v>86</v>
      </c>
      <c r="CF2002" s="5">
        <v>42668</v>
      </c>
      <c r="CG2002" s="2"/>
      <c r="CH2002" s="2"/>
      <c r="CI2002" s="2">
        <v>1</v>
      </c>
      <c r="CJ2002" s="2">
        <v>1</v>
      </c>
      <c r="CK2002" s="2">
        <v>21</v>
      </c>
      <c r="CL2002" s="2" t="s">
        <v>88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"080001446253"</f>
        <v>080001446253</v>
      </c>
      <c r="F2003" s="3">
        <v>42646</v>
      </c>
      <c r="G2003" s="2">
        <v>201704</v>
      </c>
      <c r="H2003" s="2" t="s">
        <v>160</v>
      </c>
      <c r="I2003" s="2" t="s">
        <v>161</v>
      </c>
      <c r="J2003" s="2" t="s">
        <v>441</v>
      </c>
      <c r="K2003" s="2" t="s">
        <v>77</v>
      </c>
      <c r="L2003" s="2" t="s">
        <v>74</v>
      </c>
      <c r="M2003" s="2" t="s">
        <v>75</v>
      </c>
      <c r="N2003" s="2" t="s">
        <v>189</v>
      </c>
      <c r="O2003" s="2" t="s">
        <v>81</v>
      </c>
      <c r="P2003" s="2" t="str">
        <f>"GARETH SCHENCK                "</f>
        <v xml:space="preserve">GARETH SCHENCK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55.89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202</v>
      </c>
      <c r="BJ2003" s="2">
        <v>108</v>
      </c>
      <c r="BK2003" s="2">
        <v>202</v>
      </c>
      <c r="BL2003" s="2">
        <v>750.89</v>
      </c>
      <c r="BM2003" s="2">
        <v>105.12</v>
      </c>
      <c r="BN2003" s="2">
        <v>856.01</v>
      </c>
      <c r="BO2003" s="2">
        <v>856.01</v>
      </c>
      <c r="BP2003" s="2" t="s">
        <v>2089</v>
      </c>
      <c r="BQ2003" s="2" t="s">
        <v>1054</v>
      </c>
      <c r="BR2003" s="2" t="s">
        <v>370</v>
      </c>
      <c r="BS2003" s="3">
        <v>42648</v>
      </c>
      <c r="BT2003" s="4">
        <v>0.33333333333333331</v>
      </c>
      <c r="BU2003" s="2" t="s">
        <v>2057</v>
      </c>
      <c r="BV2003" s="2" t="s">
        <v>88</v>
      </c>
      <c r="BW2003" s="2" t="s">
        <v>277</v>
      </c>
      <c r="BX2003" s="2" t="s">
        <v>2090</v>
      </c>
      <c r="BY2003" s="2">
        <v>540000</v>
      </c>
      <c r="BZ2003" s="2"/>
      <c r="CA2003" s="2"/>
      <c r="CB2003" s="2"/>
      <c r="CC2003" s="2" t="s">
        <v>75</v>
      </c>
      <c r="CD2003" s="2">
        <v>1601</v>
      </c>
      <c r="CE2003" s="2" t="s">
        <v>1056</v>
      </c>
      <c r="CF2003" s="5">
        <v>42649</v>
      </c>
      <c r="CG2003" s="2"/>
      <c r="CH2003" s="2"/>
      <c r="CI2003" s="2">
        <v>2</v>
      </c>
      <c r="CJ2003" s="2">
        <v>2</v>
      </c>
      <c r="CK2003" s="2" t="s">
        <v>1063</v>
      </c>
      <c r="CL2003" s="2" t="s">
        <v>88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"FES1162508611"</f>
        <v>FES1162508611</v>
      </c>
      <c r="F2004" s="3">
        <v>42664</v>
      </c>
      <c r="G2004" s="2">
        <v>201704</v>
      </c>
      <c r="H2004" s="2" t="s">
        <v>74</v>
      </c>
      <c r="I2004" s="2" t="s">
        <v>75</v>
      </c>
      <c r="J2004" s="2" t="s">
        <v>76</v>
      </c>
      <c r="K2004" s="2" t="s">
        <v>77</v>
      </c>
      <c r="L2004" s="2" t="s">
        <v>148</v>
      </c>
      <c r="M2004" s="2" t="s">
        <v>149</v>
      </c>
      <c r="N2004" s="2" t="s">
        <v>2091</v>
      </c>
      <c r="O2004" s="2" t="s">
        <v>96</v>
      </c>
      <c r="P2004" s="2" t="str">
        <f>"2170528910                    "</f>
        <v xml:space="preserve">2170528910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7.46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2</v>
      </c>
      <c r="BJ2004" s="2">
        <v>4.0999999999999996</v>
      </c>
      <c r="BK2004" s="2">
        <v>4.5</v>
      </c>
      <c r="BL2004" s="2">
        <v>91.7</v>
      </c>
      <c r="BM2004" s="2">
        <v>12.84</v>
      </c>
      <c r="BN2004" s="2">
        <v>104.54</v>
      </c>
      <c r="BO2004" s="2">
        <v>104.54</v>
      </c>
      <c r="BP2004" s="2"/>
      <c r="BQ2004" s="2" t="s">
        <v>117</v>
      </c>
      <c r="BR2004" s="2" t="s">
        <v>83</v>
      </c>
      <c r="BS2004" s="3">
        <v>42667</v>
      </c>
      <c r="BT2004" s="4">
        <v>0.41666666666666669</v>
      </c>
      <c r="BU2004" s="2" t="s">
        <v>2092</v>
      </c>
      <c r="BV2004" s="2" t="s">
        <v>85</v>
      </c>
      <c r="BW2004" s="2"/>
      <c r="BX2004" s="2"/>
      <c r="BY2004" s="2">
        <v>20358</v>
      </c>
      <c r="BZ2004" s="2"/>
      <c r="CA2004" s="2"/>
      <c r="CB2004" s="2"/>
      <c r="CC2004" s="2" t="s">
        <v>149</v>
      </c>
      <c r="CD2004" s="2">
        <v>4052</v>
      </c>
      <c r="CE2004" s="2" t="s">
        <v>86</v>
      </c>
      <c r="CF2004" s="5">
        <v>42668</v>
      </c>
      <c r="CG2004" s="2"/>
      <c r="CH2004" s="2"/>
      <c r="CI2004" s="2">
        <v>1</v>
      </c>
      <c r="CJ2004" s="2">
        <v>1</v>
      </c>
      <c r="CK2004" s="2">
        <v>21</v>
      </c>
      <c r="CL2004" s="2" t="s">
        <v>88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"080001465240"</f>
        <v>080001465240</v>
      </c>
      <c r="F2005" s="3">
        <v>42664</v>
      </c>
      <c r="G2005" s="2">
        <v>201704</v>
      </c>
      <c r="H2005" s="2" t="s">
        <v>98</v>
      </c>
      <c r="I2005" s="2" t="s">
        <v>99</v>
      </c>
      <c r="J2005" s="2" t="s">
        <v>350</v>
      </c>
      <c r="K2005" s="2" t="s">
        <v>77</v>
      </c>
      <c r="L2005" s="2" t="s">
        <v>74</v>
      </c>
      <c r="M2005" s="2" t="s">
        <v>75</v>
      </c>
      <c r="N2005" s="2" t="s">
        <v>189</v>
      </c>
      <c r="O2005" s="2" t="s">
        <v>96</v>
      </c>
      <c r="P2005" s="2" t="str">
        <f>"ZA1000600347                  "</f>
        <v xml:space="preserve">ZA1000600347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3.32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1.6</v>
      </c>
      <c r="BJ2005" s="2">
        <v>1.4</v>
      </c>
      <c r="BK2005" s="2">
        <v>2</v>
      </c>
      <c r="BL2005" s="2">
        <v>40.76</v>
      </c>
      <c r="BM2005" s="2">
        <v>5.71</v>
      </c>
      <c r="BN2005" s="2">
        <v>46.47</v>
      </c>
      <c r="BO2005" s="2">
        <v>46.47</v>
      </c>
      <c r="BP2005" s="2" t="s">
        <v>2093</v>
      </c>
      <c r="BQ2005" s="2" t="s">
        <v>381</v>
      </c>
      <c r="BR2005" s="2" t="s">
        <v>2094</v>
      </c>
      <c r="BS2005" s="3">
        <v>42668</v>
      </c>
      <c r="BT2005" s="4">
        <v>0.36458333333333331</v>
      </c>
      <c r="BU2005" s="2" t="s">
        <v>102</v>
      </c>
      <c r="BV2005" s="2" t="s">
        <v>88</v>
      </c>
      <c r="BW2005" s="2" t="s">
        <v>277</v>
      </c>
      <c r="BX2005" s="2" t="s">
        <v>2090</v>
      </c>
      <c r="BY2005" s="2">
        <v>7140</v>
      </c>
      <c r="BZ2005" s="2"/>
      <c r="CA2005" s="2"/>
      <c r="CB2005" s="2"/>
      <c r="CC2005" s="2" t="s">
        <v>75</v>
      </c>
      <c r="CD2005" s="2">
        <v>1601</v>
      </c>
      <c r="CE2005" s="2" t="s">
        <v>86</v>
      </c>
      <c r="CF2005" s="5">
        <v>42669</v>
      </c>
      <c r="CG2005" s="2"/>
      <c r="CH2005" s="2"/>
      <c r="CI2005" s="2">
        <v>1</v>
      </c>
      <c r="CJ2005" s="2">
        <v>2</v>
      </c>
      <c r="CK2005" s="2">
        <v>21</v>
      </c>
      <c r="CL2005" s="2" t="s">
        <v>88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"FES1162508605"</f>
        <v>FES1162508605</v>
      </c>
      <c r="F2006" s="3">
        <v>42664</v>
      </c>
      <c r="G2006" s="2">
        <v>201704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260</v>
      </c>
      <c r="M2006" s="2" t="s">
        <v>261</v>
      </c>
      <c r="N2006" s="2" t="s">
        <v>262</v>
      </c>
      <c r="O2006" s="2" t="s">
        <v>96</v>
      </c>
      <c r="P2006" s="2" t="str">
        <f>"2170531877                    "</f>
        <v xml:space="preserve">2170531877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3.32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1</v>
      </c>
      <c r="BJ2006" s="2">
        <v>0.2</v>
      </c>
      <c r="BK2006" s="2">
        <v>1</v>
      </c>
      <c r="BL2006" s="2">
        <v>40.76</v>
      </c>
      <c r="BM2006" s="2">
        <v>5.71</v>
      </c>
      <c r="BN2006" s="2">
        <v>46.47</v>
      </c>
      <c r="BO2006" s="2">
        <v>46.47</v>
      </c>
      <c r="BP2006" s="2"/>
      <c r="BQ2006" s="2" t="s">
        <v>91</v>
      </c>
      <c r="BR2006" s="2" t="s">
        <v>83</v>
      </c>
      <c r="BS2006" s="3">
        <v>42667</v>
      </c>
      <c r="BT2006" s="4">
        <v>0.45555555555555555</v>
      </c>
      <c r="BU2006" s="2" t="s">
        <v>2095</v>
      </c>
      <c r="BV2006" s="2" t="s">
        <v>85</v>
      </c>
      <c r="BW2006" s="2"/>
      <c r="BX2006" s="2"/>
      <c r="BY2006" s="2">
        <v>1200</v>
      </c>
      <c r="BZ2006" s="2"/>
      <c r="CA2006" s="2"/>
      <c r="CB2006" s="2"/>
      <c r="CC2006" s="2" t="s">
        <v>261</v>
      </c>
      <c r="CD2006" s="2">
        <v>6850</v>
      </c>
      <c r="CE2006" s="2" t="s">
        <v>108</v>
      </c>
      <c r="CF2006" s="5">
        <v>42668</v>
      </c>
      <c r="CG2006" s="2"/>
      <c r="CH2006" s="2"/>
      <c r="CI2006" s="2">
        <v>3</v>
      </c>
      <c r="CJ2006" s="2">
        <v>1</v>
      </c>
      <c r="CK2006" s="2">
        <v>21</v>
      </c>
      <c r="CL2006" s="2" t="s">
        <v>88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"049901262620"</f>
        <v>049901262620</v>
      </c>
      <c r="F2007" s="3">
        <v>42664</v>
      </c>
      <c r="G2007" s="2">
        <v>201704</v>
      </c>
      <c r="H2007" s="2" t="s">
        <v>143</v>
      </c>
      <c r="I2007" s="2" t="s">
        <v>144</v>
      </c>
      <c r="J2007" s="2" t="s">
        <v>2096</v>
      </c>
      <c r="K2007" s="2" t="s">
        <v>77</v>
      </c>
      <c r="L2007" s="2" t="s">
        <v>74</v>
      </c>
      <c r="M2007" s="2" t="s">
        <v>75</v>
      </c>
      <c r="N2007" s="2" t="s">
        <v>2097</v>
      </c>
      <c r="O2007" s="2" t="s">
        <v>96</v>
      </c>
      <c r="P2007" s="2" t="str">
        <f>"                              "</f>
        <v xml:space="preserve">          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3.32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1</v>
      </c>
      <c r="BJ2007" s="2">
        <v>0.2</v>
      </c>
      <c r="BK2007" s="2">
        <v>1</v>
      </c>
      <c r="BL2007" s="2">
        <v>40.76</v>
      </c>
      <c r="BM2007" s="2">
        <v>5.71</v>
      </c>
      <c r="BN2007" s="2">
        <v>46.47</v>
      </c>
      <c r="BO2007" s="2">
        <v>46.47</v>
      </c>
      <c r="BP2007" s="2"/>
      <c r="BQ2007" s="2"/>
      <c r="BR2007" s="2" t="s">
        <v>1964</v>
      </c>
      <c r="BS2007" s="3">
        <v>42667</v>
      </c>
      <c r="BT2007" s="4">
        <v>0.34513888888888888</v>
      </c>
      <c r="BU2007" s="2" t="s">
        <v>777</v>
      </c>
      <c r="BV2007" s="2" t="s">
        <v>85</v>
      </c>
      <c r="BW2007" s="2"/>
      <c r="BX2007" s="2"/>
      <c r="BY2007" s="2">
        <v>1200</v>
      </c>
      <c r="BZ2007" s="2" t="s">
        <v>27</v>
      </c>
      <c r="CA2007" s="2" t="s">
        <v>129</v>
      </c>
      <c r="CB2007" s="2"/>
      <c r="CC2007" s="2" t="s">
        <v>75</v>
      </c>
      <c r="CD2007" s="2">
        <v>1601</v>
      </c>
      <c r="CE2007" s="2" t="s">
        <v>86</v>
      </c>
      <c r="CF2007" s="5">
        <v>42668</v>
      </c>
      <c r="CG2007" s="2"/>
      <c r="CH2007" s="2"/>
      <c r="CI2007" s="2">
        <v>1</v>
      </c>
      <c r="CJ2007" s="2">
        <v>1</v>
      </c>
      <c r="CK2007" s="2">
        <v>21</v>
      </c>
      <c r="CL2007" s="2" t="s">
        <v>88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"FES1162508496"</f>
        <v>FES1162508496</v>
      </c>
      <c r="F2008" s="3">
        <v>42664</v>
      </c>
      <c r="G2008" s="2">
        <v>201704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260</v>
      </c>
      <c r="M2008" s="2" t="s">
        <v>261</v>
      </c>
      <c r="N2008" s="2" t="s">
        <v>347</v>
      </c>
      <c r="O2008" s="2" t="s">
        <v>96</v>
      </c>
      <c r="P2008" s="2" t="str">
        <f>"2170531213                    "</f>
        <v xml:space="preserve">2170531213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14.93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8.9</v>
      </c>
      <c r="BJ2008" s="2">
        <v>3.6</v>
      </c>
      <c r="BK2008" s="2">
        <v>9</v>
      </c>
      <c r="BL2008" s="2">
        <v>183.41</v>
      </c>
      <c r="BM2008" s="2">
        <v>25.68</v>
      </c>
      <c r="BN2008" s="2">
        <v>209.09</v>
      </c>
      <c r="BO2008" s="2">
        <v>209.09</v>
      </c>
      <c r="BP2008" s="2"/>
      <c r="BQ2008" s="2"/>
      <c r="BR2008" s="2" t="s">
        <v>83</v>
      </c>
      <c r="BS2008" s="3">
        <v>42667</v>
      </c>
      <c r="BT2008" s="4">
        <v>0.41666666666666669</v>
      </c>
      <c r="BU2008" s="2" t="s">
        <v>2098</v>
      </c>
      <c r="BV2008" s="2" t="s">
        <v>85</v>
      </c>
      <c r="BW2008" s="2"/>
      <c r="BX2008" s="2"/>
      <c r="BY2008" s="2">
        <v>18052.61</v>
      </c>
      <c r="BZ2008" s="2"/>
      <c r="CA2008" s="2"/>
      <c r="CB2008" s="2"/>
      <c r="CC2008" s="2" t="s">
        <v>261</v>
      </c>
      <c r="CD2008" s="2">
        <v>6850</v>
      </c>
      <c r="CE2008" s="2" t="s">
        <v>86</v>
      </c>
      <c r="CF2008" s="5">
        <v>42668</v>
      </c>
      <c r="CG2008" s="2"/>
      <c r="CH2008" s="2"/>
      <c r="CI2008" s="2">
        <v>3</v>
      </c>
      <c r="CJ2008" s="2">
        <v>1</v>
      </c>
      <c r="CK2008" s="2">
        <v>21</v>
      </c>
      <c r="CL2008" s="2" t="s">
        <v>88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"FES1162508370"</f>
        <v>FES1162508370</v>
      </c>
      <c r="F2009" s="3">
        <v>42664</v>
      </c>
      <c r="G2009" s="2">
        <v>201704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218</v>
      </c>
      <c r="M2009" s="2" t="s">
        <v>219</v>
      </c>
      <c r="N2009" s="2" t="s">
        <v>220</v>
      </c>
      <c r="O2009" s="2" t="s">
        <v>96</v>
      </c>
      <c r="P2009" s="2" t="str">
        <f>"2170531673                    "</f>
        <v xml:space="preserve">2170531673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3.32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1</v>
      </c>
      <c r="BJ2009" s="2">
        <v>0.2</v>
      </c>
      <c r="BK2009" s="2">
        <v>1</v>
      </c>
      <c r="BL2009" s="2">
        <v>40.76</v>
      </c>
      <c r="BM2009" s="2">
        <v>5.71</v>
      </c>
      <c r="BN2009" s="2">
        <v>46.47</v>
      </c>
      <c r="BO2009" s="2">
        <v>46.47</v>
      </c>
      <c r="BP2009" s="2"/>
      <c r="BQ2009" s="2" t="s">
        <v>91</v>
      </c>
      <c r="BR2009" s="2" t="s">
        <v>83</v>
      </c>
      <c r="BS2009" s="3">
        <v>42667</v>
      </c>
      <c r="BT2009" s="4">
        <v>0.34583333333333338</v>
      </c>
      <c r="BU2009" s="2" t="s">
        <v>1881</v>
      </c>
      <c r="BV2009" s="2" t="s">
        <v>85</v>
      </c>
      <c r="BW2009" s="2"/>
      <c r="BX2009" s="2"/>
      <c r="BY2009" s="2">
        <v>1200</v>
      </c>
      <c r="BZ2009" s="2"/>
      <c r="CA2009" s="2"/>
      <c r="CB2009" s="2"/>
      <c r="CC2009" s="2" t="s">
        <v>219</v>
      </c>
      <c r="CD2009" s="2">
        <v>7600</v>
      </c>
      <c r="CE2009" s="2" t="s">
        <v>108</v>
      </c>
      <c r="CF2009" s="5">
        <v>42668</v>
      </c>
      <c r="CG2009" s="2"/>
      <c r="CH2009" s="2"/>
      <c r="CI2009" s="2">
        <v>1</v>
      </c>
      <c r="CJ2009" s="2">
        <v>1</v>
      </c>
      <c r="CK2009" s="2">
        <v>21</v>
      </c>
      <c r="CL2009" s="2" t="s">
        <v>88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"FES1162508444"</f>
        <v>FES1162508444</v>
      </c>
      <c r="F2010" s="3">
        <v>42664</v>
      </c>
      <c r="G2010" s="2">
        <v>201704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148</v>
      </c>
      <c r="M2010" s="2" t="s">
        <v>149</v>
      </c>
      <c r="N2010" s="2" t="s">
        <v>473</v>
      </c>
      <c r="O2010" s="2" t="s">
        <v>96</v>
      </c>
      <c r="P2010" s="2" t="str">
        <f>"2170531719                    "</f>
        <v xml:space="preserve">2170531719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3.32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1</v>
      </c>
      <c r="BJ2010" s="2">
        <v>0.2</v>
      </c>
      <c r="BK2010" s="2">
        <v>1</v>
      </c>
      <c r="BL2010" s="2">
        <v>40.76</v>
      </c>
      <c r="BM2010" s="2">
        <v>5.71</v>
      </c>
      <c r="BN2010" s="2">
        <v>46.47</v>
      </c>
      <c r="BO2010" s="2">
        <v>46.47</v>
      </c>
      <c r="BP2010" s="2"/>
      <c r="BQ2010" s="2" t="s">
        <v>117</v>
      </c>
      <c r="BR2010" s="2" t="s">
        <v>83</v>
      </c>
      <c r="BS2010" s="3">
        <v>42667</v>
      </c>
      <c r="BT2010" s="4">
        <v>0.4375</v>
      </c>
      <c r="BU2010" s="2" t="s">
        <v>1595</v>
      </c>
      <c r="BV2010" s="2" t="s">
        <v>85</v>
      </c>
      <c r="BW2010" s="2"/>
      <c r="BX2010" s="2"/>
      <c r="BY2010" s="2">
        <v>1200</v>
      </c>
      <c r="BZ2010" s="2"/>
      <c r="CA2010" s="2" t="s">
        <v>129</v>
      </c>
      <c r="CB2010" s="2"/>
      <c r="CC2010" s="2" t="s">
        <v>149</v>
      </c>
      <c r="CD2010" s="2">
        <v>4052</v>
      </c>
      <c r="CE2010" s="2" t="s">
        <v>108</v>
      </c>
      <c r="CF2010" s="5">
        <v>42668</v>
      </c>
      <c r="CG2010" s="2"/>
      <c r="CH2010" s="2"/>
      <c r="CI2010" s="2">
        <v>1</v>
      </c>
      <c r="CJ2010" s="2">
        <v>1</v>
      </c>
      <c r="CK2010" s="2">
        <v>21</v>
      </c>
      <c r="CL2010" s="2" t="s">
        <v>88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"FES1162508443"</f>
        <v>FES1162508443</v>
      </c>
      <c r="F2011" s="3">
        <v>42664</v>
      </c>
      <c r="G2011" s="2">
        <v>201704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148</v>
      </c>
      <c r="M2011" s="2" t="s">
        <v>149</v>
      </c>
      <c r="N2011" s="2" t="s">
        <v>233</v>
      </c>
      <c r="O2011" s="2" t="s">
        <v>96</v>
      </c>
      <c r="P2011" s="2" t="str">
        <f>"2170531717                    "</f>
        <v xml:space="preserve">2170531717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3.32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1</v>
      </c>
      <c r="BJ2011" s="2">
        <v>0.2</v>
      </c>
      <c r="BK2011" s="2">
        <v>1</v>
      </c>
      <c r="BL2011" s="2">
        <v>40.76</v>
      </c>
      <c r="BM2011" s="2">
        <v>5.71</v>
      </c>
      <c r="BN2011" s="2">
        <v>46.47</v>
      </c>
      <c r="BO2011" s="2">
        <v>46.47</v>
      </c>
      <c r="BP2011" s="2"/>
      <c r="BQ2011" s="2" t="s">
        <v>234</v>
      </c>
      <c r="BR2011" s="2" t="s">
        <v>83</v>
      </c>
      <c r="BS2011" s="3">
        <v>42667</v>
      </c>
      <c r="BT2011" s="4">
        <v>0.4375</v>
      </c>
      <c r="BU2011" s="2" t="s">
        <v>2099</v>
      </c>
      <c r="BV2011" s="2"/>
      <c r="BW2011" s="2"/>
      <c r="BX2011" s="2"/>
      <c r="BY2011" s="2">
        <v>1200</v>
      </c>
      <c r="BZ2011" s="2"/>
      <c r="CA2011" s="2" t="s">
        <v>129</v>
      </c>
      <c r="CB2011" s="2"/>
      <c r="CC2011" s="2" t="s">
        <v>149</v>
      </c>
      <c r="CD2011" s="2">
        <v>4001</v>
      </c>
      <c r="CE2011" s="2" t="s">
        <v>108</v>
      </c>
      <c r="CF2011" s="5">
        <v>42668</v>
      </c>
      <c r="CG2011" s="2"/>
      <c r="CH2011" s="2"/>
      <c r="CI2011" s="2">
        <v>0</v>
      </c>
      <c r="CJ2011" s="2">
        <v>0</v>
      </c>
      <c r="CK2011" s="2">
        <v>21</v>
      </c>
      <c r="CL2011" s="2" t="s">
        <v>88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"FES1162508359"</f>
        <v>FES1162508359</v>
      </c>
      <c r="F2012" s="3">
        <v>42664</v>
      </c>
      <c r="G2012" s="2">
        <v>201704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160</v>
      </c>
      <c r="M2012" s="2" t="s">
        <v>161</v>
      </c>
      <c r="N2012" s="2" t="s">
        <v>409</v>
      </c>
      <c r="O2012" s="2" t="s">
        <v>96</v>
      </c>
      <c r="P2012" s="2" t="str">
        <f>"2170531466                    "</f>
        <v xml:space="preserve">2170531466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13.27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5</v>
      </c>
      <c r="BJ2012" s="2">
        <v>7.7</v>
      </c>
      <c r="BK2012" s="2">
        <v>8</v>
      </c>
      <c r="BL2012" s="2">
        <v>163.03</v>
      </c>
      <c r="BM2012" s="2">
        <v>22.82</v>
      </c>
      <c r="BN2012" s="2">
        <v>185.85</v>
      </c>
      <c r="BO2012" s="2">
        <v>185.85</v>
      </c>
      <c r="BP2012" s="2"/>
      <c r="BQ2012" s="2" t="s">
        <v>410</v>
      </c>
      <c r="BR2012" s="2" t="s">
        <v>83</v>
      </c>
      <c r="BS2012" s="3">
        <v>42667</v>
      </c>
      <c r="BT2012" s="4">
        <v>0.37847222222222227</v>
      </c>
      <c r="BU2012" s="2" t="s">
        <v>2100</v>
      </c>
      <c r="BV2012" s="2" t="s">
        <v>85</v>
      </c>
      <c r="BW2012" s="2"/>
      <c r="BX2012" s="2"/>
      <c r="BY2012" s="2">
        <v>38700</v>
      </c>
      <c r="BZ2012" s="2"/>
      <c r="CA2012" s="2" t="s">
        <v>129</v>
      </c>
      <c r="CB2012" s="2"/>
      <c r="CC2012" s="2" t="s">
        <v>161</v>
      </c>
      <c r="CD2012" s="2">
        <v>7975</v>
      </c>
      <c r="CE2012" s="2" t="s">
        <v>86</v>
      </c>
      <c r="CF2012" s="5">
        <v>42668</v>
      </c>
      <c r="CG2012" s="2"/>
      <c r="CH2012" s="2"/>
      <c r="CI2012" s="2">
        <v>1</v>
      </c>
      <c r="CJ2012" s="2">
        <v>1</v>
      </c>
      <c r="CK2012" s="2">
        <v>21</v>
      </c>
      <c r="CL2012" s="2" t="s">
        <v>88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"FES1162508363"</f>
        <v>FES1162508363</v>
      </c>
      <c r="F2013" s="3">
        <v>42664</v>
      </c>
      <c r="G2013" s="2">
        <v>201704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260</v>
      </c>
      <c r="M2013" s="2" t="s">
        <v>261</v>
      </c>
      <c r="N2013" s="2" t="s">
        <v>282</v>
      </c>
      <c r="O2013" s="2" t="s">
        <v>96</v>
      </c>
      <c r="P2013" s="2" t="str">
        <f>"2170531536                    "</f>
        <v xml:space="preserve">2170531536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3.32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1.4</v>
      </c>
      <c r="BJ2013" s="2">
        <v>0.9</v>
      </c>
      <c r="BK2013" s="2">
        <v>1.5</v>
      </c>
      <c r="BL2013" s="2">
        <v>40.76</v>
      </c>
      <c r="BM2013" s="2">
        <v>5.71</v>
      </c>
      <c r="BN2013" s="2">
        <v>46.47</v>
      </c>
      <c r="BO2013" s="2">
        <v>46.47</v>
      </c>
      <c r="BP2013" s="2"/>
      <c r="BQ2013" s="2" t="s">
        <v>91</v>
      </c>
      <c r="BR2013" s="2" t="s">
        <v>83</v>
      </c>
      <c r="BS2013" s="3">
        <v>42667</v>
      </c>
      <c r="BT2013" s="4">
        <v>0.4465277777777778</v>
      </c>
      <c r="BU2013" s="2" t="s">
        <v>1563</v>
      </c>
      <c r="BV2013" s="2" t="s">
        <v>85</v>
      </c>
      <c r="BW2013" s="2"/>
      <c r="BX2013" s="2"/>
      <c r="BY2013" s="2">
        <v>4703.18</v>
      </c>
      <c r="BZ2013" s="2"/>
      <c r="CA2013" s="2"/>
      <c r="CB2013" s="2"/>
      <c r="CC2013" s="2" t="s">
        <v>261</v>
      </c>
      <c r="CD2013" s="2">
        <v>6850</v>
      </c>
      <c r="CE2013" s="2" t="s">
        <v>86</v>
      </c>
      <c r="CF2013" s="5">
        <v>42668</v>
      </c>
      <c r="CG2013" s="2"/>
      <c r="CH2013" s="2"/>
      <c r="CI2013" s="2">
        <v>3</v>
      </c>
      <c r="CJ2013" s="2">
        <v>1</v>
      </c>
      <c r="CK2013" s="2">
        <v>21</v>
      </c>
      <c r="CL2013" s="2" t="s">
        <v>88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"FES1162508429"</f>
        <v>FES1162508429</v>
      </c>
      <c r="F2014" s="3">
        <v>42664</v>
      </c>
      <c r="G2014" s="2">
        <v>201704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114</v>
      </c>
      <c r="M2014" s="2" t="s">
        <v>115</v>
      </c>
      <c r="N2014" s="2" t="s">
        <v>116</v>
      </c>
      <c r="O2014" s="2" t="s">
        <v>96</v>
      </c>
      <c r="P2014" s="2" t="str">
        <f>"2170529610                    "</f>
        <v xml:space="preserve">2170529610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6.43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1.5</v>
      </c>
      <c r="BJ2014" s="2">
        <v>0.2</v>
      </c>
      <c r="BK2014" s="2">
        <v>1.5</v>
      </c>
      <c r="BL2014" s="2">
        <v>78.97</v>
      </c>
      <c r="BM2014" s="2">
        <v>11.06</v>
      </c>
      <c r="BN2014" s="2">
        <v>90.03</v>
      </c>
      <c r="BO2014" s="2">
        <v>90.03</v>
      </c>
      <c r="BP2014" s="2"/>
      <c r="BQ2014" s="2" t="s">
        <v>117</v>
      </c>
      <c r="BR2014" s="2" t="s">
        <v>83</v>
      </c>
      <c r="BS2014" s="3">
        <v>42667</v>
      </c>
      <c r="BT2014" s="4">
        <v>0.59027777777777779</v>
      </c>
      <c r="BU2014" s="2" t="s">
        <v>1047</v>
      </c>
      <c r="BV2014" s="2" t="s">
        <v>85</v>
      </c>
      <c r="BW2014" s="2"/>
      <c r="BX2014" s="2"/>
      <c r="BY2014" s="2">
        <v>1200</v>
      </c>
      <c r="BZ2014" s="2"/>
      <c r="CA2014" s="2"/>
      <c r="CB2014" s="2"/>
      <c r="CC2014" s="2" t="s">
        <v>115</v>
      </c>
      <c r="CD2014" s="2">
        <v>5850</v>
      </c>
      <c r="CE2014" s="2" t="s">
        <v>108</v>
      </c>
      <c r="CF2014" s="5">
        <v>42670</v>
      </c>
      <c r="CG2014" s="2"/>
      <c r="CH2014" s="2"/>
      <c r="CI2014" s="2">
        <v>3</v>
      </c>
      <c r="CJ2014" s="2">
        <v>1</v>
      </c>
      <c r="CK2014" s="2">
        <v>23</v>
      </c>
      <c r="CL2014" s="2" t="s">
        <v>88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"FES1162508458"</f>
        <v>FES1162508458</v>
      </c>
      <c r="F2015" s="3">
        <v>42664</v>
      </c>
      <c r="G2015" s="2">
        <v>201704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119</v>
      </c>
      <c r="M2015" s="2" t="s">
        <v>120</v>
      </c>
      <c r="N2015" s="2" t="s">
        <v>186</v>
      </c>
      <c r="O2015" s="2" t="s">
        <v>96</v>
      </c>
      <c r="P2015" s="2" t="str">
        <f>"2170531734                    "</f>
        <v xml:space="preserve">2170531734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3.32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1.6</v>
      </c>
      <c r="BJ2015" s="2">
        <v>0.2</v>
      </c>
      <c r="BK2015" s="2">
        <v>2</v>
      </c>
      <c r="BL2015" s="2">
        <v>40.76</v>
      </c>
      <c r="BM2015" s="2">
        <v>5.71</v>
      </c>
      <c r="BN2015" s="2">
        <v>46.47</v>
      </c>
      <c r="BO2015" s="2">
        <v>46.47</v>
      </c>
      <c r="BP2015" s="2"/>
      <c r="BQ2015" s="2" t="s">
        <v>187</v>
      </c>
      <c r="BR2015" s="2" t="s">
        <v>83</v>
      </c>
      <c r="BS2015" s="3">
        <v>42667</v>
      </c>
      <c r="BT2015" s="4">
        <v>0.32361111111111113</v>
      </c>
      <c r="BU2015" s="2" t="s">
        <v>388</v>
      </c>
      <c r="BV2015" s="2" t="s">
        <v>85</v>
      </c>
      <c r="BW2015" s="2"/>
      <c r="BX2015" s="2"/>
      <c r="BY2015" s="2">
        <v>1200</v>
      </c>
      <c r="BZ2015" s="2"/>
      <c r="CA2015" s="2"/>
      <c r="CB2015" s="2"/>
      <c r="CC2015" s="2" t="s">
        <v>120</v>
      </c>
      <c r="CD2015" s="2">
        <v>6229</v>
      </c>
      <c r="CE2015" s="2" t="s">
        <v>108</v>
      </c>
      <c r="CF2015" s="5">
        <v>42668</v>
      </c>
      <c r="CG2015" s="2"/>
      <c r="CH2015" s="2"/>
      <c r="CI2015" s="2">
        <v>1</v>
      </c>
      <c r="CJ2015" s="2">
        <v>1</v>
      </c>
      <c r="CK2015" s="2">
        <v>21</v>
      </c>
      <c r="CL2015" s="2" t="s">
        <v>88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"FES1162508422"</f>
        <v>FES1162508422</v>
      </c>
      <c r="F2016" s="3">
        <v>42664</v>
      </c>
      <c r="G2016" s="2">
        <v>201704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269</v>
      </c>
      <c r="M2016" s="2" t="s">
        <v>270</v>
      </c>
      <c r="N2016" s="2" t="s">
        <v>299</v>
      </c>
      <c r="O2016" s="2" t="s">
        <v>96</v>
      </c>
      <c r="P2016" s="2" t="str">
        <f>"2170529537                    "</f>
        <v xml:space="preserve">2170529537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3.32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1</v>
      </c>
      <c r="BJ2016" s="2">
        <v>0.2</v>
      </c>
      <c r="BK2016" s="2">
        <v>1</v>
      </c>
      <c r="BL2016" s="2">
        <v>40.76</v>
      </c>
      <c r="BM2016" s="2">
        <v>5.71</v>
      </c>
      <c r="BN2016" s="2">
        <v>46.47</v>
      </c>
      <c r="BO2016" s="2">
        <v>46.47</v>
      </c>
      <c r="BP2016" s="2"/>
      <c r="BQ2016" s="2" t="s">
        <v>300</v>
      </c>
      <c r="BR2016" s="2" t="s">
        <v>83</v>
      </c>
      <c r="BS2016" s="3">
        <v>42667</v>
      </c>
      <c r="BT2016" s="4">
        <v>0.4375</v>
      </c>
      <c r="BU2016" s="2" t="s">
        <v>1325</v>
      </c>
      <c r="BV2016" s="2" t="s">
        <v>85</v>
      </c>
      <c r="BW2016" s="2"/>
      <c r="BX2016" s="2"/>
      <c r="BY2016" s="2">
        <v>1200</v>
      </c>
      <c r="BZ2016" s="2"/>
      <c r="CA2016" s="2" t="s">
        <v>129</v>
      </c>
      <c r="CB2016" s="2"/>
      <c r="CC2016" s="2" t="s">
        <v>270</v>
      </c>
      <c r="CD2016" s="2">
        <v>3610</v>
      </c>
      <c r="CE2016" s="2" t="s">
        <v>108</v>
      </c>
      <c r="CF2016" s="5">
        <v>42668</v>
      </c>
      <c r="CG2016" s="2"/>
      <c r="CH2016" s="2"/>
      <c r="CI2016" s="2">
        <v>1</v>
      </c>
      <c r="CJ2016" s="2">
        <v>1</v>
      </c>
      <c r="CK2016" s="2">
        <v>21</v>
      </c>
      <c r="CL2016" s="2" t="s">
        <v>88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"FES1162508408"</f>
        <v>FES1162508408</v>
      </c>
      <c r="F2017" s="3">
        <v>42664</v>
      </c>
      <c r="G2017" s="2">
        <v>201704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98</v>
      </c>
      <c r="M2017" s="2" t="s">
        <v>99</v>
      </c>
      <c r="N2017" s="2" t="s">
        <v>104</v>
      </c>
      <c r="O2017" s="2" t="s">
        <v>96</v>
      </c>
      <c r="P2017" s="2" t="str">
        <f>"2170529438                    "</f>
        <v xml:space="preserve">2170529438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3.32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1</v>
      </c>
      <c r="BJ2017" s="2">
        <v>0.2</v>
      </c>
      <c r="BK2017" s="2">
        <v>1</v>
      </c>
      <c r="BL2017" s="2">
        <v>40.76</v>
      </c>
      <c r="BM2017" s="2">
        <v>5.71</v>
      </c>
      <c r="BN2017" s="2">
        <v>46.47</v>
      </c>
      <c r="BO2017" s="2">
        <v>46.47</v>
      </c>
      <c r="BP2017" s="2"/>
      <c r="BQ2017" s="2" t="s">
        <v>105</v>
      </c>
      <c r="BR2017" s="2" t="s">
        <v>83</v>
      </c>
      <c r="BS2017" s="3">
        <v>42667</v>
      </c>
      <c r="BT2017" s="4">
        <v>0.42152777777777778</v>
      </c>
      <c r="BU2017" s="2" t="s">
        <v>105</v>
      </c>
      <c r="BV2017" s="2" t="s">
        <v>85</v>
      </c>
      <c r="BW2017" s="2"/>
      <c r="BX2017" s="2"/>
      <c r="BY2017" s="2">
        <v>1200</v>
      </c>
      <c r="BZ2017" s="2"/>
      <c r="CA2017" s="2"/>
      <c r="CB2017" s="2"/>
      <c r="CC2017" s="2" t="s">
        <v>99</v>
      </c>
      <c r="CD2017" s="2">
        <v>6001</v>
      </c>
      <c r="CE2017" s="2" t="s">
        <v>108</v>
      </c>
      <c r="CF2017" s="5">
        <v>42668</v>
      </c>
      <c r="CG2017" s="2"/>
      <c r="CH2017" s="2"/>
      <c r="CI2017" s="2">
        <v>1</v>
      </c>
      <c r="CJ2017" s="2">
        <v>1</v>
      </c>
      <c r="CK2017" s="2">
        <v>21</v>
      </c>
      <c r="CL2017" s="2" t="s">
        <v>88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"FES1162508415"</f>
        <v>FES1162508415</v>
      </c>
      <c r="F2018" s="3">
        <v>42664</v>
      </c>
      <c r="G2018" s="2">
        <v>201704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98</v>
      </c>
      <c r="M2018" s="2" t="s">
        <v>99</v>
      </c>
      <c r="N2018" s="2" t="s">
        <v>1687</v>
      </c>
      <c r="O2018" s="2" t="s">
        <v>96</v>
      </c>
      <c r="P2018" s="2" t="str">
        <f>"2170529484                    "</f>
        <v xml:space="preserve">2170529484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3.32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1</v>
      </c>
      <c r="BJ2018" s="2">
        <v>0.2</v>
      </c>
      <c r="BK2018" s="2">
        <v>1</v>
      </c>
      <c r="BL2018" s="2">
        <v>40.76</v>
      </c>
      <c r="BM2018" s="2">
        <v>5.71</v>
      </c>
      <c r="BN2018" s="2">
        <v>46.47</v>
      </c>
      <c r="BO2018" s="2">
        <v>46.47</v>
      </c>
      <c r="BP2018" s="2"/>
      <c r="BQ2018" s="2" t="s">
        <v>1688</v>
      </c>
      <c r="BR2018" s="2" t="s">
        <v>83</v>
      </c>
      <c r="BS2018" s="3">
        <v>42667</v>
      </c>
      <c r="BT2018" s="4">
        <v>0.375</v>
      </c>
      <c r="BU2018" s="2" t="s">
        <v>2101</v>
      </c>
      <c r="BV2018" s="2" t="s">
        <v>85</v>
      </c>
      <c r="BW2018" s="2"/>
      <c r="BX2018" s="2"/>
      <c r="BY2018" s="2">
        <v>1200</v>
      </c>
      <c r="BZ2018" s="2"/>
      <c r="CA2018" s="2" t="s">
        <v>437</v>
      </c>
      <c r="CB2018" s="2"/>
      <c r="CC2018" s="2" t="s">
        <v>99</v>
      </c>
      <c r="CD2018" s="2">
        <v>6001</v>
      </c>
      <c r="CE2018" s="2" t="s">
        <v>108</v>
      </c>
      <c r="CF2018" s="5">
        <v>42667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88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"FES1162508461"</f>
        <v>FES1162508461</v>
      </c>
      <c r="F2019" s="3">
        <v>42664</v>
      </c>
      <c r="G2019" s="2">
        <v>201704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98</v>
      </c>
      <c r="M2019" s="2" t="s">
        <v>99</v>
      </c>
      <c r="N2019" s="2" t="s">
        <v>2102</v>
      </c>
      <c r="O2019" s="2" t="s">
        <v>96</v>
      </c>
      <c r="P2019" s="2" t="str">
        <f>"2170531736                    "</f>
        <v xml:space="preserve">2170531736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3.32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1</v>
      </c>
      <c r="BJ2019" s="2">
        <v>0.2</v>
      </c>
      <c r="BK2019" s="2">
        <v>1</v>
      </c>
      <c r="BL2019" s="2">
        <v>40.76</v>
      </c>
      <c r="BM2019" s="2">
        <v>5.71</v>
      </c>
      <c r="BN2019" s="2">
        <v>46.47</v>
      </c>
      <c r="BO2019" s="2">
        <v>46.47</v>
      </c>
      <c r="BP2019" s="2"/>
      <c r="BQ2019" s="2" t="s">
        <v>1032</v>
      </c>
      <c r="BR2019" s="2" t="s">
        <v>83</v>
      </c>
      <c r="BS2019" s="3">
        <v>42667</v>
      </c>
      <c r="BT2019" s="4">
        <v>0.37847222222222227</v>
      </c>
      <c r="BU2019" s="2" t="s">
        <v>431</v>
      </c>
      <c r="BV2019" s="2" t="s">
        <v>85</v>
      </c>
      <c r="BW2019" s="2"/>
      <c r="BX2019" s="2"/>
      <c r="BY2019" s="2">
        <v>1200</v>
      </c>
      <c r="BZ2019" s="2"/>
      <c r="CA2019" s="2"/>
      <c r="CB2019" s="2"/>
      <c r="CC2019" s="2" t="s">
        <v>99</v>
      </c>
      <c r="CD2019" s="2">
        <v>6001</v>
      </c>
      <c r="CE2019" s="2" t="s">
        <v>108</v>
      </c>
      <c r="CF2019" s="5">
        <v>42668</v>
      </c>
      <c r="CG2019" s="2"/>
      <c r="CH2019" s="2"/>
      <c r="CI2019" s="2">
        <v>1</v>
      </c>
      <c r="CJ2019" s="2">
        <v>1</v>
      </c>
      <c r="CK2019" s="2">
        <v>21</v>
      </c>
      <c r="CL2019" s="2" t="s">
        <v>88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"FES1162508407"</f>
        <v>FES1162508407</v>
      </c>
      <c r="F2020" s="3">
        <v>42664</v>
      </c>
      <c r="G2020" s="2">
        <v>201704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98</v>
      </c>
      <c r="M2020" s="2" t="s">
        <v>99</v>
      </c>
      <c r="N2020" s="2" t="s">
        <v>133</v>
      </c>
      <c r="O2020" s="2" t="s">
        <v>96</v>
      </c>
      <c r="P2020" s="2" t="str">
        <f>"2170529436                    "</f>
        <v xml:space="preserve">2170529436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3.32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1</v>
      </c>
      <c r="BJ2020" s="2">
        <v>0.2</v>
      </c>
      <c r="BK2020" s="2">
        <v>1</v>
      </c>
      <c r="BL2020" s="2">
        <v>40.76</v>
      </c>
      <c r="BM2020" s="2">
        <v>5.71</v>
      </c>
      <c r="BN2020" s="2">
        <v>46.47</v>
      </c>
      <c r="BO2020" s="2">
        <v>46.47</v>
      </c>
      <c r="BP2020" s="2"/>
      <c r="BQ2020" s="2" t="s">
        <v>134</v>
      </c>
      <c r="BR2020" s="2" t="s">
        <v>83</v>
      </c>
      <c r="BS2020" s="3">
        <v>42667</v>
      </c>
      <c r="BT2020" s="4">
        <v>0.34375</v>
      </c>
      <c r="BU2020" s="2" t="s">
        <v>2103</v>
      </c>
      <c r="BV2020" s="2" t="s">
        <v>85</v>
      </c>
      <c r="BW2020" s="2"/>
      <c r="BX2020" s="2"/>
      <c r="BY2020" s="2">
        <v>1200</v>
      </c>
      <c r="BZ2020" s="2"/>
      <c r="CA2020" s="2"/>
      <c r="CB2020" s="2"/>
      <c r="CC2020" s="2" t="s">
        <v>99</v>
      </c>
      <c r="CD2020" s="2">
        <v>6001</v>
      </c>
      <c r="CE2020" s="2" t="s">
        <v>108</v>
      </c>
      <c r="CF2020" s="5">
        <v>42668</v>
      </c>
      <c r="CG2020" s="2"/>
      <c r="CH2020" s="2"/>
      <c r="CI2020" s="2">
        <v>1</v>
      </c>
      <c r="CJ2020" s="2">
        <v>1</v>
      </c>
      <c r="CK2020" s="2">
        <v>21</v>
      </c>
      <c r="CL2020" s="2" t="s">
        <v>88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"FES1162508386"</f>
        <v>FES1162508386</v>
      </c>
      <c r="F2021" s="3">
        <v>42664</v>
      </c>
      <c r="G2021" s="2">
        <v>201704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98</v>
      </c>
      <c r="M2021" s="2" t="s">
        <v>99</v>
      </c>
      <c r="N2021" s="2" t="s">
        <v>224</v>
      </c>
      <c r="O2021" s="2" t="s">
        <v>96</v>
      </c>
      <c r="P2021" s="2" t="str">
        <f>"2170531700                    "</f>
        <v xml:space="preserve">2170531700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3.32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1.4</v>
      </c>
      <c r="BJ2021" s="2">
        <v>0.2</v>
      </c>
      <c r="BK2021" s="2">
        <v>1.5</v>
      </c>
      <c r="BL2021" s="2">
        <v>40.76</v>
      </c>
      <c r="BM2021" s="2">
        <v>5.71</v>
      </c>
      <c r="BN2021" s="2">
        <v>46.47</v>
      </c>
      <c r="BO2021" s="2">
        <v>46.47</v>
      </c>
      <c r="BP2021" s="2"/>
      <c r="BQ2021" s="2" t="s">
        <v>1403</v>
      </c>
      <c r="BR2021" s="2" t="s">
        <v>83</v>
      </c>
      <c r="BS2021" s="3">
        <v>42667</v>
      </c>
      <c r="BT2021" s="4">
        <v>0.3263888888888889</v>
      </c>
      <c r="BU2021" s="2" t="s">
        <v>2104</v>
      </c>
      <c r="BV2021" s="2" t="s">
        <v>85</v>
      </c>
      <c r="BW2021" s="2"/>
      <c r="BX2021" s="2"/>
      <c r="BY2021" s="2">
        <v>1200</v>
      </c>
      <c r="BZ2021" s="2"/>
      <c r="CA2021" s="2"/>
      <c r="CB2021" s="2"/>
      <c r="CC2021" s="2" t="s">
        <v>99</v>
      </c>
      <c r="CD2021" s="2">
        <v>6001</v>
      </c>
      <c r="CE2021" s="2" t="s">
        <v>108</v>
      </c>
      <c r="CF2021" s="5">
        <v>42668</v>
      </c>
      <c r="CG2021" s="2"/>
      <c r="CH2021" s="2"/>
      <c r="CI2021" s="2">
        <v>1</v>
      </c>
      <c r="CJ2021" s="2">
        <v>1</v>
      </c>
      <c r="CK2021" s="2">
        <v>21</v>
      </c>
      <c r="CL2021" s="2" t="s">
        <v>88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"FES1162508421"</f>
        <v>FES1162508421</v>
      </c>
      <c r="F2022" s="3">
        <v>42664</v>
      </c>
      <c r="G2022" s="2">
        <v>201704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143</v>
      </c>
      <c r="M2022" s="2" t="s">
        <v>144</v>
      </c>
      <c r="N2022" s="2" t="s">
        <v>1081</v>
      </c>
      <c r="O2022" s="2" t="s">
        <v>96</v>
      </c>
      <c r="P2022" s="2" t="str">
        <f>"2170529531                    "</f>
        <v xml:space="preserve">2170529531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3.32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1</v>
      </c>
      <c r="BJ2022" s="2">
        <v>0.2</v>
      </c>
      <c r="BK2022" s="2">
        <v>1</v>
      </c>
      <c r="BL2022" s="2">
        <v>40.76</v>
      </c>
      <c r="BM2022" s="2">
        <v>5.71</v>
      </c>
      <c r="BN2022" s="2">
        <v>46.47</v>
      </c>
      <c r="BO2022" s="2">
        <v>46.47</v>
      </c>
      <c r="BP2022" s="2"/>
      <c r="BQ2022" s="2" t="s">
        <v>168</v>
      </c>
      <c r="BR2022" s="2" t="s">
        <v>83</v>
      </c>
      <c r="BS2022" s="3">
        <v>42667</v>
      </c>
      <c r="BT2022" s="4">
        <v>0.43402777777777773</v>
      </c>
      <c r="BU2022" s="2" t="s">
        <v>469</v>
      </c>
      <c r="BV2022" s="2"/>
      <c r="BW2022" s="2"/>
      <c r="BX2022" s="2"/>
      <c r="BY2022" s="2">
        <v>1200</v>
      </c>
      <c r="BZ2022" s="2"/>
      <c r="CA2022" s="2" t="s">
        <v>129</v>
      </c>
      <c r="CB2022" s="2"/>
      <c r="CC2022" s="2" t="s">
        <v>144</v>
      </c>
      <c r="CD2022" s="2">
        <v>5201</v>
      </c>
      <c r="CE2022" s="2" t="s">
        <v>108</v>
      </c>
      <c r="CF2022" s="5">
        <v>42669</v>
      </c>
      <c r="CG2022" s="2"/>
      <c r="CH2022" s="2"/>
      <c r="CI2022" s="2">
        <v>0</v>
      </c>
      <c r="CJ2022" s="2">
        <v>0</v>
      </c>
      <c r="CK2022" s="2">
        <v>21</v>
      </c>
      <c r="CL2022" s="2" t="s">
        <v>88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"FES1162508405"</f>
        <v>FES1162508405</v>
      </c>
      <c r="F2023" s="3">
        <v>42664</v>
      </c>
      <c r="G2023" s="2">
        <v>201704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98</v>
      </c>
      <c r="M2023" s="2" t="s">
        <v>99</v>
      </c>
      <c r="N2023" s="2" t="s">
        <v>2105</v>
      </c>
      <c r="O2023" s="2" t="s">
        <v>96</v>
      </c>
      <c r="P2023" s="2" t="str">
        <f>"2170529417                    "</f>
        <v xml:space="preserve">2170529417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3.32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40.76</v>
      </c>
      <c r="BM2023" s="2">
        <v>5.71</v>
      </c>
      <c r="BN2023" s="2">
        <v>46.47</v>
      </c>
      <c r="BO2023" s="2">
        <v>46.47</v>
      </c>
      <c r="BP2023" s="2"/>
      <c r="BQ2023" s="2" t="s">
        <v>117</v>
      </c>
      <c r="BR2023" s="2" t="s">
        <v>83</v>
      </c>
      <c r="BS2023" s="3">
        <v>42667</v>
      </c>
      <c r="BT2023" s="4">
        <v>0.40208333333333335</v>
      </c>
      <c r="BU2023" s="2" t="s">
        <v>2106</v>
      </c>
      <c r="BV2023" s="2" t="s">
        <v>85</v>
      </c>
      <c r="BW2023" s="2"/>
      <c r="BX2023" s="2"/>
      <c r="BY2023" s="2">
        <v>1200</v>
      </c>
      <c r="BZ2023" s="2"/>
      <c r="CA2023" s="2" t="s">
        <v>107</v>
      </c>
      <c r="CB2023" s="2"/>
      <c r="CC2023" s="2" t="s">
        <v>99</v>
      </c>
      <c r="CD2023" s="2">
        <v>6014</v>
      </c>
      <c r="CE2023" s="2" t="s">
        <v>108</v>
      </c>
      <c r="CF2023" s="5">
        <v>42668</v>
      </c>
      <c r="CG2023" s="2"/>
      <c r="CH2023" s="2"/>
      <c r="CI2023" s="2">
        <v>1</v>
      </c>
      <c r="CJ2023" s="2">
        <v>1</v>
      </c>
      <c r="CK2023" s="2">
        <v>21</v>
      </c>
      <c r="CL2023" s="2" t="s">
        <v>88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"FES1162508452"</f>
        <v>FES1162508452</v>
      </c>
      <c r="F2024" s="3">
        <v>42664</v>
      </c>
      <c r="G2024" s="2">
        <v>201704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98</v>
      </c>
      <c r="M2024" s="2" t="s">
        <v>99</v>
      </c>
      <c r="N2024" s="2" t="s">
        <v>894</v>
      </c>
      <c r="O2024" s="2" t="s">
        <v>96</v>
      </c>
      <c r="P2024" s="2" t="str">
        <f>"2170531696                    "</f>
        <v xml:space="preserve">2170531696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3.32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1</v>
      </c>
      <c r="BJ2024" s="2">
        <v>0.2</v>
      </c>
      <c r="BK2024" s="2">
        <v>1</v>
      </c>
      <c r="BL2024" s="2">
        <v>40.76</v>
      </c>
      <c r="BM2024" s="2">
        <v>5.71</v>
      </c>
      <c r="BN2024" s="2">
        <v>46.47</v>
      </c>
      <c r="BO2024" s="2">
        <v>46.47</v>
      </c>
      <c r="BP2024" s="2"/>
      <c r="BQ2024" s="2" t="s">
        <v>895</v>
      </c>
      <c r="BR2024" s="2" t="s">
        <v>83</v>
      </c>
      <c r="BS2024" s="3">
        <v>42667</v>
      </c>
      <c r="BT2024" s="4">
        <v>0.30555555555555552</v>
      </c>
      <c r="BU2024" s="2" t="s">
        <v>2045</v>
      </c>
      <c r="BV2024" s="2" t="s">
        <v>85</v>
      </c>
      <c r="BW2024" s="2"/>
      <c r="BX2024" s="2"/>
      <c r="BY2024" s="2">
        <v>1200</v>
      </c>
      <c r="BZ2024" s="2"/>
      <c r="CA2024" s="2"/>
      <c r="CB2024" s="2"/>
      <c r="CC2024" s="2" t="s">
        <v>99</v>
      </c>
      <c r="CD2024" s="2">
        <v>6012</v>
      </c>
      <c r="CE2024" s="2" t="s">
        <v>108</v>
      </c>
      <c r="CF2024" s="5">
        <v>42667</v>
      </c>
      <c r="CG2024" s="2"/>
      <c r="CH2024" s="2"/>
      <c r="CI2024" s="2">
        <v>1</v>
      </c>
      <c r="CJ2024" s="2">
        <v>1</v>
      </c>
      <c r="CK2024" s="2">
        <v>21</v>
      </c>
      <c r="CL2024" s="2" t="s">
        <v>88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"FES1162508456"</f>
        <v>FES1162508456</v>
      </c>
      <c r="F2025" s="3">
        <v>42664</v>
      </c>
      <c r="G2025" s="2">
        <v>201704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143</v>
      </c>
      <c r="M2025" s="2" t="s">
        <v>144</v>
      </c>
      <c r="N2025" s="2" t="s">
        <v>667</v>
      </c>
      <c r="O2025" s="2" t="s">
        <v>96</v>
      </c>
      <c r="P2025" s="2" t="str">
        <f>"2170531721                    "</f>
        <v xml:space="preserve">2170531721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3.32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1</v>
      </c>
      <c r="BJ2025" s="2">
        <v>0.2</v>
      </c>
      <c r="BK2025" s="2">
        <v>1</v>
      </c>
      <c r="BL2025" s="2">
        <v>40.76</v>
      </c>
      <c r="BM2025" s="2">
        <v>5.71</v>
      </c>
      <c r="BN2025" s="2">
        <v>46.47</v>
      </c>
      <c r="BO2025" s="2">
        <v>46.47</v>
      </c>
      <c r="BP2025" s="2"/>
      <c r="BQ2025" s="2" t="s">
        <v>91</v>
      </c>
      <c r="BR2025" s="2" t="s">
        <v>83</v>
      </c>
      <c r="BS2025" s="3">
        <v>42667</v>
      </c>
      <c r="BT2025" s="4">
        <v>0.4375</v>
      </c>
      <c r="BU2025" s="2" t="s">
        <v>2107</v>
      </c>
      <c r="BV2025" s="2"/>
      <c r="BW2025" s="2"/>
      <c r="BX2025" s="2"/>
      <c r="BY2025" s="2">
        <v>1200</v>
      </c>
      <c r="BZ2025" s="2"/>
      <c r="CA2025" s="2" t="s">
        <v>129</v>
      </c>
      <c r="CB2025" s="2"/>
      <c r="CC2025" s="2" t="s">
        <v>144</v>
      </c>
      <c r="CD2025" s="2">
        <v>5201</v>
      </c>
      <c r="CE2025" s="2" t="s">
        <v>108</v>
      </c>
      <c r="CF2025" s="5">
        <v>42669</v>
      </c>
      <c r="CG2025" s="2"/>
      <c r="CH2025" s="2"/>
      <c r="CI2025" s="2">
        <v>0</v>
      </c>
      <c r="CJ2025" s="2">
        <v>0</v>
      </c>
      <c r="CK2025" s="2">
        <v>21</v>
      </c>
      <c r="CL2025" s="2" t="s">
        <v>88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"FES1162508454"</f>
        <v>FES1162508454</v>
      </c>
      <c r="F2026" s="3">
        <v>42664</v>
      </c>
      <c r="G2026" s="2">
        <v>201704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98</v>
      </c>
      <c r="M2026" s="2" t="s">
        <v>99</v>
      </c>
      <c r="N2026" s="2" t="s">
        <v>894</v>
      </c>
      <c r="O2026" s="2" t="s">
        <v>96</v>
      </c>
      <c r="P2026" s="2" t="str">
        <f>"2170531699                    "</f>
        <v xml:space="preserve">2170531699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3.32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0.2</v>
      </c>
      <c r="BK2026" s="2">
        <v>1</v>
      </c>
      <c r="BL2026" s="2">
        <v>40.76</v>
      </c>
      <c r="BM2026" s="2">
        <v>5.71</v>
      </c>
      <c r="BN2026" s="2">
        <v>46.47</v>
      </c>
      <c r="BO2026" s="2">
        <v>46.47</v>
      </c>
      <c r="BP2026" s="2"/>
      <c r="BQ2026" s="2" t="s">
        <v>895</v>
      </c>
      <c r="BR2026" s="2" t="s">
        <v>83</v>
      </c>
      <c r="BS2026" s="3">
        <v>42667</v>
      </c>
      <c r="BT2026" s="4">
        <v>0.34722222222222227</v>
      </c>
      <c r="BU2026" s="2" t="s">
        <v>2108</v>
      </c>
      <c r="BV2026" s="2" t="s">
        <v>85</v>
      </c>
      <c r="BW2026" s="2"/>
      <c r="BX2026" s="2"/>
      <c r="BY2026" s="2">
        <v>1200</v>
      </c>
      <c r="BZ2026" s="2"/>
      <c r="CA2026" s="2" t="s">
        <v>1349</v>
      </c>
      <c r="CB2026" s="2"/>
      <c r="CC2026" s="2" t="s">
        <v>99</v>
      </c>
      <c r="CD2026" s="2">
        <v>6012</v>
      </c>
      <c r="CE2026" s="2" t="s">
        <v>108</v>
      </c>
      <c r="CF2026" s="5">
        <v>42667</v>
      </c>
      <c r="CG2026" s="2"/>
      <c r="CH2026" s="2"/>
      <c r="CI2026" s="2">
        <v>1</v>
      </c>
      <c r="CJ2026" s="2">
        <v>1</v>
      </c>
      <c r="CK2026" s="2">
        <v>21</v>
      </c>
      <c r="CL2026" s="2" t="s">
        <v>88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"FES1162508453"</f>
        <v>FES1162508453</v>
      </c>
      <c r="F2027" s="3">
        <v>42664</v>
      </c>
      <c r="G2027" s="2">
        <v>201704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98</v>
      </c>
      <c r="M2027" s="2" t="s">
        <v>99</v>
      </c>
      <c r="N2027" s="2" t="s">
        <v>894</v>
      </c>
      <c r="O2027" s="2" t="s">
        <v>96</v>
      </c>
      <c r="P2027" s="2" t="str">
        <f>"2170531698                    "</f>
        <v xml:space="preserve">2170531698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10.78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6.3</v>
      </c>
      <c r="BJ2027" s="2">
        <v>1.8</v>
      </c>
      <c r="BK2027" s="2">
        <v>6.5</v>
      </c>
      <c r="BL2027" s="2">
        <v>132.46</v>
      </c>
      <c r="BM2027" s="2">
        <v>18.54</v>
      </c>
      <c r="BN2027" s="2">
        <v>151</v>
      </c>
      <c r="BO2027" s="2">
        <v>151</v>
      </c>
      <c r="BP2027" s="2"/>
      <c r="BQ2027" s="2" t="s">
        <v>895</v>
      </c>
      <c r="BR2027" s="2" t="s">
        <v>83</v>
      </c>
      <c r="BS2027" s="3">
        <v>42667</v>
      </c>
      <c r="BT2027" s="4">
        <v>0.30555555555555552</v>
      </c>
      <c r="BU2027" s="2" t="s">
        <v>1571</v>
      </c>
      <c r="BV2027" s="2" t="s">
        <v>85</v>
      </c>
      <c r="BW2027" s="2"/>
      <c r="BX2027" s="2"/>
      <c r="BY2027" s="2">
        <v>8864.64</v>
      </c>
      <c r="BZ2027" s="2"/>
      <c r="CA2027" s="2" t="s">
        <v>107</v>
      </c>
      <c r="CB2027" s="2"/>
      <c r="CC2027" s="2" t="s">
        <v>99</v>
      </c>
      <c r="CD2027" s="2">
        <v>6012</v>
      </c>
      <c r="CE2027" s="2" t="s">
        <v>86</v>
      </c>
      <c r="CF2027" s="5">
        <v>42667</v>
      </c>
      <c r="CG2027" s="2"/>
      <c r="CH2027" s="2"/>
      <c r="CI2027" s="2">
        <v>1</v>
      </c>
      <c r="CJ2027" s="2">
        <v>1</v>
      </c>
      <c r="CK2027" s="2">
        <v>21</v>
      </c>
      <c r="CL2027" s="2" t="s">
        <v>88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"FES1162508455"</f>
        <v>FES1162508455</v>
      </c>
      <c r="F2028" s="3">
        <v>42664</v>
      </c>
      <c r="G2028" s="2">
        <v>201704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98</v>
      </c>
      <c r="M2028" s="2" t="s">
        <v>99</v>
      </c>
      <c r="N2028" s="2" t="s">
        <v>894</v>
      </c>
      <c r="O2028" s="2" t="s">
        <v>96</v>
      </c>
      <c r="P2028" s="2" t="str">
        <f>"2170531701                    "</f>
        <v xml:space="preserve">2170531701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9.1199999999999992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4</v>
      </c>
      <c r="BJ2028" s="2">
        <v>5.3</v>
      </c>
      <c r="BK2028" s="2">
        <v>5.5</v>
      </c>
      <c r="BL2028" s="2">
        <v>112.08</v>
      </c>
      <c r="BM2028" s="2">
        <v>15.69</v>
      </c>
      <c r="BN2028" s="2">
        <v>127.77</v>
      </c>
      <c r="BO2028" s="2">
        <v>127.77</v>
      </c>
      <c r="BP2028" s="2"/>
      <c r="BQ2028" s="2" t="s">
        <v>895</v>
      </c>
      <c r="BR2028" s="2" t="s">
        <v>83</v>
      </c>
      <c r="BS2028" s="3">
        <v>42667</v>
      </c>
      <c r="BT2028" s="4">
        <v>0.30555555555555552</v>
      </c>
      <c r="BU2028" s="2" t="s">
        <v>1571</v>
      </c>
      <c r="BV2028" s="2" t="s">
        <v>85</v>
      </c>
      <c r="BW2028" s="2"/>
      <c r="BX2028" s="2"/>
      <c r="BY2028" s="2">
        <v>26400</v>
      </c>
      <c r="BZ2028" s="2"/>
      <c r="CA2028" s="2" t="s">
        <v>107</v>
      </c>
      <c r="CB2028" s="2"/>
      <c r="CC2028" s="2" t="s">
        <v>99</v>
      </c>
      <c r="CD2028" s="2">
        <v>6012</v>
      </c>
      <c r="CE2028" s="2" t="s">
        <v>86</v>
      </c>
      <c r="CF2028" s="5">
        <v>42667</v>
      </c>
      <c r="CG2028" s="2"/>
      <c r="CH2028" s="2"/>
      <c r="CI2028" s="2">
        <v>1</v>
      </c>
      <c r="CJ2028" s="2">
        <v>1</v>
      </c>
      <c r="CK2028" s="2">
        <v>21</v>
      </c>
      <c r="CL2028" s="2" t="s">
        <v>88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"FES1162508419"</f>
        <v>FES1162508419</v>
      </c>
      <c r="F2029" s="3">
        <v>42664</v>
      </c>
      <c r="G2029" s="2">
        <v>201704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171</v>
      </c>
      <c r="M2029" s="2" t="s">
        <v>172</v>
      </c>
      <c r="N2029" s="2" t="s">
        <v>429</v>
      </c>
      <c r="O2029" s="2" t="s">
        <v>96</v>
      </c>
      <c r="P2029" s="2" t="str">
        <f>"2170529525                    "</f>
        <v xml:space="preserve">2170529525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8.2899999999999991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3.9</v>
      </c>
      <c r="BJ2029" s="2">
        <v>4.9000000000000004</v>
      </c>
      <c r="BK2029" s="2">
        <v>5</v>
      </c>
      <c r="BL2029" s="2">
        <v>101.89</v>
      </c>
      <c r="BM2029" s="2">
        <v>14.26</v>
      </c>
      <c r="BN2029" s="2">
        <v>116.15</v>
      </c>
      <c r="BO2029" s="2">
        <v>116.15</v>
      </c>
      <c r="BP2029" s="2"/>
      <c r="BQ2029" s="2" t="s">
        <v>430</v>
      </c>
      <c r="BR2029" s="2" t="s">
        <v>83</v>
      </c>
      <c r="BS2029" s="3">
        <v>42667</v>
      </c>
      <c r="BT2029" s="4">
        <v>0.40416666666666662</v>
      </c>
      <c r="BU2029" s="2" t="s">
        <v>2109</v>
      </c>
      <c r="BV2029" s="2" t="s">
        <v>85</v>
      </c>
      <c r="BW2029" s="2"/>
      <c r="BX2029" s="2"/>
      <c r="BY2029" s="2">
        <v>24552.52</v>
      </c>
      <c r="BZ2029" s="2"/>
      <c r="CA2029" s="2"/>
      <c r="CB2029" s="2"/>
      <c r="CC2029" s="2" t="s">
        <v>172</v>
      </c>
      <c r="CD2029" s="2">
        <v>6220</v>
      </c>
      <c r="CE2029" s="2" t="s">
        <v>86</v>
      </c>
      <c r="CF2029" s="5">
        <v>42668</v>
      </c>
      <c r="CG2029" s="2"/>
      <c r="CH2029" s="2"/>
      <c r="CI2029" s="2">
        <v>1</v>
      </c>
      <c r="CJ2029" s="2">
        <v>1</v>
      </c>
      <c r="CK2029" s="2">
        <v>21</v>
      </c>
      <c r="CL2029" s="2" t="s">
        <v>88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"FES1162508428"</f>
        <v>FES1162508428</v>
      </c>
      <c r="F2030" s="3">
        <v>42664</v>
      </c>
      <c r="G2030" s="2">
        <v>201704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143</v>
      </c>
      <c r="M2030" s="2" t="s">
        <v>144</v>
      </c>
      <c r="N2030" s="2" t="s">
        <v>1081</v>
      </c>
      <c r="O2030" s="2" t="s">
        <v>96</v>
      </c>
      <c r="P2030" s="2" t="str">
        <f>"2170529606                    "</f>
        <v xml:space="preserve">2170529606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9.9499999999999993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2.6</v>
      </c>
      <c r="BJ2030" s="2">
        <v>5.7</v>
      </c>
      <c r="BK2030" s="2">
        <v>6</v>
      </c>
      <c r="BL2030" s="2">
        <v>122.27</v>
      </c>
      <c r="BM2030" s="2">
        <v>17.12</v>
      </c>
      <c r="BN2030" s="2">
        <v>139.38999999999999</v>
      </c>
      <c r="BO2030" s="2">
        <v>139.38999999999999</v>
      </c>
      <c r="BP2030" s="2"/>
      <c r="BQ2030" s="2" t="s">
        <v>168</v>
      </c>
      <c r="BR2030" s="2" t="s">
        <v>83</v>
      </c>
      <c r="BS2030" s="3">
        <v>42667</v>
      </c>
      <c r="BT2030" s="4">
        <v>0.43402777777777773</v>
      </c>
      <c r="BU2030" s="2" t="s">
        <v>469</v>
      </c>
      <c r="BV2030" s="2"/>
      <c r="BW2030" s="2"/>
      <c r="BX2030" s="2"/>
      <c r="BY2030" s="2">
        <v>28415.26</v>
      </c>
      <c r="BZ2030" s="2"/>
      <c r="CA2030" s="2" t="s">
        <v>129</v>
      </c>
      <c r="CB2030" s="2"/>
      <c r="CC2030" s="2" t="s">
        <v>144</v>
      </c>
      <c r="CD2030" s="2">
        <v>5201</v>
      </c>
      <c r="CE2030" s="2" t="s">
        <v>86</v>
      </c>
      <c r="CF2030" s="5">
        <v>42669</v>
      </c>
      <c r="CG2030" s="2"/>
      <c r="CH2030" s="2"/>
      <c r="CI2030" s="2">
        <v>0</v>
      </c>
      <c r="CJ2030" s="2">
        <v>0</v>
      </c>
      <c r="CK2030" s="2">
        <v>21</v>
      </c>
      <c r="CL2030" s="2" t="s">
        <v>88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"FES1162508523"</f>
        <v>FES1162508523</v>
      </c>
      <c r="F2031" s="3">
        <v>42664</v>
      </c>
      <c r="G2031" s="2">
        <v>201704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148</v>
      </c>
      <c r="M2031" s="2" t="s">
        <v>149</v>
      </c>
      <c r="N2031" s="2" t="s">
        <v>796</v>
      </c>
      <c r="O2031" s="2" t="s">
        <v>96</v>
      </c>
      <c r="P2031" s="2" t="str">
        <f>"2170531813                    "</f>
        <v xml:space="preserve">2170531813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3.32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1.4</v>
      </c>
      <c r="BJ2031" s="2">
        <v>0.2</v>
      </c>
      <c r="BK2031" s="2">
        <v>1.5</v>
      </c>
      <c r="BL2031" s="2">
        <v>40.76</v>
      </c>
      <c r="BM2031" s="2">
        <v>5.71</v>
      </c>
      <c r="BN2031" s="2">
        <v>46.47</v>
      </c>
      <c r="BO2031" s="2">
        <v>46.47</v>
      </c>
      <c r="BP2031" s="2"/>
      <c r="BQ2031" s="2" t="s">
        <v>168</v>
      </c>
      <c r="BR2031" s="2" t="s">
        <v>83</v>
      </c>
      <c r="BS2031" s="3">
        <v>42667</v>
      </c>
      <c r="BT2031" s="4">
        <v>0.36805555555555558</v>
      </c>
      <c r="BU2031" s="2" t="s">
        <v>797</v>
      </c>
      <c r="BV2031" s="2" t="s">
        <v>85</v>
      </c>
      <c r="BW2031" s="2"/>
      <c r="BX2031" s="2"/>
      <c r="BY2031" s="2">
        <v>1200</v>
      </c>
      <c r="BZ2031" s="2"/>
      <c r="CA2031" s="2" t="s">
        <v>129</v>
      </c>
      <c r="CB2031" s="2"/>
      <c r="CC2031" s="2" t="s">
        <v>149</v>
      </c>
      <c r="CD2031" s="2">
        <v>4052</v>
      </c>
      <c r="CE2031" s="2" t="s">
        <v>108</v>
      </c>
      <c r="CF2031" s="5">
        <v>42668</v>
      </c>
      <c r="CG2031" s="2"/>
      <c r="CH2031" s="2"/>
      <c r="CI2031" s="2">
        <v>1</v>
      </c>
      <c r="CJ2031" s="2">
        <v>1</v>
      </c>
      <c r="CK2031" s="2">
        <v>21</v>
      </c>
      <c r="CL2031" s="2" t="s">
        <v>88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"FES1162508416"</f>
        <v>FES1162508416</v>
      </c>
      <c r="F2032" s="3">
        <v>42664</v>
      </c>
      <c r="G2032" s="2">
        <v>201704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160</v>
      </c>
      <c r="M2032" s="2" t="s">
        <v>161</v>
      </c>
      <c r="N2032" s="2" t="s">
        <v>1588</v>
      </c>
      <c r="O2032" s="2" t="s">
        <v>96</v>
      </c>
      <c r="P2032" s="2" t="str">
        <f>"2170529505                    "</f>
        <v xml:space="preserve">2170529505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3.32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1.5</v>
      </c>
      <c r="BJ2032" s="2">
        <v>1</v>
      </c>
      <c r="BK2032" s="2">
        <v>1.5</v>
      </c>
      <c r="BL2032" s="2">
        <v>40.76</v>
      </c>
      <c r="BM2032" s="2">
        <v>5.71</v>
      </c>
      <c r="BN2032" s="2">
        <v>46.47</v>
      </c>
      <c r="BO2032" s="2">
        <v>46.47</v>
      </c>
      <c r="BP2032" s="2"/>
      <c r="BQ2032" s="2" t="s">
        <v>1589</v>
      </c>
      <c r="BR2032" s="2" t="s">
        <v>83</v>
      </c>
      <c r="BS2032" s="3">
        <v>42667</v>
      </c>
      <c r="BT2032" s="4">
        <v>0.39583333333333331</v>
      </c>
      <c r="BU2032" s="2" t="s">
        <v>2110</v>
      </c>
      <c r="BV2032" s="2" t="s">
        <v>85</v>
      </c>
      <c r="BW2032" s="2"/>
      <c r="BX2032" s="2"/>
      <c r="BY2032" s="2">
        <v>4979.5200000000004</v>
      </c>
      <c r="BZ2032" s="2"/>
      <c r="CA2032" s="2"/>
      <c r="CB2032" s="2"/>
      <c r="CC2032" s="2" t="s">
        <v>161</v>
      </c>
      <c r="CD2032" s="2">
        <v>7945</v>
      </c>
      <c r="CE2032" s="2" t="s">
        <v>108</v>
      </c>
      <c r="CF2032" s="5">
        <v>42668</v>
      </c>
      <c r="CG2032" s="2"/>
      <c r="CH2032" s="2"/>
      <c r="CI2032" s="2">
        <v>1</v>
      </c>
      <c r="CJ2032" s="2">
        <v>1</v>
      </c>
      <c r="CK2032" s="2">
        <v>21</v>
      </c>
      <c r="CL2032" s="2" t="s">
        <v>88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"FES1162508411"</f>
        <v>FES1162508411</v>
      </c>
      <c r="F2033" s="3">
        <v>42664</v>
      </c>
      <c r="G2033" s="2">
        <v>201704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148</v>
      </c>
      <c r="M2033" s="2" t="s">
        <v>149</v>
      </c>
      <c r="N2033" s="2" t="s">
        <v>729</v>
      </c>
      <c r="O2033" s="2" t="s">
        <v>96</v>
      </c>
      <c r="P2033" s="2" t="str">
        <f>"2170529458                    "</f>
        <v xml:space="preserve">2170529458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3.32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1</v>
      </c>
      <c r="BJ2033" s="2">
        <v>0.2</v>
      </c>
      <c r="BK2033" s="2">
        <v>1</v>
      </c>
      <c r="BL2033" s="2">
        <v>40.76</v>
      </c>
      <c r="BM2033" s="2">
        <v>5.71</v>
      </c>
      <c r="BN2033" s="2">
        <v>46.47</v>
      </c>
      <c r="BO2033" s="2">
        <v>46.47</v>
      </c>
      <c r="BP2033" s="2"/>
      <c r="BQ2033" s="2" t="s">
        <v>117</v>
      </c>
      <c r="BR2033" s="2" t="s">
        <v>83</v>
      </c>
      <c r="BS2033" s="3">
        <v>42667</v>
      </c>
      <c r="BT2033" s="4">
        <v>0.3611111111111111</v>
      </c>
      <c r="BU2033" s="2" t="s">
        <v>730</v>
      </c>
      <c r="BV2033" s="2"/>
      <c r="BW2033" s="2"/>
      <c r="BX2033" s="2"/>
      <c r="BY2033" s="2">
        <v>1200</v>
      </c>
      <c r="BZ2033" s="2"/>
      <c r="CA2033" s="2"/>
      <c r="CB2033" s="2"/>
      <c r="CC2033" s="2" t="s">
        <v>149</v>
      </c>
      <c r="CD2033" s="2">
        <v>4001</v>
      </c>
      <c r="CE2033" s="2" t="s">
        <v>108</v>
      </c>
      <c r="CF2033" s="5">
        <v>42668</v>
      </c>
      <c r="CG2033" s="2"/>
      <c r="CH2033" s="2"/>
      <c r="CI2033" s="2">
        <v>0</v>
      </c>
      <c r="CJ2033" s="2">
        <v>0</v>
      </c>
      <c r="CK2033" s="2">
        <v>21</v>
      </c>
      <c r="CL2033" s="2" t="s">
        <v>88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"FES1162508464"</f>
        <v>FES1162508464</v>
      </c>
      <c r="F2034" s="3">
        <v>42664</v>
      </c>
      <c r="G2034" s="2">
        <v>201704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682</v>
      </c>
      <c r="M2034" s="2" t="s">
        <v>682</v>
      </c>
      <c r="N2034" s="2" t="s">
        <v>2111</v>
      </c>
      <c r="O2034" s="2" t="s">
        <v>96</v>
      </c>
      <c r="P2034" s="2" t="str">
        <f>"217053141                     "</f>
        <v xml:space="preserve">217053141 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4.1500000000000004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1.3</v>
      </c>
      <c r="BJ2034" s="2">
        <v>2.2000000000000002</v>
      </c>
      <c r="BK2034" s="2">
        <v>2.5</v>
      </c>
      <c r="BL2034" s="2">
        <v>50.95</v>
      </c>
      <c r="BM2034" s="2">
        <v>7.13</v>
      </c>
      <c r="BN2034" s="2">
        <v>58.08</v>
      </c>
      <c r="BO2034" s="2">
        <v>58.08</v>
      </c>
      <c r="BP2034" s="2"/>
      <c r="BQ2034" s="2" t="s">
        <v>2112</v>
      </c>
      <c r="BR2034" s="2" t="s">
        <v>83</v>
      </c>
      <c r="BS2034" s="3">
        <v>42668</v>
      </c>
      <c r="BT2034" s="4">
        <v>0</v>
      </c>
      <c r="BU2034" s="2" t="s">
        <v>2113</v>
      </c>
      <c r="BV2034" s="2" t="s">
        <v>85</v>
      </c>
      <c r="BW2034" s="2"/>
      <c r="BX2034" s="2"/>
      <c r="BY2034" s="2">
        <v>11029.7</v>
      </c>
      <c r="BZ2034" s="2"/>
      <c r="CA2034" s="2"/>
      <c r="CB2034" s="2"/>
      <c r="CC2034" s="2" t="s">
        <v>682</v>
      </c>
      <c r="CD2034" s="2">
        <v>6835</v>
      </c>
      <c r="CE2034" s="2" t="s">
        <v>368</v>
      </c>
      <c r="CF2034" s="5">
        <v>42671</v>
      </c>
      <c r="CG2034" s="2"/>
      <c r="CH2034" s="2"/>
      <c r="CI2034" s="2">
        <v>3</v>
      </c>
      <c r="CJ2034" s="2">
        <v>2</v>
      </c>
      <c r="CK2034" s="2">
        <v>21</v>
      </c>
      <c r="CL2034" s="2" t="s">
        <v>88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"FES1162508529"</f>
        <v>FES1162508529</v>
      </c>
      <c r="F2035" s="3">
        <v>42664</v>
      </c>
      <c r="G2035" s="2">
        <v>201704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93</v>
      </c>
      <c r="M2035" s="2" t="s">
        <v>94</v>
      </c>
      <c r="N2035" s="2" t="s">
        <v>536</v>
      </c>
      <c r="O2035" s="2" t="s">
        <v>96</v>
      </c>
      <c r="P2035" s="2" t="str">
        <f>"2170531822                    "</f>
        <v xml:space="preserve">2170531822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3.32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1</v>
      </c>
      <c r="BJ2035" s="2">
        <v>0.2</v>
      </c>
      <c r="BK2035" s="2">
        <v>1</v>
      </c>
      <c r="BL2035" s="2">
        <v>40.76</v>
      </c>
      <c r="BM2035" s="2">
        <v>5.71</v>
      </c>
      <c r="BN2035" s="2">
        <v>46.47</v>
      </c>
      <c r="BO2035" s="2">
        <v>46.47</v>
      </c>
      <c r="BP2035" s="2"/>
      <c r="BQ2035" s="2" t="s">
        <v>537</v>
      </c>
      <c r="BR2035" s="2" t="s">
        <v>83</v>
      </c>
      <c r="BS2035" s="3">
        <v>42667</v>
      </c>
      <c r="BT2035" s="4">
        <v>0.4375</v>
      </c>
      <c r="BU2035" s="2" t="s">
        <v>852</v>
      </c>
      <c r="BV2035" s="2" t="s">
        <v>85</v>
      </c>
      <c r="BW2035" s="2"/>
      <c r="BX2035" s="2"/>
      <c r="BY2035" s="2">
        <v>1200</v>
      </c>
      <c r="BZ2035" s="2"/>
      <c r="CA2035" s="2"/>
      <c r="CB2035" s="2"/>
      <c r="CC2035" s="2" t="s">
        <v>94</v>
      </c>
      <c r="CD2035" s="2">
        <v>4300</v>
      </c>
      <c r="CE2035" s="2" t="s">
        <v>108</v>
      </c>
      <c r="CF2035" s="5">
        <v>42668</v>
      </c>
      <c r="CG2035" s="2"/>
      <c r="CH2035" s="2"/>
      <c r="CI2035" s="2">
        <v>1</v>
      </c>
      <c r="CJ2035" s="2">
        <v>1</v>
      </c>
      <c r="CK2035" s="2">
        <v>21</v>
      </c>
      <c r="CL2035" s="2" t="s">
        <v>88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"FES1162508511"</f>
        <v>FES1162508511</v>
      </c>
      <c r="F2036" s="3">
        <v>42664</v>
      </c>
      <c r="G2036" s="2">
        <v>201704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148</v>
      </c>
      <c r="M2036" s="2" t="s">
        <v>149</v>
      </c>
      <c r="N2036" s="2" t="s">
        <v>473</v>
      </c>
      <c r="O2036" s="2" t="s">
        <v>96</v>
      </c>
      <c r="P2036" s="2" t="str">
        <f>"2170531797                    "</f>
        <v xml:space="preserve">2170531797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3.32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</v>
      </c>
      <c r="BJ2036" s="2">
        <v>0.2</v>
      </c>
      <c r="BK2036" s="2">
        <v>1</v>
      </c>
      <c r="BL2036" s="2">
        <v>40.76</v>
      </c>
      <c r="BM2036" s="2">
        <v>5.71</v>
      </c>
      <c r="BN2036" s="2">
        <v>46.47</v>
      </c>
      <c r="BO2036" s="2">
        <v>46.47</v>
      </c>
      <c r="BP2036" s="2"/>
      <c r="BQ2036" s="2" t="s">
        <v>117</v>
      </c>
      <c r="BR2036" s="2" t="s">
        <v>83</v>
      </c>
      <c r="BS2036" s="3">
        <v>42667</v>
      </c>
      <c r="BT2036" s="4">
        <v>0.4375</v>
      </c>
      <c r="BU2036" s="2" t="s">
        <v>2114</v>
      </c>
      <c r="BV2036" s="2" t="s">
        <v>85</v>
      </c>
      <c r="BW2036" s="2"/>
      <c r="BX2036" s="2"/>
      <c r="BY2036" s="2">
        <v>1200</v>
      </c>
      <c r="BZ2036" s="2"/>
      <c r="CA2036" s="2" t="s">
        <v>129</v>
      </c>
      <c r="CB2036" s="2"/>
      <c r="CC2036" s="2" t="s">
        <v>149</v>
      </c>
      <c r="CD2036" s="2">
        <v>4052</v>
      </c>
      <c r="CE2036" s="2" t="s">
        <v>108</v>
      </c>
      <c r="CF2036" s="5">
        <v>42668</v>
      </c>
      <c r="CG2036" s="2"/>
      <c r="CH2036" s="2"/>
      <c r="CI2036" s="2">
        <v>1</v>
      </c>
      <c r="CJ2036" s="2">
        <v>1</v>
      </c>
      <c r="CK2036" s="2">
        <v>21</v>
      </c>
      <c r="CL2036" s="2" t="s">
        <v>88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"FES1162508533"</f>
        <v>FES1162508533</v>
      </c>
      <c r="F2037" s="3">
        <v>42664</v>
      </c>
      <c r="G2037" s="2">
        <v>201704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148</v>
      </c>
      <c r="M2037" s="2" t="s">
        <v>149</v>
      </c>
      <c r="N2037" s="2" t="s">
        <v>233</v>
      </c>
      <c r="O2037" s="2" t="s">
        <v>96</v>
      </c>
      <c r="P2037" s="2" t="str">
        <f>"2170531820                    "</f>
        <v xml:space="preserve">2170531820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3.32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1</v>
      </c>
      <c r="BJ2037" s="2">
        <v>0.2</v>
      </c>
      <c r="BK2037" s="2">
        <v>1</v>
      </c>
      <c r="BL2037" s="2">
        <v>40.76</v>
      </c>
      <c r="BM2037" s="2">
        <v>5.71</v>
      </c>
      <c r="BN2037" s="2">
        <v>46.47</v>
      </c>
      <c r="BO2037" s="2">
        <v>46.47</v>
      </c>
      <c r="BP2037" s="2"/>
      <c r="BQ2037" s="2" t="s">
        <v>234</v>
      </c>
      <c r="BR2037" s="2" t="s">
        <v>83</v>
      </c>
      <c r="BS2037" s="3">
        <v>42667</v>
      </c>
      <c r="BT2037" s="4">
        <v>0.4375</v>
      </c>
      <c r="BU2037" s="2" t="s">
        <v>2099</v>
      </c>
      <c r="BV2037" s="2"/>
      <c r="BW2037" s="2"/>
      <c r="BX2037" s="2"/>
      <c r="BY2037" s="2">
        <v>1200</v>
      </c>
      <c r="BZ2037" s="2"/>
      <c r="CA2037" s="2" t="s">
        <v>129</v>
      </c>
      <c r="CB2037" s="2"/>
      <c r="CC2037" s="2" t="s">
        <v>149</v>
      </c>
      <c r="CD2037" s="2">
        <v>4001</v>
      </c>
      <c r="CE2037" s="2" t="s">
        <v>108</v>
      </c>
      <c r="CF2037" s="5">
        <v>42668</v>
      </c>
      <c r="CG2037" s="2"/>
      <c r="CH2037" s="2"/>
      <c r="CI2037" s="2">
        <v>0</v>
      </c>
      <c r="CJ2037" s="2">
        <v>0</v>
      </c>
      <c r="CK2037" s="2">
        <v>21</v>
      </c>
      <c r="CL2037" s="2" t="s">
        <v>88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"FES1162508375"</f>
        <v>FES1162508375</v>
      </c>
      <c r="F2038" s="3">
        <v>42664</v>
      </c>
      <c r="G2038" s="2">
        <v>201704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160</v>
      </c>
      <c r="M2038" s="2" t="s">
        <v>161</v>
      </c>
      <c r="N2038" s="2" t="s">
        <v>179</v>
      </c>
      <c r="O2038" s="2" t="s">
        <v>96</v>
      </c>
      <c r="P2038" s="2" t="str">
        <f>"2170531683                    "</f>
        <v xml:space="preserve">2170531683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3.32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1</v>
      </c>
      <c r="BJ2038" s="2">
        <v>0.2</v>
      </c>
      <c r="BK2038" s="2">
        <v>1</v>
      </c>
      <c r="BL2038" s="2">
        <v>40.76</v>
      </c>
      <c r="BM2038" s="2">
        <v>5.71</v>
      </c>
      <c r="BN2038" s="2">
        <v>46.47</v>
      </c>
      <c r="BO2038" s="2">
        <v>46.47</v>
      </c>
      <c r="BP2038" s="2"/>
      <c r="BQ2038" s="2" t="s">
        <v>180</v>
      </c>
      <c r="BR2038" s="2" t="s">
        <v>83</v>
      </c>
      <c r="BS2038" s="3">
        <v>42667</v>
      </c>
      <c r="BT2038" s="4">
        <v>0.41666666666666669</v>
      </c>
      <c r="BU2038" s="2" t="s">
        <v>1172</v>
      </c>
      <c r="BV2038" s="2" t="s">
        <v>85</v>
      </c>
      <c r="BW2038" s="2"/>
      <c r="BX2038" s="2"/>
      <c r="BY2038" s="2">
        <v>1200</v>
      </c>
      <c r="BZ2038" s="2"/>
      <c r="CA2038" s="2" t="s">
        <v>129</v>
      </c>
      <c r="CB2038" s="2"/>
      <c r="CC2038" s="2" t="s">
        <v>161</v>
      </c>
      <c r="CD2038" s="2">
        <v>7405</v>
      </c>
      <c r="CE2038" s="2" t="s">
        <v>108</v>
      </c>
      <c r="CF2038" s="5">
        <v>42668</v>
      </c>
      <c r="CG2038" s="2"/>
      <c r="CH2038" s="2"/>
      <c r="CI2038" s="2">
        <v>1</v>
      </c>
      <c r="CJ2038" s="2">
        <v>1</v>
      </c>
      <c r="CK2038" s="2">
        <v>21</v>
      </c>
      <c r="CL2038" s="2" t="s">
        <v>88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"FES1162508462"</f>
        <v>FES1162508462</v>
      </c>
      <c r="F2039" s="3">
        <v>42664</v>
      </c>
      <c r="G2039" s="2">
        <v>201704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160</v>
      </c>
      <c r="M2039" s="2" t="s">
        <v>161</v>
      </c>
      <c r="N2039" s="2" t="s">
        <v>179</v>
      </c>
      <c r="O2039" s="2" t="s">
        <v>96</v>
      </c>
      <c r="P2039" s="2" t="str">
        <f>"2170531740                    "</f>
        <v xml:space="preserve">2170531740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3.32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1</v>
      </c>
      <c r="BJ2039" s="2">
        <v>0.2</v>
      </c>
      <c r="BK2039" s="2">
        <v>1</v>
      </c>
      <c r="BL2039" s="2">
        <v>40.76</v>
      </c>
      <c r="BM2039" s="2">
        <v>5.71</v>
      </c>
      <c r="BN2039" s="2">
        <v>46.47</v>
      </c>
      <c r="BO2039" s="2">
        <v>46.47</v>
      </c>
      <c r="BP2039" s="2"/>
      <c r="BQ2039" s="2" t="s">
        <v>180</v>
      </c>
      <c r="BR2039" s="2" t="s">
        <v>83</v>
      </c>
      <c r="BS2039" s="3">
        <v>42667</v>
      </c>
      <c r="BT2039" s="4">
        <v>0.41666666666666669</v>
      </c>
      <c r="BU2039" s="2" t="s">
        <v>1172</v>
      </c>
      <c r="BV2039" s="2" t="s">
        <v>85</v>
      </c>
      <c r="BW2039" s="2"/>
      <c r="BX2039" s="2"/>
      <c r="BY2039" s="2">
        <v>1200</v>
      </c>
      <c r="BZ2039" s="2"/>
      <c r="CA2039" s="2" t="s">
        <v>129</v>
      </c>
      <c r="CB2039" s="2"/>
      <c r="CC2039" s="2" t="s">
        <v>161</v>
      </c>
      <c r="CD2039" s="2">
        <v>7405</v>
      </c>
      <c r="CE2039" s="2" t="s">
        <v>108</v>
      </c>
      <c r="CF2039" s="5">
        <v>42668</v>
      </c>
      <c r="CG2039" s="2"/>
      <c r="CH2039" s="2"/>
      <c r="CI2039" s="2">
        <v>1</v>
      </c>
      <c r="CJ2039" s="2">
        <v>1</v>
      </c>
      <c r="CK2039" s="2">
        <v>21</v>
      </c>
      <c r="CL2039" s="2" t="s">
        <v>88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"FES1162508499"</f>
        <v>FES1162508499</v>
      </c>
      <c r="F2040" s="3">
        <v>42664</v>
      </c>
      <c r="G2040" s="2">
        <v>201704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260</v>
      </c>
      <c r="M2040" s="2" t="s">
        <v>261</v>
      </c>
      <c r="N2040" s="2" t="s">
        <v>347</v>
      </c>
      <c r="O2040" s="2" t="s">
        <v>96</v>
      </c>
      <c r="P2040" s="2" t="str">
        <f>"2170531773                    "</f>
        <v xml:space="preserve">2170531773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3.32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1</v>
      </c>
      <c r="BJ2040" s="2">
        <v>0.2</v>
      </c>
      <c r="BK2040" s="2">
        <v>1</v>
      </c>
      <c r="BL2040" s="2">
        <v>40.76</v>
      </c>
      <c r="BM2040" s="2">
        <v>5.71</v>
      </c>
      <c r="BN2040" s="2">
        <v>46.47</v>
      </c>
      <c r="BO2040" s="2">
        <v>46.47</v>
      </c>
      <c r="BP2040" s="2"/>
      <c r="BQ2040" s="2"/>
      <c r="BR2040" s="2" t="s">
        <v>83</v>
      </c>
      <c r="BS2040" s="3">
        <v>42667</v>
      </c>
      <c r="BT2040" s="4">
        <v>0.41666666666666669</v>
      </c>
      <c r="BU2040" s="2" t="s">
        <v>2115</v>
      </c>
      <c r="BV2040" s="2" t="s">
        <v>85</v>
      </c>
      <c r="BW2040" s="2"/>
      <c r="BX2040" s="2"/>
      <c r="BY2040" s="2">
        <v>1200</v>
      </c>
      <c r="BZ2040" s="2"/>
      <c r="CA2040" s="2"/>
      <c r="CB2040" s="2"/>
      <c r="CC2040" s="2" t="s">
        <v>261</v>
      </c>
      <c r="CD2040" s="2">
        <v>6850</v>
      </c>
      <c r="CE2040" s="2" t="s">
        <v>108</v>
      </c>
      <c r="CF2040" s="5">
        <v>42668</v>
      </c>
      <c r="CG2040" s="2"/>
      <c r="CH2040" s="2"/>
      <c r="CI2040" s="2">
        <v>3</v>
      </c>
      <c r="CJ2040" s="2">
        <v>1</v>
      </c>
      <c r="CK2040" s="2">
        <v>21</v>
      </c>
      <c r="CL2040" s="2" t="s">
        <v>88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"FES1162508457"</f>
        <v>FES1162508457</v>
      </c>
      <c r="F2041" s="3">
        <v>42664</v>
      </c>
      <c r="G2041" s="2">
        <v>201704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160</v>
      </c>
      <c r="M2041" s="2" t="s">
        <v>161</v>
      </c>
      <c r="N2041" s="2" t="s">
        <v>179</v>
      </c>
      <c r="O2041" s="2" t="s">
        <v>96</v>
      </c>
      <c r="P2041" s="2" t="str">
        <f>"2170531728                    "</f>
        <v xml:space="preserve">2170531728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3.32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1</v>
      </c>
      <c r="BJ2041" s="2">
        <v>0.2</v>
      </c>
      <c r="BK2041" s="2">
        <v>1</v>
      </c>
      <c r="BL2041" s="2">
        <v>40.76</v>
      </c>
      <c r="BM2041" s="2">
        <v>5.71</v>
      </c>
      <c r="BN2041" s="2">
        <v>46.47</v>
      </c>
      <c r="BO2041" s="2">
        <v>46.47</v>
      </c>
      <c r="BP2041" s="2"/>
      <c r="BQ2041" s="2" t="s">
        <v>180</v>
      </c>
      <c r="BR2041" s="2" t="s">
        <v>83</v>
      </c>
      <c r="BS2041" s="3">
        <v>42667</v>
      </c>
      <c r="BT2041" s="4">
        <v>0.41666666666666669</v>
      </c>
      <c r="BU2041" s="2" t="s">
        <v>1172</v>
      </c>
      <c r="BV2041" s="2" t="s">
        <v>85</v>
      </c>
      <c r="BW2041" s="2"/>
      <c r="BX2041" s="2"/>
      <c r="BY2041" s="2">
        <v>1200</v>
      </c>
      <c r="BZ2041" s="2"/>
      <c r="CA2041" s="2" t="s">
        <v>129</v>
      </c>
      <c r="CB2041" s="2"/>
      <c r="CC2041" s="2" t="s">
        <v>161</v>
      </c>
      <c r="CD2041" s="2">
        <v>7405</v>
      </c>
      <c r="CE2041" s="2" t="s">
        <v>108</v>
      </c>
      <c r="CF2041" s="5">
        <v>42668</v>
      </c>
      <c r="CG2041" s="2"/>
      <c r="CH2041" s="2"/>
      <c r="CI2041" s="2">
        <v>1</v>
      </c>
      <c r="CJ2041" s="2">
        <v>1</v>
      </c>
      <c r="CK2041" s="2">
        <v>21</v>
      </c>
      <c r="CL2041" s="2" t="s">
        <v>88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"FES1162508476"</f>
        <v>FES1162508476</v>
      </c>
      <c r="F2042" s="3">
        <v>42664</v>
      </c>
      <c r="G2042" s="2">
        <v>201704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137</v>
      </c>
      <c r="M2042" s="2" t="s">
        <v>138</v>
      </c>
      <c r="N2042" s="2" t="s">
        <v>928</v>
      </c>
      <c r="O2042" s="2" t="s">
        <v>96</v>
      </c>
      <c r="P2042" s="2" t="str">
        <f>"2170531557                    "</f>
        <v xml:space="preserve">2170531557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9.1199999999999992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5.0999999999999996</v>
      </c>
      <c r="BJ2042" s="2">
        <v>3.4</v>
      </c>
      <c r="BK2042" s="2">
        <v>5.5</v>
      </c>
      <c r="BL2042" s="2">
        <v>112.08</v>
      </c>
      <c r="BM2042" s="2">
        <v>15.69</v>
      </c>
      <c r="BN2042" s="2">
        <v>127.77</v>
      </c>
      <c r="BO2042" s="2">
        <v>127.77</v>
      </c>
      <c r="BP2042" s="2"/>
      <c r="BQ2042" s="2" t="s">
        <v>117</v>
      </c>
      <c r="BR2042" s="2" t="s">
        <v>83</v>
      </c>
      <c r="BS2042" s="3">
        <v>42667</v>
      </c>
      <c r="BT2042" s="4">
        <v>0.41666666666666669</v>
      </c>
      <c r="BU2042" s="2" t="s">
        <v>2116</v>
      </c>
      <c r="BV2042" s="2"/>
      <c r="BW2042" s="2"/>
      <c r="BX2042" s="2"/>
      <c r="BY2042" s="2">
        <v>16980.04</v>
      </c>
      <c r="BZ2042" s="2"/>
      <c r="CA2042" s="2"/>
      <c r="CB2042" s="2"/>
      <c r="CC2042" s="2" t="s">
        <v>138</v>
      </c>
      <c r="CD2042" s="2">
        <v>3201</v>
      </c>
      <c r="CE2042" s="2" t="s">
        <v>86</v>
      </c>
      <c r="CF2042" s="5">
        <v>42668</v>
      </c>
      <c r="CG2042" s="2"/>
      <c r="CH2042" s="2"/>
      <c r="CI2042" s="2">
        <v>0</v>
      </c>
      <c r="CJ2042" s="2">
        <v>0</v>
      </c>
      <c r="CK2042" s="2">
        <v>21</v>
      </c>
      <c r="CL2042" s="2" t="s">
        <v>88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"FES1162508412"</f>
        <v>FES1162508412</v>
      </c>
      <c r="F2043" s="3">
        <v>42664</v>
      </c>
      <c r="G2043" s="2">
        <v>201704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253</v>
      </c>
      <c r="M2043" s="2" t="s">
        <v>254</v>
      </c>
      <c r="N2043" s="2" t="s">
        <v>255</v>
      </c>
      <c r="O2043" s="2" t="s">
        <v>96</v>
      </c>
      <c r="P2043" s="2" t="str">
        <f>"2170529474                    "</f>
        <v xml:space="preserve">2170529474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19.489999999999998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6.1</v>
      </c>
      <c r="BJ2043" s="2">
        <v>3.5</v>
      </c>
      <c r="BK2043" s="2">
        <v>6.5</v>
      </c>
      <c r="BL2043" s="2">
        <v>239.45</v>
      </c>
      <c r="BM2043" s="2">
        <v>33.520000000000003</v>
      </c>
      <c r="BN2043" s="2">
        <v>272.97000000000003</v>
      </c>
      <c r="BO2043" s="2">
        <v>272.97000000000003</v>
      </c>
      <c r="BP2043" s="2"/>
      <c r="BQ2043" s="2" t="s">
        <v>117</v>
      </c>
      <c r="BR2043" s="2" t="s">
        <v>83</v>
      </c>
      <c r="BS2043" s="3">
        <v>42667</v>
      </c>
      <c r="BT2043" s="4">
        <v>0.59930555555555554</v>
      </c>
      <c r="BU2043" s="2" t="s">
        <v>974</v>
      </c>
      <c r="BV2043" s="2" t="s">
        <v>85</v>
      </c>
      <c r="BW2043" s="2"/>
      <c r="BX2043" s="2"/>
      <c r="BY2043" s="2">
        <v>17410.53</v>
      </c>
      <c r="BZ2043" s="2"/>
      <c r="CA2043" s="2"/>
      <c r="CB2043" s="2"/>
      <c r="CC2043" s="2" t="s">
        <v>254</v>
      </c>
      <c r="CD2043" s="2">
        <v>3370</v>
      </c>
      <c r="CE2043" s="2" t="s">
        <v>86</v>
      </c>
      <c r="CF2043" s="5">
        <v>42669</v>
      </c>
      <c r="CG2043" s="2"/>
      <c r="CH2043" s="2"/>
      <c r="CI2043" s="2">
        <v>3</v>
      </c>
      <c r="CJ2043" s="2">
        <v>1</v>
      </c>
      <c r="CK2043" s="2">
        <v>23</v>
      </c>
      <c r="CL2043" s="2" t="s">
        <v>88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"FES1162508477"</f>
        <v>FES1162508477</v>
      </c>
      <c r="F2044" s="3">
        <v>42664</v>
      </c>
      <c r="G2044" s="2">
        <v>201704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269</v>
      </c>
      <c r="M2044" s="2" t="s">
        <v>270</v>
      </c>
      <c r="N2044" s="2" t="s">
        <v>565</v>
      </c>
      <c r="O2044" s="2" t="s">
        <v>96</v>
      </c>
      <c r="P2044" s="2" t="str">
        <f>"2170531583                    "</f>
        <v xml:space="preserve">2170531583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3.32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2</v>
      </c>
      <c r="BJ2044" s="2">
        <v>2</v>
      </c>
      <c r="BK2044" s="2">
        <v>2</v>
      </c>
      <c r="BL2044" s="2">
        <v>40.76</v>
      </c>
      <c r="BM2044" s="2">
        <v>5.71</v>
      </c>
      <c r="BN2044" s="2">
        <v>46.47</v>
      </c>
      <c r="BO2044" s="2">
        <v>46.47</v>
      </c>
      <c r="BP2044" s="2"/>
      <c r="BQ2044" s="2" t="s">
        <v>566</v>
      </c>
      <c r="BR2044" s="2" t="s">
        <v>83</v>
      </c>
      <c r="BS2044" s="3">
        <v>42667</v>
      </c>
      <c r="BT2044" s="4">
        <v>0.43333333333333335</v>
      </c>
      <c r="BU2044" s="2" t="s">
        <v>1237</v>
      </c>
      <c r="BV2044" s="2" t="s">
        <v>85</v>
      </c>
      <c r="BW2044" s="2"/>
      <c r="BX2044" s="2"/>
      <c r="BY2044" s="2">
        <v>9900</v>
      </c>
      <c r="BZ2044" s="2"/>
      <c r="CA2044" s="2"/>
      <c r="CB2044" s="2"/>
      <c r="CC2044" s="2" t="s">
        <v>270</v>
      </c>
      <c r="CD2044" s="2">
        <v>3620</v>
      </c>
      <c r="CE2044" s="2" t="s">
        <v>86</v>
      </c>
      <c r="CF2044" s="5">
        <v>42668</v>
      </c>
      <c r="CG2044" s="2"/>
      <c r="CH2044" s="2"/>
      <c r="CI2044" s="2">
        <v>1</v>
      </c>
      <c r="CJ2044" s="2">
        <v>1</v>
      </c>
      <c r="CK2044" s="2">
        <v>21</v>
      </c>
      <c r="CL2044" s="2" t="s">
        <v>88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"FES1162508519"</f>
        <v>FES1162508519</v>
      </c>
      <c r="F2045" s="3">
        <v>42664</v>
      </c>
      <c r="G2045" s="2">
        <v>201704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171</v>
      </c>
      <c r="M2045" s="2" t="s">
        <v>172</v>
      </c>
      <c r="N2045" s="2" t="s">
        <v>429</v>
      </c>
      <c r="O2045" s="2" t="s">
        <v>96</v>
      </c>
      <c r="P2045" s="2" t="str">
        <f>"2170529766                    "</f>
        <v xml:space="preserve">2170529766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26.54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15.7</v>
      </c>
      <c r="BJ2045" s="2">
        <v>13.9</v>
      </c>
      <c r="BK2045" s="2">
        <v>16</v>
      </c>
      <c r="BL2045" s="2">
        <v>326.06</v>
      </c>
      <c r="BM2045" s="2">
        <v>45.65</v>
      </c>
      <c r="BN2045" s="2">
        <v>371.71</v>
      </c>
      <c r="BO2045" s="2">
        <v>371.71</v>
      </c>
      <c r="BP2045" s="2"/>
      <c r="BQ2045" s="2" t="s">
        <v>430</v>
      </c>
      <c r="BR2045" s="2" t="s">
        <v>83</v>
      </c>
      <c r="BS2045" s="3">
        <v>42667</v>
      </c>
      <c r="BT2045" s="4">
        <v>0.40416666666666662</v>
      </c>
      <c r="BU2045" s="2" t="s">
        <v>1266</v>
      </c>
      <c r="BV2045" s="2" t="s">
        <v>85</v>
      </c>
      <c r="BW2045" s="2"/>
      <c r="BX2045" s="2"/>
      <c r="BY2045" s="2">
        <v>69435.839999999997</v>
      </c>
      <c r="BZ2045" s="2"/>
      <c r="CA2045" s="2"/>
      <c r="CB2045" s="2"/>
      <c r="CC2045" s="2" t="s">
        <v>172</v>
      </c>
      <c r="CD2045" s="2">
        <v>6220</v>
      </c>
      <c r="CE2045" s="2" t="s">
        <v>368</v>
      </c>
      <c r="CF2045" s="5">
        <v>42668</v>
      </c>
      <c r="CG2045" s="2"/>
      <c r="CH2045" s="2"/>
      <c r="CI2045" s="2">
        <v>1</v>
      </c>
      <c r="CJ2045" s="2">
        <v>1</v>
      </c>
      <c r="CK2045" s="2">
        <v>21</v>
      </c>
      <c r="CL2045" s="2" t="s">
        <v>88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"FES1162508517"</f>
        <v>FES1162508517</v>
      </c>
      <c r="F2046" s="3">
        <v>42664</v>
      </c>
      <c r="G2046" s="2">
        <v>201704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160</v>
      </c>
      <c r="M2046" s="2" t="s">
        <v>161</v>
      </c>
      <c r="N2046" s="2" t="s">
        <v>176</v>
      </c>
      <c r="O2046" s="2" t="s">
        <v>96</v>
      </c>
      <c r="P2046" s="2" t="str">
        <f>"2170531663                    "</f>
        <v xml:space="preserve">2170531663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9.1199999999999992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5.2</v>
      </c>
      <c r="BJ2046" s="2">
        <v>1.6</v>
      </c>
      <c r="BK2046" s="2">
        <v>5.5</v>
      </c>
      <c r="BL2046" s="2">
        <v>112.08</v>
      </c>
      <c r="BM2046" s="2">
        <v>15.69</v>
      </c>
      <c r="BN2046" s="2">
        <v>127.77</v>
      </c>
      <c r="BO2046" s="2">
        <v>127.77</v>
      </c>
      <c r="BP2046" s="2"/>
      <c r="BQ2046" s="2" t="s">
        <v>177</v>
      </c>
      <c r="BR2046" s="2" t="s">
        <v>83</v>
      </c>
      <c r="BS2046" s="3">
        <v>42667</v>
      </c>
      <c r="BT2046" s="4">
        <v>0.41666666666666669</v>
      </c>
      <c r="BU2046" s="2" t="s">
        <v>2117</v>
      </c>
      <c r="BV2046" s="2" t="s">
        <v>85</v>
      </c>
      <c r="BW2046" s="2"/>
      <c r="BX2046" s="2"/>
      <c r="BY2046" s="2">
        <v>8132.8</v>
      </c>
      <c r="BZ2046" s="2"/>
      <c r="CA2046" s="2"/>
      <c r="CB2046" s="2"/>
      <c r="CC2046" s="2" t="s">
        <v>161</v>
      </c>
      <c r="CD2046" s="2">
        <v>7530</v>
      </c>
      <c r="CE2046" s="2" t="s">
        <v>86</v>
      </c>
      <c r="CF2046" s="5">
        <v>42668</v>
      </c>
      <c r="CG2046" s="2"/>
      <c r="CH2046" s="2"/>
      <c r="CI2046" s="2">
        <v>1</v>
      </c>
      <c r="CJ2046" s="2">
        <v>1</v>
      </c>
      <c r="CK2046" s="2">
        <v>21</v>
      </c>
      <c r="CL2046" s="2" t="s">
        <v>88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"FES1162508396"</f>
        <v>FES1162508396</v>
      </c>
      <c r="F2047" s="3">
        <v>42664</v>
      </c>
      <c r="G2047" s="2">
        <v>201704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137</v>
      </c>
      <c r="M2047" s="2" t="s">
        <v>138</v>
      </c>
      <c r="N2047" s="2" t="s">
        <v>396</v>
      </c>
      <c r="O2047" s="2" t="s">
        <v>96</v>
      </c>
      <c r="P2047" s="2" t="str">
        <f>"2170529015                    "</f>
        <v xml:space="preserve">2170529015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3.32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1.6</v>
      </c>
      <c r="BJ2047" s="2">
        <v>1</v>
      </c>
      <c r="BK2047" s="2">
        <v>2</v>
      </c>
      <c r="BL2047" s="2">
        <v>40.76</v>
      </c>
      <c r="BM2047" s="2">
        <v>5.71</v>
      </c>
      <c r="BN2047" s="2">
        <v>46.47</v>
      </c>
      <c r="BO2047" s="2">
        <v>46.47</v>
      </c>
      <c r="BP2047" s="2"/>
      <c r="BQ2047" s="2" t="s">
        <v>82</v>
      </c>
      <c r="BR2047" s="2" t="s">
        <v>83</v>
      </c>
      <c r="BS2047" s="3">
        <v>42667</v>
      </c>
      <c r="BT2047" s="4">
        <v>0.36805555555555558</v>
      </c>
      <c r="BU2047" s="2" t="s">
        <v>1562</v>
      </c>
      <c r="BV2047" s="2" t="s">
        <v>85</v>
      </c>
      <c r="BW2047" s="2"/>
      <c r="BX2047" s="2"/>
      <c r="BY2047" s="2">
        <v>4979.59</v>
      </c>
      <c r="BZ2047" s="2"/>
      <c r="CA2047" s="2" t="s">
        <v>170</v>
      </c>
      <c r="CB2047" s="2"/>
      <c r="CC2047" s="2" t="s">
        <v>138</v>
      </c>
      <c r="CD2047" s="2">
        <v>3201</v>
      </c>
      <c r="CE2047" s="2" t="s">
        <v>86</v>
      </c>
      <c r="CF2047" s="5">
        <v>42667</v>
      </c>
      <c r="CG2047" s="2"/>
      <c r="CH2047" s="2"/>
      <c r="CI2047" s="2">
        <v>1</v>
      </c>
      <c r="CJ2047" s="2">
        <v>1</v>
      </c>
      <c r="CK2047" s="2">
        <v>21</v>
      </c>
      <c r="CL2047" s="2" t="s">
        <v>88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"FES1162508403"</f>
        <v>FES1162508403</v>
      </c>
      <c r="F2048" s="3">
        <v>42664</v>
      </c>
      <c r="G2048" s="2">
        <v>201704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207</v>
      </c>
      <c r="M2048" s="2" t="s">
        <v>208</v>
      </c>
      <c r="N2048" s="2" t="s">
        <v>2118</v>
      </c>
      <c r="O2048" s="2" t="s">
        <v>96</v>
      </c>
      <c r="P2048" s="2" t="str">
        <f>"2170529392                    "</f>
        <v xml:space="preserve">2170529392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20.73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2</v>
      </c>
      <c r="BI2048" s="2">
        <v>12.5</v>
      </c>
      <c r="BJ2048" s="2">
        <v>3.1</v>
      </c>
      <c r="BK2048" s="2">
        <v>12.5</v>
      </c>
      <c r="BL2048" s="2">
        <v>254.73</v>
      </c>
      <c r="BM2048" s="2">
        <v>35.659999999999997</v>
      </c>
      <c r="BN2048" s="2">
        <v>290.39</v>
      </c>
      <c r="BO2048" s="2">
        <v>290.39</v>
      </c>
      <c r="BP2048" s="2"/>
      <c r="BQ2048" s="2" t="s">
        <v>117</v>
      </c>
      <c r="BR2048" s="2" t="s">
        <v>83</v>
      </c>
      <c r="BS2048" s="3">
        <v>42667</v>
      </c>
      <c r="BT2048" s="4">
        <v>0.4375</v>
      </c>
      <c r="BU2048" s="2" t="s">
        <v>1798</v>
      </c>
      <c r="BV2048" s="2" t="s">
        <v>85</v>
      </c>
      <c r="BW2048" s="2"/>
      <c r="BX2048" s="2"/>
      <c r="BY2048" s="2">
        <v>15474.66</v>
      </c>
      <c r="BZ2048" s="2"/>
      <c r="CA2048" s="2"/>
      <c r="CB2048" s="2"/>
      <c r="CC2048" s="2" t="s">
        <v>208</v>
      </c>
      <c r="CD2048" s="2">
        <v>4110</v>
      </c>
      <c r="CE2048" s="2" t="s">
        <v>86</v>
      </c>
      <c r="CF2048" s="5">
        <v>42668</v>
      </c>
      <c r="CG2048" s="2"/>
      <c r="CH2048" s="2"/>
      <c r="CI2048" s="2">
        <v>1</v>
      </c>
      <c r="CJ2048" s="2">
        <v>1</v>
      </c>
      <c r="CK2048" s="2">
        <v>21</v>
      </c>
      <c r="CL2048" s="2" t="s">
        <v>88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"FES1162508480"</f>
        <v>FES1162508480</v>
      </c>
      <c r="F2049" s="3">
        <v>42664</v>
      </c>
      <c r="G2049" s="2">
        <v>201704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98</v>
      </c>
      <c r="M2049" s="2" t="s">
        <v>99</v>
      </c>
      <c r="N2049" s="2" t="s">
        <v>1098</v>
      </c>
      <c r="O2049" s="2" t="s">
        <v>96</v>
      </c>
      <c r="P2049" s="2" t="str">
        <f>"2170531645                    "</f>
        <v xml:space="preserve">2170531645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6.63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3.9</v>
      </c>
      <c r="BJ2049" s="2">
        <v>1.6</v>
      </c>
      <c r="BK2049" s="2">
        <v>4</v>
      </c>
      <c r="BL2049" s="2">
        <v>81.510000000000005</v>
      </c>
      <c r="BM2049" s="2">
        <v>11.41</v>
      </c>
      <c r="BN2049" s="2">
        <v>92.92</v>
      </c>
      <c r="BO2049" s="2">
        <v>92.92</v>
      </c>
      <c r="BP2049" s="2"/>
      <c r="BQ2049" s="2" t="s">
        <v>1099</v>
      </c>
      <c r="BR2049" s="2" t="s">
        <v>83</v>
      </c>
      <c r="BS2049" s="3">
        <v>42667</v>
      </c>
      <c r="BT2049" s="4">
        <v>0.35694444444444445</v>
      </c>
      <c r="BU2049" s="2" t="s">
        <v>603</v>
      </c>
      <c r="BV2049" s="2" t="s">
        <v>85</v>
      </c>
      <c r="BW2049" s="2"/>
      <c r="BX2049" s="2"/>
      <c r="BY2049" s="2">
        <v>7954.85</v>
      </c>
      <c r="BZ2049" s="2"/>
      <c r="CA2049" s="2" t="s">
        <v>107</v>
      </c>
      <c r="CB2049" s="2"/>
      <c r="CC2049" s="2" t="s">
        <v>99</v>
      </c>
      <c r="CD2049" s="2">
        <v>6012</v>
      </c>
      <c r="CE2049" s="2" t="s">
        <v>86</v>
      </c>
      <c r="CF2049" s="5">
        <v>42668</v>
      </c>
      <c r="CG2049" s="2"/>
      <c r="CH2049" s="2"/>
      <c r="CI2049" s="2">
        <v>1</v>
      </c>
      <c r="CJ2049" s="2">
        <v>1</v>
      </c>
      <c r="CK2049" s="2">
        <v>21</v>
      </c>
      <c r="CL2049" s="2" t="s">
        <v>88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"FES1162508353"</f>
        <v>FES1162508353</v>
      </c>
      <c r="F2050" s="3">
        <v>42664</v>
      </c>
      <c r="G2050" s="2">
        <v>201704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98</v>
      </c>
      <c r="M2050" s="2" t="s">
        <v>99</v>
      </c>
      <c r="N2050" s="2" t="s">
        <v>528</v>
      </c>
      <c r="O2050" s="2" t="s">
        <v>96</v>
      </c>
      <c r="P2050" s="2" t="str">
        <f>"2170531637                    "</f>
        <v xml:space="preserve">2170531637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26.54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16</v>
      </c>
      <c r="BJ2050" s="2">
        <v>13</v>
      </c>
      <c r="BK2050" s="2">
        <v>16</v>
      </c>
      <c r="BL2050" s="2">
        <v>326.06</v>
      </c>
      <c r="BM2050" s="2">
        <v>45.65</v>
      </c>
      <c r="BN2050" s="2">
        <v>371.71</v>
      </c>
      <c r="BO2050" s="2">
        <v>371.71</v>
      </c>
      <c r="BP2050" s="2" t="s">
        <v>2119</v>
      </c>
      <c r="BQ2050" s="2" t="s">
        <v>2120</v>
      </c>
      <c r="BR2050" s="2" t="s">
        <v>83</v>
      </c>
      <c r="BS2050" s="3">
        <v>42667</v>
      </c>
      <c r="BT2050" s="4">
        <v>0.40972222222222227</v>
      </c>
      <c r="BU2050" s="2" t="s">
        <v>531</v>
      </c>
      <c r="BV2050" s="2"/>
      <c r="BW2050" s="2"/>
      <c r="BX2050" s="2"/>
      <c r="BY2050" s="2">
        <v>64860</v>
      </c>
      <c r="BZ2050" s="2"/>
      <c r="CA2050" s="2" t="s">
        <v>437</v>
      </c>
      <c r="CB2050" s="2"/>
      <c r="CC2050" s="2" t="s">
        <v>99</v>
      </c>
      <c r="CD2050" s="2">
        <v>6001</v>
      </c>
      <c r="CE2050" s="2" t="s">
        <v>86</v>
      </c>
      <c r="CF2050" s="5">
        <v>42667</v>
      </c>
      <c r="CG2050" s="2"/>
      <c r="CH2050" s="2"/>
      <c r="CI2050" s="2">
        <v>0</v>
      </c>
      <c r="CJ2050" s="2">
        <v>0</v>
      </c>
      <c r="CK2050" s="2">
        <v>21</v>
      </c>
      <c r="CL2050" s="2" t="s">
        <v>88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"FES1162508434"</f>
        <v>FES1162508434</v>
      </c>
      <c r="F2051" s="3">
        <v>42664</v>
      </c>
      <c r="G2051" s="2">
        <v>201704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491</v>
      </c>
      <c r="M2051" s="2" t="s">
        <v>492</v>
      </c>
      <c r="N2051" s="2" t="s">
        <v>493</v>
      </c>
      <c r="O2051" s="2" t="s">
        <v>96</v>
      </c>
      <c r="P2051" s="2" t="str">
        <f>"2170531398                    "</f>
        <v xml:space="preserve">2170531398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3.32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0.8</v>
      </c>
      <c r="BJ2051" s="2">
        <v>1.7</v>
      </c>
      <c r="BK2051" s="2">
        <v>2</v>
      </c>
      <c r="BL2051" s="2">
        <v>40.76</v>
      </c>
      <c r="BM2051" s="2">
        <v>5.71</v>
      </c>
      <c r="BN2051" s="2">
        <v>46.47</v>
      </c>
      <c r="BO2051" s="2">
        <v>46.47</v>
      </c>
      <c r="BP2051" s="2"/>
      <c r="BQ2051" s="2" t="s">
        <v>494</v>
      </c>
      <c r="BR2051" s="2" t="s">
        <v>83</v>
      </c>
      <c r="BS2051" s="3">
        <v>42667</v>
      </c>
      <c r="BT2051" s="4">
        <v>0.42708333333333331</v>
      </c>
      <c r="BU2051" s="2" t="s">
        <v>495</v>
      </c>
      <c r="BV2051" s="2" t="s">
        <v>85</v>
      </c>
      <c r="BW2051" s="2"/>
      <c r="BX2051" s="2"/>
      <c r="BY2051" s="2">
        <v>8518.61</v>
      </c>
      <c r="BZ2051" s="2"/>
      <c r="CA2051" s="2"/>
      <c r="CB2051" s="2"/>
      <c r="CC2051" s="2" t="s">
        <v>492</v>
      </c>
      <c r="CD2051" s="2">
        <v>3699</v>
      </c>
      <c r="CE2051" s="2" t="s">
        <v>86</v>
      </c>
      <c r="CF2051" s="5">
        <v>42668</v>
      </c>
      <c r="CG2051" s="2"/>
      <c r="CH2051" s="2"/>
      <c r="CI2051" s="2">
        <v>1</v>
      </c>
      <c r="CJ2051" s="2">
        <v>1</v>
      </c>
      <c r="CK2051" s="2">
        <v>21</v>
      </c>
      <c r="CL2051" s="2" t="s">
        <v>88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"FES1162508417"</f>
        <v>FES1162508417</v>
      </c>
      <c r="F2052" s="3">
        <v>42664</v>
      </c>
      <c r="G2052" s="2">
        <v>201704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148</v>
      </c>
      <c r="M2052" s="2" t="s">
        <v>149</v>
      </c>
      <c r="N2052" s="2" t="s">
        <v>150</v>
      </c>
      <c r="O2052" s="2" t="s">
        <v>96</v>
      </c>
      <c r="P2052" s="2" t="str">
        <f>"2170529506                    "</f>
        <v xml:space="preserve">2170529506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7.46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4.5</v>
      </c>
      <c r="BJ2052" s="2">
        <v>1</v>
      </c>
      <c r="BK2052" s="2">
        <v>4.5</v>
      </c>
      <c r="BL2052" s="2">
        <v>91.7</v>
      </c>
      <c r="BM2052" s="2">
        <v>12.84</v>
      </c>
      <c r="BN2052" s="2">
        <v>104.54</v>
      </c>
      <c r="BO2052" s="2">
        <v>104.54</v>
      </c>
      <c r="BP2052" s="2"/>
      <c r="BQ2052" s="2" t="s">
        <v>151</v>
      </c>
      <c r="BR2052" s="2" t="s">
        <v>83</v>
      </c>
      <c r="BS2052" s="3">
        <v>42667</v>
      </c>
      <c r="BT2052" s="4">
        <v>0.4375</v>
      </c>
      <c r="BU2052" s="2" t="s">
        <v>2121</v>
      </c>
      <c r="BV2052" s="2" t="s">
        <v>85</v>
      </c>
      <c r="BW2052" s="2"/>
      <c r="BX2052" s="2"/>
      <c r="BY2052" s="2">
        <v>5034.24</v>
      </c>
      <c r="BZ2052" s="2"/>
      <c r="CA2052" s="2" t="s">
        <v>129</v>
      </c>
      <c r="CB2052" s="2"/>
      <c r="CC2052" s="2" t="s">
        <v>149</v>
      </c>
      <c r="CD2052" s="2">
        <v>4052</v>
      </c>
      <c r="CE2052" s="2" t="s">
        <v>86</v>
      </c>
      <c r="CF2052" s="5">
        <v>42668</v>
      </c>
      <c r="CG2052" s="2"/>
      <c r="CH2052" s="2"/>
      <c r="CI2052" s="2">
        <v>1</v>
      </c>
      <c r="CJ2052" s="2">
        <v>1</v>
      </c>
      <c r="CK2052" s="2">
        <v>21</v>
      </c>
      <c r="CL2052" s="2" t="s">
        <v>88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"FES1162508366"</f>
        <v>FES1162508366</v>
      </c>
      <c r="F2053" s="3">
        <v>42664</v>
      </c>
      <c r="G2053" s="2">
        <v>201704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160</v>
      </c>
      <c r="M2053" s="2" t="s">
        <v>161</v>
      </c>
      <c r="N2053" s="2" t="s">
        <v>1219</v>
      </c>
      <c r="O2053" s="2" t="s">
        <v>96</v>
      </c>
      <c r="P2053" s="2" t="str">
        <f>"2170531630                    "</f>
        <v xml:space="preserve">2170531630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3.32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1.9</v>
      </c>
      <c r="BJ2053" s="2">
        <v>1</v>
      </c>
      <c r="BK2053" s="2">
        <v>2</v>
      </c>
      <c r="BL2053" s="2">
        <v>40.76</v>
      </c>
      <c r="BM2053" s="2">
        <v>5.71</v>
      </c>
      <c r="BN2053" s="2">
        <v>46.47</v>
      </c>
      <c r="BO2053" s="2">
        <v>46.47</v>
      </c>
      <c r="BP2053" s="2"/>
      <c r="BQ2053" s="2" t="s">
        <v>91</v>
      </c>
      <c r="BR2053" s="2" t="s">
        <v>83</v>
      </c>
      <c r="BS2053" s="3">
        <v>42667</v>
      </c>
      <c r="BT2053" s="4">
        <v>0.41666666666666669</v>
      </c>
      <c r="BU2053" s="2" t="s">
        <v>1903</v>
      </c>
      <c r="BV2053" s="2" t="s">
        <v>85</v>
      </c>
      <c r="BW2053" s="2"/>
      <c r="BX2053" s="2"/>
      <c r="BY2053" s="2">
        <v>4838.9799999999996</v>
      </c>
      <c r="BZ2053" s="2"/>
      <c r="CA2053" s="2"/>
      <c r="CB2053" s="2"/>
      <c r="CC2053" s="2" t="s">
        <v>161</v>
      </c>
      <c r="CD2053" s="2">
        <v>7441</v>
      </c>
      <c r="CE2053" s="2" t="s">
        <v>86</v>
      </c>
      <c r="CF2053" s="5">
        <v>42668</v>
      </c>
      <c r="CG2053" s="2"/>
      <c r="CH2053" s="2"/>
      <c r="CI2053" s="2">
        <v>1</v>
      </c>
      <c r="CJ2053" s="2">
        <v>1</v>
      </c>
      <c r="CK2053" s="2">
        <v>21</v>
      </c>
      <c r="CL2053" s="2" t="s">
        <v>88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"FES1162508420"</f>
        <v>FES1162508420</v>
      </c>
      <c r="F2054" s="3">
        <v>42664</v>
      </c>
      <c r="G2054" s="2">
        <v>201704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143</v>
      </c>
      <c r="M2054" s="2" t="s">
        <v>144</v>
      </c>
      <c r="N2054" s="2" t="s">
        <v>1081</v>
      </c>
      <c r="O2054" s="2" t="s">
        <v>96</v>
      </c>
      <c r="P2054" s="2" t="str">
        <f>"2170529529                    "</f>
        <v xml:space="preserve">2170529529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14.1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2</v>
      </c>
      <c r="BI2054" s="2">
        <v>3.3</v>
      </c>
      <c r="BJ2054" s="2">
        <v>8.5</v>
      </c>
      <c r="BK2054" s="2">
        <v>8.5</v>
      </c>
      <c r="BL2054" s="2">
        <v>173.22</v>
      </c>
      <c r="BM2054" s="2">
        <v>24.25</v>
      </c>
      <c r="BN2054" s="2">
        <v>197.47</v>
      </c>
      <c r="BO2054" s="2">
        <v>197.47</v>
      </c>
      <c r="BP2054" s="2"/>
      <c r="BQ2054" s="2" t="s">
        <v>168</v>
      </c>
      <c r="BR2054" s="2" t="s">
        <v>83</v>
      </c>
      <c r="BS2054" s="3">
        <v>42667</v>
      </c>
      <c r="BT2054" s="4">
        <v>0.43402777777777773</v>
      </c>
      <c r="BU2054" s="2" t="s">
        <v>469</v>
      </c>
      <c r="BV2054" s="2"/>
      <c r="BW2054" s="2"/>
      <c r="BX2054" s="2"/>
      <c r="BY2054" s="2">
        <v>42332.61</v>
      </c>
      <c r="BZ2054" s="2"/>
      <c r="CA2054" s="2" t="s">
        <v>129</v>
      </c>
      <c r="CB2054" s="2"/>
      <c r="CC2054" s="2" t="s">
        <v>144</v>
      </c>
      <c r="CD2054" s="2">
        <v>5201</v>
      </c>
      <c r="CE2054" s="2" t="s">
        <v>86</v>
      </c>
      <c r="CF2054" s="5">
        <v>42669</v>
      </c>
      <c r="CG2054" s="2"/>
      <c r="CH2054" s="2"/>
      <c r="CI2054" s="2">
        <v>0</v>
      </c>
      <c r="CJ2054" s="2">
        <v>0</v>
      </c>
      <c r="CK2054" s="2">
        <v>21</v>
      </c>
      <c r="CL2054" s="2" t="s">
        <v>88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"FES1162508505"</f>
        <v>FES1162508505</v>
      </c>
      <c r="F2055" s="3">
        <v>42664</v>
      </c>
      <c r="G2055" s="2">
        <v>201704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98</v>
      </c>
      <c r="M2055" s="2" t="s">
        <v>99</v>
      </c>
      <c r="N2055" s="2" t="s">
        <v>2105</v>
      </c>
      <c r="O2055" s="2" t="s">
        <v>96</v>
      </c>
      <c r="P2055" s="2" t="str">
        <f>"2170531784                    "</f>
        <v xml:space="preserve">2170531784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3.32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1</v>
      </c>
      <c r="BJ2055" s="2">
        <v>0.2</v>
      </c>
      <c r="BK2055" s="2">
        <v>1</v>
      </c>
      <c r="BL2055" s="2">
        <v>40.76</v>
      </c>
      <c r="BM2055" s="2">
        <v>5.71</v>
      </c>
      <c r="BN2055" s="2">
        <v>46.47</v>
      </c>
      <c r="BO2055" s="2">
        <v>46.47</v>
      </c>
      <c r="BP2055" s="2"/>
      <c r="BQ2055" s="2" t="s">
        <v>117</v>
      </c>
      <c r="BR2055" s="2" t="s">
        <v>83</v>
      </c>
      <c r="BS2055" s="3">
        <v>42667</v>
      </c>
      <c r="BT2055" s="4">
        <v>0.38611111111111113</v>
      </c>
      <c r="BU2055" s="2" t="s">
        <v>2122</v>
      </c>
      <c r="BV2055" s="2" t="s">
        <v>85</v>
      </c>
      <c r="BW2055" s="2"/>
      <c r="BX2055" s="2"/>
      <c r="BY2055" s="2">
        <v>1200</v>
      </c>
      <c r="BZ2055" s="2"/>
      <c r="CA2055" s="2"/>
      <c r="CB2055" s="2"/>
      <c r="CC2055" s="2" t="s">
        <v>99</v>
      </c>
      <c r="CD2055" s="2">
        <v>6014</v>
      </c>
      <c r="CE2055" s="2" t="s">
        <v>108</v>
      </c>
      <c r="CF2055" s="5">
        <v>42668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88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"FES1162508490"</f>
        <v>FES1162508490</v>
      </c>
      <c r="F2056" s="3">
        <v>42664</v>
      </c>
      <c r="G2056" s="2">
        <v>201704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260</v>
      </c>
      <c r="M2056" s="2" t="s">
        <v>261</v>
      </c>
      <c r="N2056" s="2" t="s">
        <v>347</v>
      </c>
      <c r="O2056" s="2" t="s">
        <v>96</v>
      </c>
      <c r="P2056" s="2" t="str">
        <f>"2170529158                    "</f>
        <v xml:space="preserve">2170529158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8.2899999999999991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4.9000000000000004</v>
      </c>
      <c r="BJ2056" s="2">
        <v>1.7</v>
      </c>
      <c r="BK2056" s="2">
        <v>5</v>
      </c>
      <c r="BL2056" s="2">
        <v>101.89</v>
      </c>
      <c r="BM2056" s="2">
        <v>14.26</v>
      </c>
      <c r="BN2056" s="2">
        <v>116.15</v>
      </c>
      <c r="BO2056" s="2">
        <v>116.15</v>
      </c>
      <c r="BP2056" s="2"/>
      <c r="BQ2056" s="2"/>
      <c r="BR2056" s="2" t="s">
        <v>83</v>
      </c>
      <c r="BS2056" s="3">
        <v>42667</v>
      </c>
      <c r="BT2056" s="4">
        <v>0.41666666666666669</v>
      </c>
      <c r="BU2056" s="2" t="s">
        <v>2123</v>
      </c>
      <c r="BV2056" s="2" t="s">
        <v>85</v>
      </c>
      <c r="BW2056" s="2"/>
      <c r="BX2056" s="2"/>
      <c r="BY2056" s="2">
        <v>8253.9599999999991</v>
      </c>
      <c r="BZ2056" s="2"/>
      <c r="CA2056" s="2"/>
      <c r="CB2056" s="2"/>
      <c r="CC2056" s="2" t="s">
        <v>261</v>
      </c>
      <c r="CD2056" s="2">
        <v>6850</v>
      </c>
      <c r="CE2056" s="2" t="s">
        <v>368</v>
      </c>
      <c r="CF2056" s="5">
        <v>42668</v>
      </c>
      <c r="CG2056" s="2"/>
      <c r="CH2056" s="2"/>
      <c r="CI2056" s="2">
        <v>3</v>
      </c>
      <c r="CJ2056" s="2">
        <v>1</v>
      </c>
      <c r="CK2056" s="2">
        <v>21</v>
      </c>
      <c r="CL2056" s="2" t="s">
        <v>88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"FES1162508515"</f>
        <v>FES1162508515</v>
      </c>
      <c r="F2057" s="3">
        <v>42664</v>
      </c>
      <c r="G2057" s="2">
        <v>201704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78</v>
      </c>
      <c r="M2057" s="2" t="s">
        <v>79</v>
      </c>
      <c r="N2057" s="2" t="s">
        <v>2124</v>
      </c>
      <c r="O2057" s="2" t="s">
        <v>96</v>
      </c>
      <c r="P2057" s="2" t="str">
        <f>"2170531804                    "</f>
        <v xml:space="preserve">2170531804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3.32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1</v>
      </c>
      <c r="BJ2057" s="2">
        <v>0.2</v>
      </c>
      <c r="BK2057" s="2">
        <v>1</v>
      </c>
      <c r="BL2057" s="2">
        <v>40.76</v>
      </c>
      <c r="BM2057" s="2">
        <v>5.71</v>
      </c>
      <c r="BN2057" s="2">
        <v>46.47</v>
      </c>
      <c r="BO2057" s="2">
        <v>46.47</v>
      </c>
      <c r="BP2057" s="2"/>
      <c r="BQ2057" s="2" t="s">
        <v>2125</v>
      </c>
      <c r="BR2057" s="2" t="s">
        <v>83</v>
      </c>
      <c r="BS2057" s="3">
        <v>42667</v>
      </c>
      <c r="BT2057" s="4">
        <v>0.41666666666666669</v>
      </c>
      <c r="BU2057" s="2" t="s">
        <v>2126</v>
      </c>
      <c r="BV2057" s="2" t="s">
        <v>85</v>
      </c>
      <c r="BW2057" s="2"/>
      <c r="BX2057" s="2"/>
      <c r="BY2057" s="2">
        <v>1200</v>
      </c>
      <c r="BZ2057" s="2"/>
      <c r="CA2057" s="2"/>
      <c r="CB2057" s="2"/>
      <c r="CC2057" s="2" t="s">
        <v>79</v>
      </c>
      <c r="CD2057" s="2">
        <v>1934</v>
      </c>
      <c r="CE2057" s="2" t="s">
        <v>108</v>
      </c>
      <c r="CF2057" s="5">
        <v>42669</v>
      </c>
      <c r="CG2057" s="2"/>
      <c r="CH2057" s="2"/>
      <c r="CI2057" s="2">
        <v>1</v>
      </c>
      <c r="CJ2057" s="2">
        <v>1</v>
      </c>
      <c r="CK2057" s="2">
        <v>21</v>
      </c>
      <c r="CL2057" s="2" t="s">
        <v>88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"FES1162508479"</f>
        <v>FES1162508479</v>
      </c>
      <c r="F2058" s="3">
        <v>42664</v>
      </c>
      <c r="G2058" s="2">
        <v>201704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153</v>
      </c>
      <c r="M2058" s="2" t="s">
        <v>153</v>
      </c>
      <c r="N2058" s="2" t="s">
        <v>343</v>
      </c>
      <c r="O2058" s="2" t="s">
        <v>96</v>
      </c>
      <c r="P2058" s="2" t="str">
        <f>"2170531625                    "</f>
        <v xml:space="preserve">2170531625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3.32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1</v>
      </c>
      <c r="BJ2058" s="2">
        <v>0.2</v>
      </c>
      <c r="BK2058" s="2">
        <v>1</v>
      </c>
      <c r="BL2058" s="2">
        <v>40.76</v>
      </c>
      <c r="BM2058" s="2">
        <v>5.71</v>
      </c>
      <c r="BN2058" s="2">
        <v>46.47</v>
      </c>
      <c r="BO2058" s="2">
        <v>46.47</v>
      </c>
      <c r="BP2058" s="2"/>
      <c r="BQ2058" s="2" t="s">
        <v>344</v>
      </c>
      <c r="BR2058" s="2" t="s">
        <v>83</v>
      </c>
      <c r="BS2058" s="3">
        <v>42667</v>
      </c>
      <c r="BT2058" s="4">
        <v>0.4826388888888889</v>
      </c>
      <c r="BU2058" s="2" t="s">
        <v>2127</v>
      </c>
      <c r="BV2058" s="2" t="s">
        <v>85</v>
      </c>
      <c r="BW2058" s="2"/>
      <c r="BX2058" s="2"/>
      <c r="BY2058" s="2">
        <v>1200</v>
      </c>
      <c r="BZ2058" s="2"/>
      <c r="CA2058" s="2"/>
      <c r="CB2058" s="2"/>
      <c r="CC2058" s="2" t="s">
        <v>153</v>
      </c>
      <c r="CD2058" s="2">
        <v>7646</v>
      </c>
      <c r="CE2058" s="2" t="s">
        <v>108</v>
      </c>
      <c r="CF2058" s="5">
        <v>42668</v>
      </c>
      <c r="CG2058" s="2"/>
      <c r="CH2058" s="2"/>
      <c r="CI2058" s="2">
        <v>1</v>
      </c>
      <c r="CJ2058" s="2">
        <v>1</v>
      </c>
      <c r="CK2058" s="2">
        <v>21</v>
      </c>
      <c r="CL2058" s="2" t="s">
        <v>88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"FES1162508525"</f>
        <v>FES1162508525</v>
      </c>
      <c r="F2059" s="3">
        <v>42664</v>
      </c>
      <c r="G2059" s="2">
        <v>201704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98</v>
      </c>
      <c r="M2059" s="2" t="s">
        <v>99</v>
      </c>
      <c r="N2059" s="2" t="s">
        <v>606</v>
      </c>
      <c r="O2059" s="2" t="s">
        <v>96</v>
      </c>
      <c r="P2059" s="2" t="str">
        <f>"2170531815                    "</f>
        <v xml:space="preserve">2170531815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3.32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1</v>
      </c>
      <c r="BJ2059" s="2">
        <v>0.2</v>
      </c>
      <c r="BK2059" s="2">
        <v>1</v>
      </c>
      <c r="BL2059" s="2">
        <v>40.76</v>
      </c>
      <c r="BM2059" s="2">
        <v>5.71</v>
      </c>
      <c r="BN2059" s="2">
        <v>46.47</v>
      </c>
      <c r="BO2059" s="2">
        <v>46.47</v>
      </c>
      <c r="BP2059" s="2"/>
      <c r="BQ2059" s="2" t="s">
        <v>607</v>
      </c>
      <c r="BR2059" s="2" t="s">
        <v>83</v>
      </c>
      <c r="BS2059" s="3">
        <v>42667</v>
      </c>
      <c r="BT2059" s="4">
        <v>0.3743055555555555</v>
      </c>
      <c r="BU2059" s="2" t="s">
        <v>2128</v>
      </c>
      <c r="BV2059" s="2" t="s">
        <v>85</v>
      </c>
      <c r="BW2059" s="2"/>
      <c r="BX2059" s="2"/>
      <c r="BY2059" s="2">
        <v>1200</v>
      </c>
      <c r="BZ2059" s="2"/>
      <c r="CA2059" s="2"/>
      <c r="CB2059" s="2"/>
      <c r="CC2059" s="2" t="s">
        <v>99</v>
      </c>
      <c r="CD2059" s="2">
        <v>6001</v>
      </c>
      <c r="CE2059" s="2" t="s">
        <v>108</v>
      </c>
      <c r="CF2059" s="5">
        <v>42668</v>
      </c>
      <c r="CG2059" s="2"/>
      <c r="CH2059" s="2"/>
      <c r="CI2059" s="2">
        <v>1</v>
      </c>
      <c r="CJ2059" s="2">
        <v>1</v>
      </c>
      <c r="CK2059" s="2">
        <v>21</v>
      </c>
      <c r="CL2059" s="2" t="s">
        <v>88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"FES1162508400"</f>
        <v>FES1162508400</v>
      </c>
      <c r="F2060" s="3">
        <v>42664</v>
      </c>
      <c r="G2060" s="2">
        <v>201704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160</v>
      </c>
      <c r="M2060" s="2" t="s">
        <v>161</v>
      </c>
      <c r="N2060" s="2" t="s">
        <v>643</v>
      </c>
      <c r="O2060" s="2" t="s">
        <v>96</v>
      </c>
      <c r="P2060" s="2" t="str">
        <f>"2170529379                    "</f>
        <v xml:space="preserve">2170529379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3.32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1</v>
      </c>
      <c r="BJ2060" s="2">
        <v>0.2</v>
      </c>
      <c r="BK2060" s="2">
        <v>1</v>
      </c>
      <c r="BL2060" s="2">
        <v>40.76</v>
      </c>
      <c r="BM2060" s="2">
        <v>5.71</v>
      </c>
      <c r="BN2060" s="2">
        <v>46.47</v>
      </c>
      <c r="BO2060" s="2">
        <v>46.47</v>
      </c>
      <c r="BP2060" s="2"/>
      <c r="BQ2060" s="2" t="s">
        <v>644</v>
      </c>
      <c r="BR2060" s="2" t="s">
        <v>83</v>
      </c>
      <c r="BS2060" s="3">
        <v>42667</v>
      </c>
      <c r="BT2060" s="4">
        <v>0.41666666666666669</v>
      </c>
      <c r="BU2060" s="2" t="s">
        <v>1700</v>
      </c>
      <c r="BV2060" s="2" t="s">
        <v>85</v>
      </c>
      <c r="BW2060" s="2"/>
      <c r="BX2060" s="2"/>
      <c r="BY2060" s="2">
        <v>1200</v>
      </c>
      <c r="BZ2060" s="2"/>
      <c r="CA2060" s="2"/>
      <c r="CB2060" s="2"/>
      <c r="CC2060" s="2" t="s">
        <v>161</v>
      </c>
      <c r="CD2060" s="2">
        <v>7925</v>
      </c>
      <c r="CE2060" s="2" t="s">
        <v>108</v>
      </c>
      <c r="CF2060" s="5">
        <v>42668</v>
      </c>
      <c r="CG2060" s="2"/>
      <c r="CH2060" s="2"/>
      <c r="CI2060" s="2">
        <v>1</v>
      </c>
      <c r="CJ2060" s="2">
        <v>1</v>
      </c>
      <c r="CK2060" s="2">
        <v>21</v>
      </c>
      <c r="CL2060" s="2" t="s">
        <v>88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"FES1162508504"</f>
        <v>FES1162508504</v>
      </c>
      <c r="F2061" s="3">
        <v>42664</v>
      </c>
      <c r="G2061" s="2">
        <v>201704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160</v>
      </c>
      <c r="M2061" s="2" t="s">
        <v>161</v>
      </c>
      <c r="N2061" s="2" t="s">
        <v>622</v>
      </c>
      <c r="O2061" s="2" t="s">
        <v>96</v>
      </c>
      <c r="P2061" s="2" t="str">
        <f>"2170527212                    "</f>
        <v xml:space="preserve">2170527212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3.32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1</v>
      </c>
      <c r="BJ2061" s="2">
        <v>0.2</v>
      </c>
      <c r="BK2061" s="2">
        <v>1</v>
      </c>
      <c r="BL2061" s="2">
        <v>40.76</v>
      </c>
      <c r="BM2061" s="2">
        <v>5.71</v>
      </c>
      <c r="BN2061" s="2">
        <v>46.47</v>
      </c>
      <c r="BO2061" s="2">
        <v>46.47</v>
      </c>
      <c r="BP2061" s="2"/>
      <c r="BQ2061" s="2" t="s">
        <v>623</v>
      </c>
      <c r="BR2061" s="2" t="s">
        <v>83</v>
      </c>
      <c r="BS2061" s="3">
        <v>42667</v>
      </c>
      <c r="BT2061" s="4">
        <v>0.39166666666666666</v>
      </c>
      <c r="BU2061" s="2" t="s">
        <v>624</v>
      </c>
      <c r="BV2061" s="2" t="s">
        <v>85</v>
      </c>
      <c r="BW2061" s="2"/>
      <c r="BX2061" s="2"/>
      <c r="BY2061" s="2">
        <v>1200</v>
      </c>
      <c r="BZ2061" s="2"/>
      <c r="CA2061" s="2"/>
      <c r="CB2061" s="2"/>
      <c r="CC2061" s="2" t="s">
        <v>161</v>
      </c>
      <c r="CD2061" s="2">
        <v>7490</v>
      </c>
      <c r="CE2061" s="2" t="s">
        <v>108</v>
      </c>
      <c r="CF2061" s="5">
        <v>42668</v>
      </c>
      <c r="CG2061" s="2"/>
      <c r="CH2061" s="2"/>
      <c r="CI2061" s="2">
        <v>1</v>
      </c>
      <c r="CJ2061" s="2">
        <v>1</v>
      </c>
      <c r="CK2061" s="2">
        <v>21</v>
      </c>
      <c r="CL2061" s="2" t="s">
        <v>88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"FES1162508380"</f>
        <v>FES1162508380</v>
      </c>
      <c r="F2062" s="3">
        <v>42664</v>
      </c>
      <c r="G2062" s="2">
        <v>201704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160</v>
      </c>
      <c r="M2062" s="2" t="s">
        <v>161</v>
      </c>
      <c r="N2062" s="2" t="s">
        <v>999</v>
      </c>
      <c r="O2062" s="2" t="s">
        <v>96</v>
      </c>
      <c r="P2062" s="2" t="str">
        <f>"2170530670                    "</f>
        <v xml:space="preserve">2170530670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3.32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2</v>
      </c>
      <c r="BJ2062" s="2">
        <v>1.1000000000000001</v>
      </c>
      <c r="BK2062" s="2">
        <v>2</v>
      </c>
      <c r="BL2062" s="2">
        <v>40.76</v>
      </c>
      <c r="BM2062" s="2">
        <v>5.71</v>
      </c>
      <c r="BN2062" s="2">
        <v>46.47</v>
      </c>
      <c r="BO2062" s="2">
        <v>46.47</v>
      </c>
      <c r="BP2062" s="2"/>
      <c r="BQ2062" s="2" t="s">
        <v>168</v>
      </c>
      <c r="BR2062" s="2" t="s">
        <v>83</v>
      </c>
      <c r="BS2062" s="3">
        <v>42667</v>
      </c>
      <c r="BT2062" s="4">
        <v>0.41666666666666669</v>
      </c>
      <c r="BU2062" s="2" t="s">
        <v>2129</v>
      </c>
      <c r="BV2062" s="2" t="s">
        <v>85</v>
      </c>
      <c r="BW2062" s="2"/>
      <c r="BX2062" s="2"/>
      <c r="BY2062" s="2">
        <v>5320</v>
      </c>
      <c r="BZ2062" s="2"/>
      <c r="CA2062" s="2"/>
      <c r="CB2062" s="2"/>
      <c r="CC2062" s="2" t="s">
        <v>161</v>
      </c>
      <c r="CD2062" s="2">
        <v>7441</v>
      </c>
      <c r="CE2062" s="2" t="s">
        <v>86</v>
      </c>
      <c r="CF2062" s="5">
        <v>42668</v>
      </c>
      <c r="CG2062" s="2"/>
      <c r="CH2062" s="2"/>
      <c r="CI2062" s="2">
        <v>1</v>
      </c>
      <c r="CJ2062" s="2">
        <v>1</v>
      </c>
      <c r="CK2062" s="2">
        <v>21</v>
      </c>
      <c r="CL2062" s="2" t="s">
        <v>88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"FES1162508270"</f>
        <v>FES1162508270</v>
      </c>
      <c r="F2063" s="3">
        <v>42664</v>
      </c>
      <c r="G2063" s="2">
        <v>201704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160</v>
      </c>
      <c r="M2063" s="2" t="s">
        <v>161</v>
      </c>
      <c r="N2063" s="2" t="s">
        <v>279</v>
      </c>
      <c r="O2063" s="2" t="s">
        <v>96</v>
      </c>
      <c r="P2063" s="2" t="str">
        <f>"2170531441                    "</f>
        <v xml:space="preserve">2170531441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6.63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4</v>
      </c>
      <c r="BJ2063" s="2">
        <v>2</v>
      </c>
      <c r="BK2063" s="2">
        <v>4</v>
      </c>
      <c r="BL2063" s="2">
        <v>81.510000000000005</v>
      </c>
      <c r="BM2063" s="2">
        <v>11.41</v>
      </c>
      <c r="BN2063" s="2">
        <v>92.92</v>
      </c>
      <c r="BO2063" s="2">
        <v>92.92</v>
      </c>
      <c r="BP2063" s="2"/>
      <c r="BQ2063" s="2" t="s">
        <v>280</v>
      </c>
      <c r="BR2063" s="2" t="s">
        <v>83</v>
      </c>
      <c r="BS2063" s="3">
        <v>42667</v>
      </c>
      <c r="BT2063" s="4">
        <v>0.34027777777777773</v>
      </c>
      <c r="BU2063" s="2" t="s">
        <v>281</v>
      </c>
      <c r="BV2063" s="2" t="s">
        <v>85</v>
      </c>
      <c r="BW2063" s="2"/>
      <c r="BX2063" s="2"/>
      <c r="BY2063" s="2">
        <v>9810</v>
      </c>
      <c r="BZ2063" s="2"/>
      <c r="CA2063" s="2"/>
      <c r="CB2063" s="2"/>
      <c r="CC2063" s="2" t="s">
        <v>161</v>
      </c>
      <c r="CD2063" s="2">
        <v>7441</v>
      </c>
      <c r="CE2063" s="2" t="s">
        <v>86</v>
      </c>
      <c r="CF2063" s="5">
        <v>42668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88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"FES1162508645"</f>
        <v>FES1162508645</v>
      </c>
      <c r="F2064" s="3">
        <v>42664</v>
      </c>
      <c r="G2064" s="2">
        <v>201704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160</v>
      </c>
      <c r="M2064" s="2" t="s">
        <v>161</v>
      </c>
      <c r="N2064" s="2" t="s">
        <v>179</v>
      </c>
      <c r="O2064" s="2" t="s">
        <v>96</v>
      </c>
      <c r="P2064" s="2" t="str">
        <f>"2170531895                    "</f>
        <v xml:space="preserve">2170531895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7.46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4.4000000000000004</v>
      </c>
      <c r="BJ2064" s="2">
        <v>1.7</v>
      </c>
      <c r="BK2064" s="2">
        <v>4.5</v>
      </c>
      <c r="BL2064" s="2">
        <v>91.7</v>
      </c>
      <c r="BM2064" s="2">
        <v>12.84</v>
      </c>
      <c r="BN2064" s="2">
        <v>104.54</v>
      </c>
      <c r="BO2064" s="2">
        <v>104.54</v>
      </c>
      <c r="BP2064" s="2"/>
      <c r="BQ2064" s="2" t="s">
        <v>180</v>
      </c>
      <c r="BR2064" s="2" t="s">
        <v>83</v>
      </c>
      <c r="BS2064" s="3">
        <v>42667</v>
      </c>
      <c r="BT2064" s="4">
        <v>0.41666666666666669</v>
      </c>
      <c r="BU2064" s="2" t="s">
        <v>1172</v>
      </c>
      <c r="BV2064" s="2" t="s">
        <v>85</v>
      </c>
      <c r="BW2064" s="2"/>
      <c r="BX2064" s="2"/>
      <c r="BY2064" s="2">
        <v>8572.48</v>
      </c>
      <c r="BZ2064" s="2"/>
      <c r="CA2064" s="2" t="s">
        <v>129</v>
      </c>
      <c r="CB2064" s="2"/>
      <c r="CC2064" s="2" t="s">
        <v>161</v>
      </c>
      <c r="CD2064" s="2">
        <v>7405</v>
      </c>
      <c r="CE2064" s="2" t="s">
        <v>86</v>
      </c>
      <c r="CF2064" s="5">
        <v>42668</v>
      </c>
      <c r="CG2064" s="2"/>
      <c r="CH2064" s="2"/>
      <c r="CI2064" s="2">
        <v>1</v>
      </c>
      <c r="CJ2064" s="2">
        <v>1</v>
      </c>
      <c r="CK2064" s="2">
        <v>21</v>
      </c>
      <c r="CL2064" s="2" t="s">
        <v>88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"FES1162508638"</f>
        <v>FES1162508638</v>
      </c>
      <c r="F2065" s="3">
        <v>42664</v>
      </c>
      <c r="G2065" s="2">
        <v>201704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153</v>
      </c>
      <c r="M2065" s="2" t="s">
        <v>153</v>
      </c>
      <c r="N2065" s="2" t="s">
        <v>200</v>
      </c>
      <c r="O2065" s="2" t="s">
        <v>96</v>
      </c>
      <c r="P2065" s="2" t="str">
        <f>"2170529682                    "</f>
        <v xml:space="preserve">2170529682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29.85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7.5</v>
      </c>
      <c r="BJ2065" s="2">
        <v>18</v>
      </c>
      <c r="BK2065" s="2">
        <v>18</v>
      </c>
      <c r="BL2065" s="2">
        <v>366.81</v>
      </c>
      <c r="BM2065" s="2">
        <v>51.35</v>
      </c>
      <c r="BN2065" s="2">
        <v>418.16</v>
      </c>
      <c r="BO2065" s="2">
        <v>418.16</v>
      </c>
      <c r="BP2065" s="2"/>
      <c r="BQ2065" s="2" t="s">
        <v>201</v>
      </c>
      <c r="BR2065" s="2" t="s">
        <v>83</v>
      </c>
      <c r="BS2065" s="3">
        <v>42667</v>
      </c>
      <c r="BT2065" s="4">
        <v>0.51944444444444449</v>
      </c>
      <c r="BU2065" s="2" t="s">
        <v>2130</v>
      </c>
      <c r="BV2065" s="2" t="s">
        <v>85</v>
      </c>
      <c r="BW2065" s="2"/>
      <c r="BX2065" s="2"/>
      <c r="BY2065" s="2">
        <v>89939.199999999997</v>
      </c>
      <c r="BZ2065" s="2"/>
      <c r="CA2065" s="2"/>
      <c r="CB2065" s="2"/>
      <c r="CC2065" s="2" t="s">
        <v>153</v>
      </c>
      <c r="CD2065" s="2">
        <v>7646</v>
      </c>
      <c r="CE2065" s="2" t="s">
        <v>86</v>
      </c>
      <c r="CF2065" s="5">
        <v>42668</v>
      </c>
      <c r="CG2065" s="2"/>
      <c r="CH2065" s="2"/>
      <c r="CI2065" s="2">
        <v>1</v>
      </c>
      <c r="CJ2065" s="2">
        <v>1</v>
      </c>
      <c r="CK2065" s="2">
        <v>21</v>
      </c>
      <c r="CL2065" s="2" t="s">
        <v>88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"FES1162508582"</f>
        <v>FES1162508582</v>
      </c>
      <c r="F2066" s="3">
        <v>42664</v>
      </c>
      <c r="G2066" s="2">
        <v>201704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98</v>
      </c>
      <c r="M2066" s="2" t="s">
        <v>99</v>
      </c>
      <c r="N2066" s="2" t="s">
        <v>894</v>
      </c>
      <c r="O2066" s="2" t="s">
        <v>96</v>
      </c>
      <c r="P2066" s="2" t="str">
        <f>"2170531668                    "</f>
        <v xml:space="preserve">2170531668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7.46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4.3</v>
      </c>
      <c r="BJ2066" s="2">
        <v>2.1</v>
      </c>
      <c r="BK2066" s="2">
        <v>4.5</v>
      </c>
      <c r="BL2066" s="2">
        <v>91.7</v>
      </c>
      <c r="BM2066" s="2">
        <v>12.84</v>
      </c>
      <c r="BN2066" s="2">
        <v>104.54</v>
      </c>
      <c r="BO2066" s="2">
        <v>104.54</v>
      </c>
      <c r="BP2066" s="2"/>
      <c r="BQ2066" s="2" t="s">
        <v>895</v>
      </c>
      <c r="BR2066" s="2" t="s">
        <v>83</v>
      </c>
      <c r="BS2066" s="3">
        <v>42667</v>
      </c>
      <c r="BT2066" s="4">
        <v>0.30555555555555552</v>
      </c>
      <c r="BU2066" s="2" t="s">
        <v>2045</v>
      </c>
      <c r="BV2066" s="2" t="s">
        <v>85</v>
      </c>
      <c r="BW2066" s="2"/>
      <c r="BX2066" s="2"/>
      <c r="BY2066" s="2">
        <v>10320</v>
      </c>
      <c r="BZ2066" s="2"/>
      <c r="CA2066" s="2"/>
      <c r="CB2066" s="2"/>
      <c r="CC2066" s="2" t="s">
        <v>99</v>
      </c>
      <c r="CD2066" s="2">
        <v>6012</v>
      </c>
      <c r="CE2066" s="2" t="s">
        <v>86</v>
      </c>
      <c r="CF2066" s="5">
        <v>42667</v>
      </c>
      <c r="CG2066" s="2"/>
      <c r="CH2066" s="2"/>
      <c r="CI2066" s="2">
        <v>1</v>
      </c>
      <c r="CJ2066" s="2">
        <v>1</v>
      </c>
      <c r="CK2066" s="2">
        <v>21</v>
      </c>
      <c r="CL2066" s="2" t="s">
        <v>88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"FES1162508601"</f>
        <v>FES1162508601</v>
      </c>
      <c r="F2067" s="3">
        <v>42664</v>
      </c>
      <c r="G2067" s="2">
        <v>201704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143</v>
      </c>
      <c r="M2067" s="2" t="s">
        <v>144</v>
      </c>
      <c r="N2067" s="2" t="s">
        <v>2131</v>
      </c>
      <c r="O2067" s="2" t="s">
        <v>96</v>
      </c>
      <c r="P2067" s="2" t="str">
        <f>"2170523587                    "</f>
        <v xml:space="preserve">2170523587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10.78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6.2</v>
      </c>
      <c r="BJ2067" s="2">
        <v>5.3</v>
      </c>
      <c r="BK2067" s="2">
        <v>6.5</v>
      </c>
      <c r="BL2067" s="2">
        <v>132.46</v>
      </c>
      <c r="BM2067" s="2">
        <v>18.54</v>
      </c>
      <c r="BN2067" s="2">
        <v>151</v>
      </c>
      <c r="BO2067" s="2">
        <v>151</v>
      </c>
      <c r="BP2067" s="2"/>
      <c r="BQ2067" s="2" t="s">
        <v>2132</v>
      </c>
      <c r="BR2067" s="2" t="s">
        <v>83</v>
      </c>
      <c r="BS2067" s="3">
        <v>42667</v>
      </c>
      <c r="BT2067" s="4">
        <v>0.43611111111111112</v>
      </c>
      <c r="BU2067" s="2" t="s">
        <v>2133</v>
      </c>
      <c r="BV2067" s="2" t="s">
        <v>85</v>
      </c>
      <c r="BW2067" s="2"/>
      <c r="BX2067" s="2"/>
      <c r="BY2067" s="2">
        <v>26321.29</v>
      </c>
      <c r="BZ2067" s="2"/>
      <c r="CA2067" s="2" t="s">
        <v>129</v>
      </c>
      <c r="CB2067" s="2"/>
      <c r="CC2067" s="2" t="s">
        <v>144</v>
      </c>
      <c r="CD2067" s="2">
        <v>5201</v>
      </c>
      <c r="CE2067" s="2" t="s">
        <v>86</v>
      </c>
      <c r="CF2067" s="5">
        <v>42669</v>
      </c>
      <c r="CG2067" s="2"/>
      <c r="CH2067" s="2"/>
      <c r="CI2067" s="2">
        <v>1</v>
      </c>
      <c r="CJ2067" s="2">
        <v>1</v>
      </c>
      <c r="CK2067" s="2">
        <v>21</v>
      </c>
      <c r="CL2067" s="2" t="s">
        <v>88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"FES1162508584"</f>
        <v>FES1162508584</v>
      </c>
      <c r="F2068" s="3">
        <v>42664</v>
      </c>
      <c r="G2068" s="2">
        <v>201704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153</v>
      </c>
      <c r="M2068" s="2" t="s">
        <v>153</v>
      </c>
      <c r="N2068" s="2" t="s">
        <v>200</v>
      </c>
      <c r="O2068" s="2" t="s">
        <v>96</v>
      </c>
      <c r="P2068" s="2" t="str">
        <f>"2170531707                    "</f>
        <v xml:space="preserve">2170531707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10.78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6.2</v>
      </c>
      <c r="BJ2068" s="2">
        <v>3.3</v>
      </c>
      <c r="BK2068" s="2">
        <v>6.5</v>
      </c>
      <c r="BL2068" s="2">
        <v>132.46</v>
      </c>
      <c r="BM2068" s="2">
        <v>18.54</v>
      </c>
      <c r="BN2068" s="2">
        <v>151</v>
      </c>
      <c r="BO2068" s="2">
        <v>151</v>
      </c>
      <c r="BP2068" s="2"/>
      <c r="BQ2068" s="2" t="s">
        <v>201</v>
      </c>
      <c r="BR2068" s="2" t="s">
        <v>83</v>
      </c>
      <c r="BS2068" s="3">
        <v>42667</v>
      </c>
      <c r="BT2068" s="4">
        <v>0.51944444444444449</v>
      </c>
      <c r="BU2068" s="2" t="s">
        <v>2130</v>
      </c>
      <c r="BV2068" s="2" t="s">
        <v>85</v>
      </c>
      <c r="BW2068" s="2"/>
      <c r="BX2068" s="2"/>
      <c r="BY2068" s="2">
        <v>16723.849999999999</v>
      </c>
      <c r="BZ2068" s="2"/>
      <c r="CA2068" s="2"/>
      <c r="CB2068" s="2"/>
      <c r="CC2068" s="2" t="s">
        <v>153</v>
      </c>
      <c r="CD2068" s="2">
        <v>7646</v>
      </c>
      <c r="CE2068" s="2" t="s">
        <v>86</v>
      </c>
      <c r="CF2068" s="5">
        <v>42668</v>
      </c>
      <c r="CG2068" s="2"/>
      <c r="CH2068" s="2"/>
      <c r="CI2068" s="2">
        <v>1</v>
      </c>
      <c r="CJ2068" s="2">
        <v>1</v>
      </c>
      <c r="CK2068" s="2">
        <v>21</v>
      </c>
      <c r="CL2068" s="2" t="s">
        <v>88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"FES1162508639"</f>
        <v>FES1162508639</v>
      </c>
      <c r="F2069" s="3">
        <v>42664</v>
      </c>
      <c r="G2069" s="2">
        <v>201704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160</v>
      </c>
      <c r="M2069" s="2" t="s">
        <v>161</v>
      </c>
      <c r="N2069" s="2" t="s">
        <v>236</v>
      </c>
      <c r="O2069" s="2" t="s">
        <v>96</v>
      </c>
      <c r="P2069" s="2" t="str">
        <f>"1162508516                    "</f>
        <v xml:space="preserve">1162508516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9.1199999999999992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5.3</v>
      </c>
      <c r="BJ2069" s="2">
        <v>4.3</v>
      </c>
      <c r="BK2069" s="2">
        <v>5.5</v>
      </c>
      <c r="BL2069" s="2">
        <v>112.08</v>
      </c>
      <c r="BM2069" s="2">
        <v>15.69</v>
      </c>
      <c r="BN2069" s="2">
        <v>127.77</v>
      </c>
      <c r="BO2069" s="2">
        <v>127.77</v>
      </c>
      <c r="BP2069" s="2"/>
      <c r="BQ2069" s="2" t="s">
        <v>237</v>
      </c>
      <c r="BR2069" s="2" t="s">
        <v>83</v>
      </c>
      <c r="BS2069" s="3">
        <v>42667</v>
      </c>
      <c r="BT2069" s="4">
        <v>0.41666666666666669</v>
      </c>
      <c r="BU2069" s="2" t="s">
        <v>2134</v>
      </c>
      <c r="BV2069" s="2" t="s">
        <v>85</v>
      </c>
      <c r="BW2069" s="2"/>
      <c r="BX2069" s="2"/>
      <c r="BY2069" s="2">
        <v>21480.23</v>
      </c>
      <c r="BZ2069" s="2"/>
      <c r="CA2069" s="2" t="s">
        <v>129</v>
      </c>
      <c r="CB2069" s="2"/>
      <c r="CC2069" s="2" t="s">
        <v>161</v>
      </c>
      <c r="CD2069" s="2">
        <v>7405</v>
      </c>
      <c r="CE2069" s="2" t="s">
        <v>86</v>
      </c>
      <c r="CF2069" s="5">
        <v>42668</v>
      </c>
      <c r="CG2069" s="2"/>
      <c r="CH2069" s="2"/>
      <c r="CI2069" s="2">
        <v>1</v>
      </c>
      <c r="CJ2069" s="2">
        <v>1</v>
      </c>
      <c r="CK2069" s="2">
        <v>21</v>
      </c>
      <c r="CL2069" s="2" t="s">
        <v>88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"FES1162508623"</f>
        <v>FES1162508623</v>
      </c>
      <c r="F2070" s="3">
        <v>42664</v>
      </c>
      <c r="G2070" s="2">
        <v>201704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143</v>
      </c>
      <c r="M2070" s="2" t="s">
        <v>144</v>
      </c>
      <c r="N2070" s="2" t="s">
        <v>273</v>
      </c>
      <c r="O2070" s="2" t="s">
        <v>96</v>
      </c>
      <c r="P2070" s="2" t="str">
        <f>"2170518072                    "</f>
        <v xml:space="preserve">2170518072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31.51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17.8</v>
      </c>
      <c r="BJ2070" s="2">
        <v>18.8</v>
      </c>
      <c r="BK2070" s="2">
        <v>19</v>
      </c>
      <c r="BL2070" s="2">
        <v>387.19</v>
      </c>
      <c r="BM2070" s="2">
        <v>54.21</v>
      </c>
      <c r="BN2070" s="2">
        <v>441.4</v>
      </c>
      <c r="BO2070" s="2">
        <v>441.4</v>
      </c>
      <c r="BP2070" s="2"/>
      <c r="BQ2070" s="2" t="s">
        <v>274</v>
      </c>
      <c r="BR2070" s="2" t="s">
        <v>83</v>
      </c>
      <c r="BS2070" s="3">
        <v>42667</v>
      </c>
      <c r="BT2070" s="4">
        <v>0.41666666666666669</v>
      </c>
      <c r="BU2070" s="2" t="s">
        <v>2135</v>
      </c>
      <c r="BV2070" s="2" t="s">
        <v>85</v>
      </c>
      <c r="BW2070" s="2"/>
      <c r="BX2070" s="2"/>
      <c r="BY2070" s="2">
        <v>93997.65</v>
      </c>
      <c r="BZ2070" s="2"/>
      <c r="CA2070" s="2"/>
      <c r="CB2070" s="2"/>
      <c r="CC2070" s="2" t="s">
        <v>144</v>
      </c>
      <c r="CD2070" s="2">
        <v>5201</v>
      </c>
      <c r="CE2070" s="2" t="s">
        <v>86</v>
      </c>
      <c r="CF2070" s="5">
        <v>42669</v>
      </c>
      <c r="CG2070" s="2"/>
      <c r="CH2070" s="2"/>
      <c r="CI2070" s="2">
        <v>1</v>
      </c>
      <c r="CJ2070" s="2">
        <v>1</v>
      </c>
      <c r="CK2070" s="2">
        <v>21</v>
      </c>
      <c r="CL2070" s="2" t="s">
        <v>88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"FES1162508586"</f>
        <v>FES1162508586</v>
      </c>
      <c r="F2071" s="3">
        <v>42664</v>
      </c>
      <c r="G2071" s="2">
        <v>201704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160</v>
      </c>
      <c r="M2071" s="2" t="s">
        <v>161</v>
      </c>
      <c r="N2071" s="2" t="s">
        <v>859</v>
      </c>
      <c r="O2071" s="2" t="s">
        <v>96</v>
      </c>
      <c r="P2071" s="2" t="str">
        <f>"2170531858                    "</f>
        <v xml:space="preserve">2170531858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3.32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1</v>
      </c>
      <c r="BJ2071" s="2">
        <v>0.2</v>
      </c>
      <c r="BK2071" s="2">
        <v>1</v>
      </c>
      <c r="BL2071" s="2">
        <v>40.76</v>
      </c>
      <c r="BM2071" s="2">
        <v>5.71</v>
      </c>
      <c r="BN2071" s="2">
        <v>46.47</v>
      </c>
      <c r="BO2071" s="2">
        <v>46.47</v>
      </c>
      <c r="BP2071" s="2"/>
      <c r="BQ2071" s="2" t="s">
        <v>82</v>
      </c>
      <c r="BR2071" s="2" t="s">
        <v>83</v>
      </c>
      <c r="BS2071" s="3">
        <v>42667</v>
      </c>
      <c r="BT2071" s="4">
        <v>0.40277777777777773</v>
      </c>
      <c r="BU2071" s="2" t="s">
        <v>1384</v>
      </c>
      <c r="BV2071" s="2" t="s">
        <v>85</v>
      </c>
      <c r="BW2071" s="2"/>
      <c r="BX2071" s="2"/>
      <c r="BY2071" s="2">
        <v>1200</v>
      </c>
      <c r="BZ2071" s="2"/>
      <c r="CA2071" s="2"/>
      <c r="CB2071" s="2"/>
      <c r="CC2071" s="2" t="s">
        <v>161</v>
      </c>
      <c r="CD2071" s="2">
        <v>7780</v>
      </c>
      <c r="CE2071" s="2" t="s">
        <v>108</v>
      </c>
      <c r="CF2071" s="5">
        <v>42668</v>
      </c>
      <c r="CG2071" s="2"/>
      <c r="CH2071" s="2"/>
      <c r="CI2071" s="2">
        <v>1</v>
      </c>
      <c r="CJ2071" s="2">
        <v>1</v>
      </c>
      <c r="CK2071" s="2">
        <v>21</v>
      </c>
      <c r="CL2071" s="2" t="s">
        <v>88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"FES1162508588"</f>
        <v>FES1162508588</v>
      </c>
      <c r="F2072" s="3">
        <v>42664</v>
      </c>
      <c r="G2072" s="2">
        <v>201704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160</v>
      </c>
      <c r="M2072" s="2" t="s">
        <v>161</v>
      </c>
      <c r="N2072" s="2" t="s">
        <v>176</v>
      </c>
      <c r="O2072" s="2" t="s">
        <v>96</v>
      </c>
      <c r="P2072" s="2" t="str">
        <f>"2170531860                    "</f>
        <v xml:space="preserve">2170531860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7.46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4.4000000000000004</v>
      </c>
      <c r="BJ2072" s="2">
        <v>0.2</v>
      </c>
      <c r="BK2072" s="2">
        <v>4.5</v>
      </c>
      <c r="BL2072" s="2">
        <v>91.7</v>
      </c>
      <c r="BM2072" s="2">
        <v>12.84</v>
      </c>
      <c r="BN2072" s="2">
        <v>104.54</v>
      </c>
      <c r="BO2072" s="2">
        <v>104.54</v>
      </c>
      <c r="BP2072" s="2"/>
      <c r="BQ2072" s="2" t="s">
        <v>258</v>
      </c>
      <c r="BR2072" s="2" t="s">
        <v>83</v>
      </c>
      <c r="BS2072" s="3">
        <v>42667</v>
      </c>
      <c r="BT2072" s="4">
        <v>0.41666666666666669</v>
      </c>
      <c r="BU2072" s="2" t="s">
        <v>725</v>
      </c>
      <c r="BV2072" s="2" t="s">
        <v>85</v>
      </c>
      <c r="BW2072" s="2"/>
      <c r="BX2072" s="2"/>
      <c r="BY2072" s="2">
        <v>1200</v>
      </c>
      <c r="BZ2072" s="2"/>
      <c r="CA2072" s="2" t="s">
        <v>129</v>
      </c>
      <c r="CB2072" s="2"/>
      <c r="CC2072" s="2" t="s">
        <v>161</v>
      </c>
      <c r="CD2072" s="2">
        <v>7405</v>
      </c>
      <c r="CE2072" s="2" t="s">
        <v>108</v>
      </c>
      <c r="CF2072" s="5">
        <v>42668</v>
      </c>
      <c r="CG2072" s="2"/>
      <c r="CH2072" s="2"/>
      <c r="CI2072" s="2">
        <v>1</v>
      </c>
      <c r="CJ2072" s="2">
        <v>1</v>
      </c>
      <c r="CK2072" s="2">
        <v>21</v>
      </c>
      <c r="CL2072" s="2" t="s">
        <v>88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"FES1162508636"</f>
        <v>FES1162508636</v>
      </c>
      <c r="F2073" s="3">
        <v>42664</v>
      </c>
      <c r="G2073" s="2">
        <v>201704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377</v>
      </c>
      <c r="M2073" s="2" t="s">
        <v>378</v>
      </c>
      <c r="N2073" s="2" t="s">
        <v>379</v>
      </c>
      <c r="O2073" s="2" t="s">
        <v>96</v>
      </c>
      <c r="P2073" s="2" t="str">
        <f>"2170529823                    "</f>
        <v xml:space="preserve">2170529823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3.32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1</v>
      </c>
      <c r="BJ2073" s="2">
        <v>0.2</v>
      </c>
      <c r="BK2073" s="2">
        <v>1</v>
      </c>
      <c r="BL2073" s="2">
        <v>40.76</v>
      </c>
      <c r="BM2073" s="2">
        <v>5.71</v>
      </c>
      <c r="BN2073" s="2">
        <v>46.47</v>
      </c>
      <c r="BO2073" s="2">
        <v>46.47</v>
      </c>
      <c r="BP2073" s="2"/>
      <c r="BQ2073" s="2" t="s">
        <v>382</v>
      </c>
      <c r="BR2073" s="2" t="s">
        <v>83</v>
      </c>
      <c r="BS2073" s="3">
        <v>42667</v>
      </c>
      <c r="BT2073" s="4">
        <v>0.43055555555555558</v>
      </c>
      <c r="BU2073" s="2" t="s">
        <v>1362</v>
      </c>
      <c r="BV2073" s="2" t="s">
        <v>85</v>
      </c>
      <c r="BW2073" s="2"/>
      <c r="BX2073" s="2"/>
      <c r="BY2073" s="2">
        <v>1200</v>
      </c>
      <c r="BZ2073" s="2"/>
      <c r="CA2073" s="2" t="s">
        <v>535</v>
      </c>
      <c r="CB2073" s="2"/>
      <c r="CC2073" s="2" t="s">
        <v>378</v>
      </c>
      <c r="CD2073" s="2">
        <v>6536</v>
      </c>
      <c r="CE2073" s="2" t="s">
        <v>108</v>
      </c>
      <c r="CF2073" s="5">
        <v>42667</v>
      </c>
      <c r="CG2073" s="2"/>
      <c r="CH2073" s="2"/>
      <c r="CI2073" s="2">
        <v>1</v>
      </c>
      <c r="CJ2073" s="2">
        <v>1</v>
      </c>
      <c r="CK2073" s="2">
        <v>21</v>
      </c>
      <c r="CL2073" s="2" t="s">
        <v>88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"FES1162508641"</f>
        <v>FES1162508641</v>
      </c>
      <c r="F2074" s="3">
        <v>42664</v>
      </c>
      <c r="G2074" s="2">
        <v>201704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98</v>
      </c>
      <c r="M2074" s="2" t="s">
        <v>99</v>
      </c>
      <c r="N2074" s="2" t="s">
        <v>133</v>
      </c>
      <c r="O2074" s="2" t="s">
        <v>96</v>
      </c>
      <c r="P2074" s="2" t="str">
        <f>"2170529749                    "</f>
        <v xml:space="preserve">2170529749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3.32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1</v>
      </c>
      <c r="BJ2074" s="2">
        <v>0.2</v>
      </c>
      <c r="BK2074" s="2">
        <v>1</v>
      </c>
      <c r="BL2074" s="2">
        <v>40.76</v>
      </c>
      <c r="BM2074" s="2">
        <v>5.71</v>
      </c>
      <c r="BN2074" s="2">
        <v>46.47</v>
      </c>
      <c r="BO2074" s="2">
        <v>46.47</v>
      </c>
      <c r="BP2074" s="2"/>
      <c r="BQ2074" s="2" t="s">
        <v>134</v>
      </c>
      <c r="BR2074" s="2" t="s">
        <v>83</v>
      </c>
      <c r="BS2074" s="3">
        <v>42667</v>
      </c>
      <c r="BT2074" s="4">
        <v>0.3756944444444445</v>
      </c>
      <c r="BU2074" s="2" t="s">
        <v>1266</v>
      </c>
      <c r="BV2074" s="2" t="s">
        <v>85</v>
      </c>
      <c r="BW2074" s="2"/>
      <c r="BX2074" s="2"/>
      <c r="BY2074" s="2">
        <v>1200</v>
      </c>
      <c r="BZ2074" s="2"/>
      <c r="CA2074" s="2"/>
      <c r="CB2074" s="2"/>
      <c r="CC2074" s="2" t="s">
        <v>99</v>
      </c>
      <c r="CD2074" s="2">
        <v>6001</v>
      </c>
      <c r="CE2074" s="2" t="s">
        <v>108</v>
      </c>
      <c r="CF2074" s="5">
        <v>42668</v>
      </c>
      <c r="CG2074" s="2"/>
      <c r="CH2074" s="2"/>
      <c r="CI2074" s="2">
        <v>1</v>
      </c>
      <c r="CJ2074" s="2">
        <v>1</v>
      </c>
      <c r="CK2074" s="2">
        <v>21</v>
      </c>
      <c r="CL2074" s="2" t="s">
        <v>88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"FES1162508640"</f>
        <v>FES1162508640</v>
      </c>
      <c r="F2075" s="3">
        <v>42664</v>
      </c>
      <c r="G2075" s="2">
        <v>201704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98</v>
      </c>
      <c r="M2075" s="2" t="s">
        <v>99</v>
      </c>
      <c r="N2075" s="2" t="s">
        <v>2136</v>
      </c>
      <c r="O2075" s="2" t="s">
        <v>96</v>
      </c>
      <c r="P2075" s="2" t="str">
        <f>"2170529773                    "</f>
        <v xml:space="preserve">2170529773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3.32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1</v>
      </c>
      <c r="BJ2075" s="2">
        <v>0.2</v>
      </c>
      <c r="BK2075" s="2">
        <v>1</v>
      </c>
      <c r="BL2075" s="2">
        <v>40.76</v>
      </c>
      <c r="BM2075" s="2">
        <v>5.71</v>
      </c>
      <c r="BN2075" s="2">
        <v>46.47</v>
      </c>
      <c r="BO2075" s="2">
        <v>46.47</v>
      </c>
      <c r="BP2075" s="2"/>
      <c r="BQ2075" s="2" t="s">
        <v>2137</v>
      </c>
      <c r="BR2075" s="2" t="s">
        <v>83</v>
      </c>
      <c r="BS2075" s="3">
        <v>42667</v>
      </c>
      <c r="BT2075" s="4">
        <v>0.39444444444444443</v>
      </c>
      <c r="BU2075" s="2" t="s">
        <v>2138</v>
      </c>
      <c r="BV2075" s="2"/>
      <c r="BW2075" s="2"/>
      <c r="BX2075" s="2"/>
      <c r="BY2075" s="2">
        <v>1200</v>
      </c>
      <c r="BZ2075" s="2"/>
      <c r="CA2075" s="2"/>
      <c r="CB2075" s="2"/>
      <c r="CC2075" s="2" t="s">
        <v>99</v>
      </c>
      <c r="CD2075" s="2">
        <v>6000</v>
      </c>
      <c r="CE2075" s="2" t="s">
        <v>108</v>
      </c>
      <c r="CF2075" s="5">
        <v>42668</v>
      </c>
      <c r="CG2075" s="2"/>
      <c r="CH2075" s="2"/>
      <c r="CI2075" s="2">
        <v>0</v>
      </c>
      <c r="CJ2075" s="2">
        <v>0</v>
      </c>
      <c r="CK2075" s="2">
        <v>21</v>
      </c>
      <c r="CL2075" s="2" t="s">
        <v>88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"FES1162508615"</f>
        <v>FES1162508615</v>
      </c>
      <c r="F2076" s="3">
        <v>42664</v>
      </c>
      <c r="G2076" s="2">
        <v>201704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153</v>
      </c>
      <c r="M2076" s="2" t="s">
        <v>153</v>
      </c>
      <c r="N2076" s="2" t="s">
        <v>757</v>
      </c>
      <c r="O2076" s="2" t="s">
        <v>96</v>
      </c>
      <c r="P2076" s="2" t="str">
        <f>"2170531884                    "</f>
        <v xml:space="preserve">2170531884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5.81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3.3</v>
      </c>
      <c r="BJ2076" s="2">
        <v>3.3</v>
      </c>
      <c r="BK2076" s="2">
        <v>3.5</v>
      </c>
      <c r="BL2076" s="2">
        <v>71.33</v>
      </c>
      <c r="BM2076" s="2">
        <v>9.99</v>
      </c>
      <c r="BN2076" s="2">
        <v>81.319999999999993</v>
      </c>
      <c r="BO2076" s="2">
        <v>81.319999999999993</v>
      </c>
      <c r="BP2076" s="2"/>
      <c r="BQ2076" s="2" t="s">
        <v>91</v>
      </c>
      <c r="BR2076" s="2" t="s">
        <v>83</v>
      </c>
      <c r="BS2076" s="3">
        <v>42667</v>
      </c>
      <c r="BT2076" s="4">
        <v>0.47986111111111113</v>
      </c>
      <c r="BU2076" s="2" t="s">
        <v>2139</v>
      </c>
      <c r="BV2076" s="2" t="s">
        <v>85</v>
      </c>
      <c r="BW2076" s="2"/>
      <c r="BX2076" s="2"/>
      <c r="BY2076" s="2">
        <v>16638.16</v>
      </c>
      <c r="BZ2076" s="2"/>
      <c r="CA2076" s="2"/>
      <c r="CB2076" s="2"/>
      <c r="CC2076" s="2" t="s">
        <v>153</v>
      </c>
      <c r="CD2076" s="2">
        <v>7646</v>
      </c>
      <c r="CE2076" s="2" t="s">
        <v>86</v>
      </c>
      <c r="CF2076" s="5">
        <v>42668</v>
      </c>
      <c r="CG2076" s="2"/>
      <c r="CH2076" s="2"/>
      <c r="CI2076" s="2">
        <v>1</v>
      </c>
      <c r="CJ2076" s="2">
        <v>1</v>
      </c>
      <c r="CK2076" s="2">
        <v>21</v>
      </c>
      <c r="CL2076" s="2" t="s">
        <v>88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"009932186819"</f>
        <v>009932186819</v>
      </c>
      <c r="F2077" s="3">
        <v>42664</v>
      </c>
      <c r="G2077" s="2">
        <v>201704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148</v>
      </c>
      <c r="M2077" s="2" t="s">
        <v>149</v>
      </c>
      <c r="N2077" s="2" t="s">
        <v>293</v>
      </c>
      <c r="O2077" s="2" t="s">
        <v>96</v>
      </c>
      <c r="P2077" s="2" t="str">
        <f>"KAREN MULLER                  "</f>
        <v xml:space="preserve">KAREN MULLER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3.32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</v>
      </c>
      <c r="BJ2077" s="2">
        <v>0.2</v>
      </c>
      <c r="BK2077" s="2">
        <v>1</v>
      </c>
      <c r="BL2077" s="2">
        <v>40.76</v>
      </c>
      <c r="BM2077" s="2">
        <v>5.71</v>
      </c>
      <c r="BN2077" s="2">
        <v>46.47</v>
      </c>
      <c r="BO2077" s="2">
        <v>46.47</v>
      </c>
      <c r="BP2077" s="2"/>
      <c r="BQ2077" s="2" t="s">
        <v>1352</v>
      </c>
      <c r="BR2077" s="2" t="s">
        <v>83</v>
      </c>
      <c r="BS2077" s="3">
        <v>42667</v>
      </c>
      <c r="BT2077" s="4">
        <v>0.4375</v>
      </c>
      <c r="BU2077" s="2" t="s">
        <v>2140</v>
      </c>
      <c r="BV2077" s="2" t="s">
        <v>85</v>
      </c>
      <c r="BW2077" s="2"/>
      <c r="BX2077" s="2"/>
      <c r="BY2077" s="2">
        <v>1200</v>
      </c>
      <c r="BZ2077" s="2"/>
      <c r="CA2077" s="2"/>
      <c r="CB2077" s="2"/>
      <c r="CC2077" s="2" t="s">
        <v>149</v>
      </c>
      <c r="CD2077" s="2">
        <v>4051</v>
      </c>
      <c r="CE2077" s="2" t="s">
        <v>108</v>
      </c>
      <c r="CF2077" s="5">
        <v>42668</v>
      </c>
      <c r="CG2077" s="2"/>
      <c r="CH2077" s="2"/>
      <c r="CI2077" s="2">
        <v>1</v>
      </c>
      <c r="CJ2077" s="2">
        <v>1</v>
      </c>
      <c r="CK2077" s="2">
        <v>21</v>
      </c>
      <c r="CL2077" s="2" t="s">
        <v>88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"FES1162508597"</f>
        <v>FES1162508597</v>
      </c>
      <c r="F2078" s="3">
        <v>42664</v>
      </c>
      <c r="G2078" s="2">
        <v>201704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160</v>
      </c>
      <c r="M2078" s="2" t="s">
        <v>161</v>
      </c>
      <c r="N2078" s="2" t="s">
        <v>411</v>
      </c>
      <c r="O2078" s="2" t="s">
        <v>96</v>
      </c>
      <c r="P2078" s="2" t="str">
        <f>"2170528659                    "</f>
        <v xml:space="preserve">2170528659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3.32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</v>
      </c>
      <c r="BJ2078" s="2">
        <v>0.2</v>
      </c>
      <c r="BK2078" s="2">
        <v>1</v>
      </c>
      <c r="BL2078" s="2">
        <v>40.76</v>
      </c>
      <c r="BM2078" s="2">
        <v>5.71</v>
      </c>
      <c r="BN2078" s="2">
        <v>46.47</v>
      </c>
      <c r="BO2078" s="2">
        <v>46.47</v>
      </c>
      <c r="BP2078" s="2"/>
      <c r="BQ2078" s="2" t="s">
        <v>412</v>
      </c>
      <c r="BR2078" s="2" t="s">
        <v>83</v>
      </c>
      <c r="BS2078" s="3">
        <v>42667</v>
      </c>
      <c r="BT2078" s="4">
        <v>0.40277777777777773</v>
      </c>
      <c r="BU2078" s="2" t="s">
        <v>413</v>
      </c>
      <c r="BV2078" s="2" t="s">
        <v>85</v>
      </c>
      <c r="BW2078" s="2"/>
      <c r="BX2078" s="2"/>
      <c r="BY2078" s="2">
        <v>1200</v>
      </c>
      <c r="BZ2078" s="2"/>
      <c r="CA2078" s="2"/>
      <c r="CB2078" s="2"/>
      <c r="CC2078" s="2" t="s">
        <v>161</v>
      </c>
      <c r="CD2078" s="2">
        <v>7945</v>
      </c>
      <c r="CE2078" s="2" t="s">
        <v>108</v>
      </c>
      <c r="CF2078" s="5">
        <v>42668</v>
      </c>
      <c r="CG2078" s="2"/>
      <c r="CH2078" s="2"/>
      <c r="CI2078" s="2">
        <v>1</v>
      </c>
      <c r="CJ2078" s="2">
        <v>1</v>
      </c>
      <c r="CK2078" s="2">
        <v>21</v>
      </c>
      <c r="CL2078" s="2" t="s">
        <v>88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"FES1162508624"</f>
        <v>FES1162508624</v>
      </c>
      <c r="F2079" s="3">
        <v>42664</v>
      </c>
      <c r="G2079" s="2">
        <v>201704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160</v>
      </c>
      <c r="M2079" s="2" t="s">
        <v>161</v>
      </c>
      <c r="N2079" s="2" t="s">
        <v>1588</v>
      </c>
      <c r="O2079" s="2" t="s">
        <v>96</v>
      </c>
      <c r="P2079" s="2" t="str">
        <f>"2170529464                    "</f>
        <v xml:space="preserve">2170529464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3.32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40.76</v>
      </c>
      <c r="BM2079" s="2">
        <v>5.71</v>
      </c>
      <c r="BN2079" s="2">
        <v>46.47</v>
      </c>
      <c r="BO2079" s="2">
        <v>46.47</v>
      </c>
      <c r="BP2079" s="2"/>
      <c r="BQ2079" s="2" t="s">
        <v>1589</v>
      </c>
      <c r="BR2079" s="2" t="s">
        <v>83</v>
      </c>
      <c r="BS2079" s="3">
        <v>42667</v>
      </c>
      <c r="BT2079" s="4">
        <v>0.375</v>
      </c>
      <c r="BU2079" s="2" t="s">
        <v>2110</v>
      </c>
      <c r="BV2079" s="2" t="s">
        <v>85</v>
      </c>
      <c r="BW2079" s="2"/>
      <c r="BX2079" s="2"/>
      <c r="BY2079" s="2">
        <v>1200</v>
      </c>
      <c r="BZ2079" s="2"/>
      <c r="CA2079" s="2"/>
      <c r="CB2079" s="2"/>
      <c r="CC2079" s="2" t="s">
        <v>161</v>
      </c>
      <c r="CD2079" s="2">
        <v>7945</v>
      </c>
      <c r="CE2079" s="2" t="s">
        <v>108</v>
      </c>
      <c r="CF2079" s="5">
        <v>42668</v>
      </c>
      <c r="CG2079" s="2"/>
      <c r="CH2079" s="2"/>
      <c r="CI2079" s="2">
        <v>1</v>
      </c>
      <c r="CJ2079" s="2">
        <v>1</v>
      </c>
      <c r="CK2079" s="2">
        <v>21</v>
      </c>
      <c r="CL2079" s="2" t="s">
        <v>88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"FES1162508628"</f>
        <v>FES1162508628</v>
      </c>
      <c r="F2080" s="3">
        <v>42664</v>
      </c>
      <c r="G2080" s="2">
        <v>201704</v>
      </c>
      <c r="H2080" s="2" t="s">
        <v>74</v>
      </c>
      <c r="I2080" s="2" t="s">
        <v>75</v>
      </c>
      <c r="J2080" s="2" t="s">
        <v>76</v>
      </c>
      <c r="K2080" s="2" t="s">
        <v>77</v>
      </c>
      <c r="L2080" s="2" t="s">
        <v>148</v>
      </c>
      <c r="M2080" s="2" t="s">
        <v>149</v>
      </c>
      <c r="N2080" s="2" t="s">
        <v>2091</v>
      </c>
      <c r="O2080" s="2" t="s">
        <v>96</v>
      </c>
      <c r="P2080" s="2" t="str">
        <f>"2170528909                    "</f>
        <v xml:space="preserve">2170528909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13.27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8</v>
      </c>
      <c r="BJ2080" s="2">
        <v>3.5</v>
      </c>
      <c r="BK2080" s="2">
        <v>8</v>
      </c>
      <c r="BL2080" s="2">
        <v>163.03</v>
      </c>
      <c r="BM2080" s="2">
        <v>22.82</v>
      </c>
      <c r="BN2080" s="2">
        <v>185.85</v>
      </c>
      <c r="BO2080" s="2">
        <v>185.85</v>
      </c>
      <c r="BP2080" s="2"/>
      <c r="BQ2080" s="2" t="s">
        <v>117</v>
      </c>
      <c r="BR2080" s="2" t="s">
        <v>83</v>
      </c>
      <c r="BS2080" s="3">
        <v>42667</v>
      </c>
      <c r="BT2080" s="4">
        <v>0.4375</v>
      </c>
      <c r="BU2080" s="2" t="s">
        <v>2092</v>
      </c>
      <c r="BV2080" s="2" t="s">
        <v>85</v>
      </c>
      <c r="BW2080" s="2"/>
      <c r="BX2080" s="2"/>
      <c r="BY2080" s="2">
        <v>17564.54</v>
      </c>
      <c r="BZ2080" s="2"/>
      <c r="CA2080" s="2"/>
      <c r="CB2080" s="2"/>
      <c r="CC2080" s="2" t="s">
        <v>149</v>
      </c>
      <c r="CD2080" s="2">
        <v>4052</v>
      </c>
      <c r="CE2080" s="2" t="s">
        <v>86</v>
      </c>
      <c r="CF2080" s="5">
        <v>42668</v>
      </c>
      <c r="CG2080" s="2"/>
      <c r="CH2080" s="2"/>
      <c r="CI2080" s="2">
        <v>1</v>
      </c>
      <c r="CJ2080" s="2">
        <v>1</v>
      </c>
      <c r="CK2080" s="2">
        <v>21</v>
      </c>
      <c r="CL2080" s="2" t="s">
        <v>88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"FES1162508625"</f>
        <v>FES1162508625</v>
      </c>
      <c r="F2081" s="3">
        <v>42664</v>
      </c>
      <c r="G2081" s="2">
        <v>201704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160</v>
      </c>
      <c r="M2081" s="2" t="s">
        <v>161</v>
      </c>
      <c r="N2081" s="2" t="s">
        <v>411</v>
      </c>
      <c r="O2081" s="2" t="s">
        <v>96</v>
      </c>
      <c r="P2081" s="2" t="str">
        <f>"2170529927                    "</f>
        <v xml:space="preserve">2170529927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3.32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</v>
      </c>
      <c r="BJ2081" s="2">
        <v>0.2</v>
      </c>
      <c r="BK2081" s="2">
        <v>1</v>
      </c>
      <c r="BL2081" s="2">
        <v>40.76</v>
      </c>
      <c r="BM2081" s="2">
        <v>5.71</v>
      </c>
      <c r="BN2081" s="2">
        <v>46.47</v>
      </c>
      <c r="BO2081" s="2">
        <v>46.47</v>
      </c>
      <c r="BP2081" s="2"/>
      <c r="BQ2081" s="2" t="s">
        <v>412</v>
      </c>
      <c r="BR2081" s="2" t="s">
        <v>83</v>
      </c>
      <c r="BS2081" s="3">
        <v>42667</v>
      </c>
      <c r="BT2081" s="4">
        <v>0.40277777777777773</v>
      </c>
      <c r="BU2081" s="2" t="s">
        <v>413</v>
      </c>
      <c r="BV2081" s="2" t="s">
        <v>85</v>
      </c>
      <c r="BW2081" s="2"/>
      <c r="BX2081" s="2"/>
      <c r="BY2081" s="2">
        <v>1200</v>
      </c>
      <c r="BZ2081" s="2"/>
      <c r="CA2081" s="2"/>
      <c r="CB2081" s="2"/>
      <c r="CC2081" s="2" t="s">
        <v>161</v>
      </c>
      <c r="CD2081" s="2">
        <v>7945</v>
      </c>
      <c r="CE2081" s="2" t="s">
        <v>108</v>
      </c>
      <c r="CF2081" s="5">
        <v>42668</v>
      </c>
      <c r="CG2081" s="2"/>
      <c r="CH2081" s="2"/>
      <c r="CI2081" s="2">
        <v>1</v>
      </c>
      <c r="CJ2081" s="2">
        <v>1</v>
      </c>
      <c r="CK2081" s="2">
        <v>21</v>
      </c>
      <c r="CL2081" s="2" t="s">
        <v>88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"FES1162508622"</f>
        <v>FES1162508622</v>
      </c>
      <c r="F2082" s="3">
        <v>42664</v>
      </c>
      <c r="G2082" s="2">
        <v>201704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698</v>
      </c>
      <c r="M2082" s="2" t="s">
        <v>699</v>
      </c>
      <c r="N2082" s="2" t="s">
        <v>704</v>
      </c>
      <c r="O2082" s="2" t="s">
        <v>96</v>
      </c>
      <c r="P2082" s="2" t="str">
        <f>"2170529751                    "</f>
        <v xml:space="preserve">2170529751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4.66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57.31</v>
      </c>
      <c r="BM2082" s="2">
        <v>8.02</v>
      </c>
      <c r="BN2082" s="2">
        <v>65.33</v>
      </c>
      <c r="BO2082" s="2">
        <v>65.33</v>
      </c>
      <c r="BP2082" s="2"/>
      <c r="BQ2082" s="2" t="s">
        <v>705</v>
      </c>
      <c r="BR2082" s="2" t="s">
        <v>83</v>
      </c>
      <c r="BS2082" s="3">
        <v>42667</v>
      </c>
      <c r="BT2082" s="4">
        <v>0.45069444444444445</v>
      </c>
      <c r="BU2082" s="2" t="s">
        <v>2141</v>
      </c>
      <c r="BV2082" s="2" t="s">
        <v>85</v>
      </c>
      <c r="BW2082" s="2"/>
      <c r="BX2082" s="2"/>
      <c r="BY2082" s="2">
        <v>1200</v>
      </c>
      <c r="BZ2082" s="2"/>
      <c r="CA2082" s="2"/>
      <c r="CB2082" s="2"/>
      <c r="CC2082" s="2" t="s">
        <v>699</v>
      </c>
      <c r="CD2082" s="2">
        <v>1759</v>
      </c>
      <c r="CE2082" s="2" t="s">
        <v>108</v>
      </c>
      <c r="CF2082" s="5">
        <v>42668</v>
      </c>
      <c r="CG2082" s="2"/>
      <c r="CH2082" s="2"/>
      <c r="CI2082" s="2">
        <v>1</v>
      </c>
      <c r="CJ2082" s="2">
        <v>1</v>
      </c>
      <c r="CK2082" s="2">
        <v>24</v>
      </c>
      <c r="CL2082" s="2" t="s">
        <v>88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"FES1162508603"</f>
        <v>FES1162508603</v>
      </c>
      <c r="F2083" s="3">
        <v>42664</v>
      </c>
      <c r="G2083" s="2">
        <v>201704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171</v>
      </c>
      <c r="M2083" s="2" t="s">
        <v>172</v>
      </c>
      <c r="N2083" s="2" t="s">
        <v>2142</v>
      </c>
      <c r="O2083" s="2" t="s">
        <v>96</v>
      </c>
      <c r="P2083" s="2" t="str">
        <f>"2170531873                    "</f>
        <v xml:space="preserve">2170531873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3.32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1</v>
      </c>
      <c r="BJ2083" s="2">
        <v>0.2</v>
      </c>
      <c r="BK2083" s="2">
        <v>1</v>
      </c>
      <c r="BL2083" s="2">
        <v>40.76</v>
      </c>
      <c r="BM2083" s="2">
        <v>5.71</v>
      </c>
      <c r="BN2083" s="2">
        <v>46.47</v>
      </c>
      <c r="BO2083" s="2">
        <v>46.47</v>
      </c>
      <c r="BP2083" s="2"/>
      <c r="BQ2083" s="2" t="s">
        <v>2143</v>
      </c>
      <c r="BR2083" s="2" t="s">
        <v>83</v>
      </c>
      <c r="BS2083" s="3">
        <v>42667</v>
      </c>
      <c r="BT2083" s="4">
        <v>0.41666666666666669</v>
      </c>
      <c r="BU2083" s="2" t="s">
        <v>1275</v>
      </c>
      <c r="BV2083" s="2" t="s">
        <v>85</v>
      </c>
      <c r="BW2083" s="2"/>
      <c r="BX2083" s="2"/>
      <c r="BY2083" s="2">
        <v>1200</v>
      </c>
      <c r="BZ2083" s="2"/>
      <c r="CA2083" s="2"/>
      <c r="CB2083" s="2"/>
      <c r="CC2083" s="2" t="s">
        <v>172</v>
      </c>
      <c r="CD2083" s="2">
        <v>6220</v>
      </c>
      <c r="CE2083" s="2" t="s">
        <v>108</v>
      </c>
      <c r="CF2083" s="5">
        <v>42668</v>
      </c>
      <c r="CG2083" s="2"/>
      <c r="CH2083" s="2"/>
      <c r="CI2083" s="2">
        <v>1</v>
      </c>
      <c r="CJ2083" s="2">
        <v>1</v>
      </c>
      <c r="CK2083" s="2">
        <v>21</v>
      </c>
      <c r="CL2083" s="2" t="s">
        <v>88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"FES1162508616"</f>
        <v>FES1162508616</v>
      </c>
      <c r="F2084" s="3">
        <v>42664</v>
      </c>
      <c r="G2084" s="2">
        <v>201704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207</v>
      </c>
      <c r="M2084" s="2" t="s">
        <v>208</v>
      </c>
      <c r="N2084" s="2" t="s">
        <v>2144</v>
      </c>
      <c r="O2084" s="2" t="s">
        <v>96</v>
      </c>
      <c r="P2084" s="2" t="str">
        <f>"2170531885                    "</f>
        <v xml:space="preserve">2170531885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8.2899999999999991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5</v>
      </c>
      <c r="BJ2084" s="2">
        <v>3.9</v>
      </c>
      <c r="BK2084" s="2">
        <v>5</v>
      </c>
      <c r="BL2084" s="2">
        <v>101.89</v>
      </c>
      <c r="BM2084" s="2">
        <v>14.26</v>
      </c>
      <c r="BN2084" s="2">
        <v>116.15</v>
      </c>
      <c r="BO2084" s="2">
        <v>116.15</v>
      </c>
      <c r="BP2084" s="2"/>
      <c r="BQ2084" s="2"/>
      <c r="BR2084" s="2" t="s">
        <v>83</v>
      </c>
      <c r="BS2084" s="3">
        <v>42667</v>
      </c>
      <c r="BT2084" s="4">
        <v>0.4375</v>
      </c>
      <c r="BU2084" s="2" t="s">
        <v>2145</v>
      </c>
      <c r="BV2084" s="2" t="s">
        <v>85</v>
      </c>
      <c r="BW2084" s="2"/>
      <c r="BX2084" s="2"/>
      <c r="BY2084" s="2">
        <v>19440</v>
      </c>
      <c r="BZ2084" s="2"/>
      <c r="CA2084" s="2"/>
      <c r="CB2084" s="2"/>
      <c r="CC2084" s="2" t="s">
        <v>208</v>
      </c>
      <c r="CD2084" s="2">
        <v>4133</v>
      </c>
      <c r="CE2084" s="2" t="s">
        <v>368</v>
      </c>
      <c r="CF2084" s="5">
        <v>42668</v>
      </c>
      <c r="CG2084" s="2"/>
      <c r="CH2084" s="2"/>
      <c r="CI2084" s="2">
        <v>1</v>
      </c>
      <c r="CJ2084" s="2">
        <v>1</v>
      </c>
      <c r="CK2084" s="2">
        <v>21</v>
      </c>
      <c r="CL2084" s="2" t="s">
        <v>88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"FES1162508491"</f>
        <v>FES1162508491</v>
      </c>
      <c r="F2085" s="3">
        <v>42664</v>
      </c>
      <c r="G2085" s="2">
        <v>201704</v>
      </c>
      <c r="H2085" s="2" t="s">
        <v>74</v>
      </c>
      <c r="I2085" s="2" t="s">
        <v>75</v>
      </c>
      <c r="J2085" s="2" t="s">
        <v>76</v>
      </c>
      <c r="K2085" s="2" t="s">
        <v>77</v>
      </c>
      <c r="L2085" s="2" t="s">
        <v>160</v>
      </c>
      <c r="M2085" s="2" t="s">
        <v>161</v>
      </c>
      <c r="N2085" s="2" t="s">
        <v>643</v>
      </c>
      <c r="O2085" s="2" t="s">
        <v>96</v>
      </c>
      <c r="P2085" s="2" t="str">
        <f>"2170531761                    "</f>
        <v xml:space="preserve">2170531761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7.46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4.4000000000000004</v>
      </c>
      <c r="BJ2085" s="2">
        <v>1.2</v>
      </c>
      <c r="BK2085" s="2">
        <v>4.5</v>
      </c>
      <c r="BL2085" s="2">
        <v>91.7</v>
      </c>
      <c r="BM2085" s="2">
        <v>12.84</v>
      </c>
      <c r="BN2085" s="2">
        <v>104.54</v>
      </c>
      <c r="BO2085" s="2">
        <v>104.54</v>
      </c>
      <c r="BP2085" s="2"/>
      <c r="BQ2085" s="2" t="s">
        <v>644</v>
      </c>
      <c r="BR2085" s="2" t="s">
        <v>83</v>
      </c>
      <c r="BS2085" s="3">
        <v>42667</v>
      </c>
      <c r="BT2085" s="4">
        <v>0.41666666666666669</v>
      </c>
      <c r="BU2085" s="2" t="s">
        <v>1700</v>
      </c>
      <c r="BV2085" s="2" t="s">
        <v>85</v>
      </c>
      <c r="BW2085" s="2"/>
      <c r="BX2085" s="2"/>
      <c r="BY2085" s="2">
        <v>6238.09</v>
      </c>
      <c r="BZ2085" s="2"/>
      <c r="CA2085" s="2"/>
      <c r="CB2085" s="2"/>
      <c r="CC2085" s="2" t="s">
        <v>161</v>
      </c>
      <c r="CD2085" s="2">
        <v>7925</v>
      </c>
      <c r="CE2085" s="2" t="s">
        <v>368</v>
      </c>
      <c r="CF2085" s="5">
        <v>42668</v>
      </c>
      <c r="CG2085" s="2"/>
      <c r="CH2085" s="2"/>
      <c r="CI2085" s="2">
        <v>1</v>
      </c>
      <c r="CJ2085" s="2">
        <v>1</v>
      </c>
      <c r="CK2085" s="2">
        <v>21</v>
      </c>
      <c r="CL2085" s="2" t="s">
        <v>88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"FES1162508537"</f>
        <v>FES1162508537</v>
      </c>
      <c r="F2086" s="3">
        <v>42664</v>
      </c>
      <c r="G2086" s="2">
        <v>201704</v>
      </c>
      <c r="H2086" s="2" t="s">
        <v>74</v>
      </c>
      <c r="I2086" s="2" t="s">
        <v>75</v>
      </c>
      <c r="J2086" s="2" t="s">
        <v>76</v>
      </c>
      <c r="K2086" s="2" t="s">
        <v>77</v>
      </c>
      <c r="L2086" s="2" t="s">
        <v>148</v>
      </c>
      <c r="M2086" s="2" t="s">
        <v>149</v>
      </c>
      <c r="N2086" s="2" t="s">
        <v>473</v>
      </c>
      <c r="O2086" s="2" t="s">
        <v>96</v>
      </c>
      <c r="P2086" s="2" t="str">
        <f>"2170531828                    "</f>
        <v xml:space="preserve">2170531828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6.63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</v>
      </c>
      <c r="BJ2086" s="2">
        <v>3.6</v>
      </c>
      <c r="BK2086" s="2">
        <v>4</v>
      </c>
      <c r="BL2086" s="2">
        <v>81.510000000000005</v>
      </c>
      <c r="BM2086" s="2">
        <v>11.41</v>
      </c>
      <c r="BN2086" s="2">
        <v>92.92</v>
      </c>
      <c r="BO2086" s="2">
        <v>92.92</v>
      </c>
      <c r="BP2086" s="2"/>
      <c r="BQ2086" s="2" t="s">
        <v>117</v>
      </c>
      <c r="BR2086" s="2" t="s">
        <v>83</v>
      </c>
      <c r="BS2086" s="3">
        <v>42667</v>
      </c>
      <c r="BT2086" s="4">
        <v>0.4375</v>
      </c>
      <c r="BU2086" s="2" t="s">
        <v>1595</v>
      </c>
      <c r="BV2086" s="2" t="s">
        <v>85</v>
      </c>
      <c r="BW2086" s="2"/>
      <c r="BX2086" s="2"/>
      <c r="BY2086" s="2">
        <v>18240</v>
      </c>
      <c r="BZ2086" s="2"/>
      <c r="CA2086" s="2" t="s">
        <v>129</v>
      </c>
      <c r="CB2086" s="2"/>
      <c r="CC2086" s="2" t="s">
        <v>149</v>
      </c>
      <c r="CD2086" s="2">
        <v>4052</v>
      </c>
      <c r="CE2086" s="2" t="s">
        <v>368</v>
      </c>
      <c r="CF2086" s="5">
        <v>42668</v>
      </c>
      <c r="CG2086" s="2"/>
      <c r="CH2086" s="2"/>
      <c r="CI2086" s="2">
        <v>1</v>
      </c>
      <c r="CJ2086" s="2">
        <v>1</v>
      </c>
      <c r="CK2086" s="2">
        <v>21</v>
      </c>
      <c r="CL2086" s="2" t="s">
        <v>88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"FES1162508431"</f>
        <v>FES1162508431</v>
      </c>
      <c r="F2087" s="3">
        <v>42664</v>
      </c>
      <c r="G2087" s="2">
        <v>201704</v>
      </c>
      <c r="H2087" s="2" t="s">
        <v>74</v>
      </c>
      <c r="I2087" s="2" t="s">
        <v>75</v>
      </c>
      <c r="J2087" s="2" t="s">
        <v>76</v>
      </c>
      <c r="K2087" s="2" t="s">
        <v>77</v>
      </c>
      <c r="L2087" s="2" t="s">
        <v>160</v>
      </c>
      <c r="M2087" s="2" t="s">
        <v>161</v>
      </c>
      <c r="N2087" s="2" t="s">
        <v>179</v>
      </c>
      <c r="O2087" s="2" t="s">
        <v>96</v>
      </c>
      <c r="P2087" s="2" t="str">
        <f>"2170529691                    "</f>
        <v xml:space="preserve">2170529691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3.32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</v>
      </c>
      <c r="BJ2087" s="2">
        <v>0.2</v>
      </c>
      <c r="BK2087" s="2">
        <v>1</v>
      </c>
      <c r="BL2087" s="2">
        <v>40.76</v>
      </c>
      <c r="BM2087" s="2">
        <v>5.71</v>
      </c>
      <c r="BN2087" s="2">
        <v>46.47</v>
      </c>
      <c r="BO2087" s="2">
        <v>46.47</v>
      </c>
      <c r="BP2087" s="2"/>
      <c r="BQ2087" s="2" t="s">
        <v>180</v>
      </c>
      <c r="BR2087" s="2" t="s">
        <v>83</v>
      </c>
      <c r="BS2087" s="3">
        <v>42667</v>
      </c>
      <c r="BT2087" s="4">
        <v>0.41666666666666669</v>
      </c>
      <c r="BU2087" s="2" t="s">
        <v>1172</v>
      </c>
      <c r="BV2087" s="2" t="s">
        <v>85</v>
      </c>
      <c r="BW2087" s="2"/>
      <c r="BX2087" s="2"/>
      <c r="BY2087" s="2">
        <v>1200</v>
      </c>
      <c r="BZ2087" s="2"/>
      <c r="CA2087" s="2" t="s">
        <v>129</v>
      </c>
      <c r="CB2087" s="2"/>
      <c r="CC2087" s="2" t="s">
        <v>161</v>
      </c>
      <c r="CD2087" s="2">
        <v>7405</v>
      </c>
      <c r="CE2087" s="2" t="s">
        <v>108</v>
      </c>
      <c r="CF2087" s="5">
        <v>42668</v>
      </c>
      <c r="CG2087" s="2"/>
      <c r="CH2087" s="2"/>
      <c r="CI2087" s="2">
        <v>1</v>
      </c>
      <c r="CJ2087" s="2">
        <v>1</v>
      </c>
      <c r="CK2087" s="2">
        <v>21</v>
      </c>
      <c r="CL2087" s="2" t="s">
        <v>88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"FES1162508424"</f>
        <v>FES1162508424</v>
      </c>
      <c r="F2088" s="3">
        <v>42664</v>
      </c>
      <c r="G2088" s="2">
        <v>201704</v>
      </c>
      <c r="H2088" s="2" t="s">
        <v>74</v>
      </c>
      <c r="I2088" s="2" t="s">
        <v>75</v>
      </c>
      <c r="J2088" s="2" t="s">
        <v>76</v>
      </c>
      <c r="K2088" s="2" t="s">
        <v>77</v>
      </c>
      <c r="L2088" s="2" t="s">
        <v>160</v>
      </c>
      <c r="M2088" s="2" t="s">
        <v>161</v>
      </c>
      <c r="N2088" s="2" t="s">
        <v>1269</v>
      </c>
      <c r="O2088" s="2" t="s">
        <v>96</v>
      </c>
      <c r="P2088" s="2" t="str">
        <f>"2170529561                    "</f>
        <v xml:space="preserve">2170529561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3.32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2</v>
      </c>
      <c r="BJ2088" s="2">
        <v>0.2</v>
      </c>
      <c r="BK2088" s="2">
        <v>2</v>
      </c>
      <c r="BL2088" s="2">
        <v>40.76</v>
      </c>
      <c r="BM2088" s="2">
        <v>5.71</v>
      </c>
      <c r="BN2088" s="2">
        <v>46.47</v>
      </c>
      <c r="BO2088" s="2">
        <v>46.47</v>
      </c>
      <c r="BP2088" s="2"/>
      <c r="BQ2088" s="2" t="s">
        <v>91</v>
      </c>
      <c r="BR2088" s="2" t="s">
        <v>83</v>
      </c>
      <c r="BS2088" s="3">
        <v>42667</v>
      </c>
      <c r="BT2088" s="4">
        <v>0.41666666666666669</v>
      </c>
      <c r="BU2088" s="2" t="s">
        <v>2146</v>
      </c>
      <c r="BV2088" s="2" t="s">
        <v>85</v>
      </c>
      <c r="BW2088" s="2"/>
      <c r="BX2088" s="2"/>
      <c r="BY2088" s="2">
        <v>1200</v>
      </c>
      <c r="BZ2088" s="2"/>
      <c r="CA2088" s="2"/>
      <c r="CB2088" s="2"/>
      <c r="CC2088" s="2" t="s">
        <v>161</v>
      </c>
      <c r="CD2088" s="2">
        <v>7925</v>
      </c>
      <c r="CE2088" s="2" t="s">
        <v>108</v>
      </c>
      <c r="CF2088" s="5">
        <v>42668</v>
      </c>
      <c r="CG2088" s="2"/>
      <c r="CH2088" s="2"/>
      <c r="CI2088" s="2">
        <v>1</v>
      </c>
      <c r="CJ2088" s="2">
        <v>1</v>
      </c>
      <c r="CK2088" s="2">
        <v>21</v>
      </c>
      <c r="CL2088" s="2" t="s">
        <v>88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"FES1162508389"</f>
        <v>FES1162508389</v>
      </c>
      <c r="F2089" s="3">
        <v>42664</v>
      </c>
      <c r="G2089" s="2">
        <v>201704</v>
      </c>
      <c r="H2089" s="2" t="s">
        <v>74</v>
      </c>
      <c r="I2089" s="2" t="s">
        <v>75</v>
      </c>
      <c r="J2089" s="2" t="s">
        <v>76</v>
      </c>
      <c r="K2089" s="2" t="s">
        <v>77</v>
      </c>
      <c r="L2089" s="2" t="s">
        <v>153</v>
      </c>
      <c r="M2089" s="2" t="s">
        <v>153</v>
      </c>
      <c r="N2089" s="2" t="s">
        <v>200</v>
      </c>
      <c r="O2089" s="2" t="s">
        <v>96</v>
      </c>
      <c r="P2089" s="2" t="str">
        <f>"2170531707                    "</f>
        <v xml:space="preserve">2170531707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7.46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4.4000000000000004</v>
      </c>
      <c r="BJ2089" s="2">
        <v>1</v>
      </c>
      <c r="BK2089" s="2">
        <v>4.5</v>
      </c>
      <c r="BL2089" s="2">
        <v>91.7</v>
      </c>
      <c r="BM2089" s="2">
        <v>12.84</v>
      </c>
      <c r="BN2089" s="2">
        <v>104.54</v>
      </c>
      <c r="BO2089" s="2">
        <v>104.54</v>
      </c>
      <c r="BP2089" s="2"/>
      <c r="BQ2089" s="2" t="s">
        <v>201</v>
      </c>
      <c r="BR2089" s="2" t="s">
        <v>83</v>
      </c>
      <c r="BS2089" s="3">
        <v>42667</v>
      </c>
      <c r="BT2089" s="4">
        <v>0.51944444444444449</v>
      </c>
      <c r="BU2089" s="2" t="s">
        <v>2147</v>
      </c>
      <c r="BV2089" s="2" t="s">
        <v>85</v>
      </c>
      <c r="BW2089" s="2"/>
      <c r="BX2089" s="2"/>
      <c r="BY2089" s="2">
        <v>5246.21</v>
      </c>
      <c r="BZ2089" s="2"/>
      <c r="CA2089" s="2"/>
      <c r="CB2089" s="2"/>
      <c r="CC2089" s="2" t="s">
        <v>153</v>
      </c>
      <c r="CD2089" s="2">
        <v>7646</v>
      </c>
      <c r="CE2089" s="2" t="s">
        <v>86</v>
      </c>
      <c r="CF2089" s="5">
        <v>42668</v>
      </c>
      <c r="CG2089" s="2"/>
      <c r="CH2089" s="2"/>
      <c r="CI2089" s="2">
        <v>1</v>
      </c>
      <c r="CJ2089" s="2">
        <v>1</v>
      </c>
      <c r="CK2089" s="2">
        <v>21</v>
      </c>
      <c r="CL2089" s="2" t="s">
        <v>88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"FES1162508599"</f>
        <v>FES1162508599</v>
      </c>
      <c r="F2090" s="3">
        <v>42664</v>
      </c>
      <c r="G2090" s="2">
        <v>201704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160</v>
      </c>
      <c r="M2090" s="2" t="s">
        <v>161</v>
      </c>
      <c r="N2090" s="2" t="s">
        <v>1150</v>
      </c>
      <c r="O2090" s="2" t="s">
        <v>96</v>
      </c>
      <c r="P2090" s="2" t="str">
        <f>"2170529087                    "</f>
        <v xml:space="preserve">2170529087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4.1500000000000004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2.2000000000000002</v>
      </c>
      <c r="BJ2090" s="2">
        <v>1</v>
      </c>
      <c r="BK2090" s="2">
        <v>2.5</v>
      </c>
      <c r="BL2090" s="2">
        <v>50.95</v>
      </c>
      <c r="BM2090" s="2">
        <v>7.13</v>
      </c>
      <c r="BN2090" s="2">
        <v>58.08</v>
      </c>
      <c r="BO2090" s="2">
        <v>58.08</v>
      </c>
      <c r="BP2090" s="2"/>
      <c r="BQ2090" s="2" t="s">
        <v>1151</v>
      </c>
      <c r="BR2090" s="2" t="s">
        <v>83</v>
      </c>
      <c r="BS2090" s="3">
        <v>42667</v>
      </c>
      <c r="BT2090" s="4">
        <v>0.34722222222222227</v>
      </c>
      <c r="BU2090" s="2" t="s">
        <v>1628</v>
      </c>
      <c r="BV2090" s="2" t="s">
        <v>85</v>
      </c>
      <c r="BW2090" s="2"/>
      <c r="BX2090" s="2"/>
      <c r="BY2090" s="2">
        <v>5042.3999999999996</v>
      </c>
      <c r="BZ2090" s="2"/>
      <c r="CA2090" s="2"/>
      <c r="CB2090" s="2"/>
      <c r="CC2090" s="2" t="s">
        <v>161</v>
      </c>
      <c r="CD2090" s="2">
        <v>7500</v>
      </c>
      <c r="CE2090" s="2" t="s">
        <v>86</v>
      </c>
      <c r="CF2090" s="5">
        <v>42668</v>
      </c>
      <c r="CG2090" s="2"/>
      <c r="CH2090" s="2"/>
      <c r="CI2090" s="2">
        <v>1</v>
      </c>
      <c r="CJ2090" s="2">
        <v>1</v>
      </c>
      <c r="CK2090" s="2">
        <v>21</v>
      </c>
      <c r="CL2090" s="2" t="s">
        <v>88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"FES1162508441"</f>
        <v>FES1162508441</v>
      </c>
      <c r="F2091" s="3">
        <v>42664</v>
      </c>
      <c r="G2091" s="2">
        <v>201704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2148</v>
      </c>
      <c r="M2091" s="2" t="s">
        <v>2149</v>
      </c>
      <c r="N2091" s="2" t="s">
        <v>2150</v>
      </c>
      <c r="O2091" s="2" t="s">
        <v>96</v>
      </c>
      <c r="P2091" s="2" t="str">
        <f>"2170531713                    "</f>
        <v xml:space="preserve">2170531713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3.32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40.76</v>
      </c>
      <c r="BM2091" s="2">
        <v>5.71</v>
      </c>
      <c r="BN2091" s="2">
        <v>46.47</v>
      </c>
      <c r="BO2091" s="2">
        <v>46.47</v>
      </c>
      <c r="BP2091" s="2"/>
      <c r="BQ2091" s="2" t="s">
        <v>91</v>
      </c>
      <c r="BR2091" s="2" t="s">
        <v>83</v>
      </c>
      <c r="BS2091" s="3">
        <v>42668</v>
      </c>
      <c r="BT2091" s="4">
        <v>0.49305555555555558</v>
      </c>
      <c r="BU2091" s="2" t="s">
        <v>2151</v>
      </c>
      <c r="BV2091" s="2" t="s">
        <v>85</v>
      </c>
      <c r="BW2091" s="2"/>
      <c r="BX2091" s="2"/>
      <c r="BY2091" s="2">
        <v>1200</v>
      </c>
      <c r="BZ2091" s="2"/>
      <c r="CA2091" s="2"/>
      <c r="CB2091" s="2"/>
      <c r="CC2091" s="2" t="s">
        <v>2149</v>
      </c>
      <c r="CD2091" s="2">
        <v>7160</v>
      </c>
      <c r="CE2091" s="2" t="s">
        <v>108</v>
      </c>
      <c r="CF2091" s="5">
        <v>42670</v>
      </c>
      <c r="CG2091" s="2"/>
      <c r="CH2091" s="2"/>
      <c r="CI2091" s="2">
        <v>3</v>
      </c>
      <c r="CJ2091" s="2">
        <v>2</v>
      </c>
      <c r="CK2091" s="2">
        <v>21</v>
      </c>
      <c r="CL2091" s="2" t="s">
        <v>88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"FES1162508600"</f>
        <v>FES1162508600</v>
      </c>
      <c r="F2092" s="3">
        <v>42664</v>
      </c>
      <c r="G2092" s="2">
        <v>201704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143</v>
      </c>
      <c r="M2092" s="2" t="s">
        <v>144</v>
      </c>
      <c r="N2092" s="2" t="s">
        <v>2131</v>
      </c>
      <c r="O2092" s="2" t="s">
        <v>96</v>
      </c>
      <c r="P2092" s="2" t="str">
        <f>"2170518976                    "</f>
        <v xml:space="preserve">2170518976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3.32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1.9</v>
      </c>
      <c r="BJ2092" s="2">
        <v>1.7</v>
      </c>
      <c r="BK2092" s="2">
        <v>2</v>
      </c>
      <c r="BL2092" s="2">
        <v>40.76</v>
      </c>
      <c r="BM2092" s="2">
        <v>5.71</v>
      </c>
      <c r="BN2092" s="2">
        <v>46.47</v>
      </c>
      <c r="BO2092" s="2">
        <v>46.47</v>
      </c>
      <c r="BP2092" s="2"/>
      <c r="BQ2092" s="2"/>
      <c r="BR2092" s="2" t="s">
        <v>83</v>
      </c>
      <c r="BS2092" s="3">
        <v>42667</v>
      </c>
      <c r="BT2092" s="4">
        <v>0.43611111111111112</v>
      </c>
      <c r="BU2092" s="2" t="s">
        <v>2133</v>
      </c>
      <c r="BV2092" s="2" t="s">
        <v>85</v>
      </c>
      <c r="BW2092" s="2"/>
      <c r="BX2092" s="2"/>
      <c r="BY2092" s="2">
        <v>8277.75</v>
      </c>
      <c r="BZ2092" s="2"/>
      <c r="CA2092" s="2" t="s">
        <v>129</v>
      </c>
      <c r="CB2092" s="2"/>
      <c r="CC2092" s="2" t="s">
        <v>144</v>
      </c>
      <c r="CD2092" s="2">
        <v>5201</v>
      </c>
      <c r="CE2092" s="2" t="s">
        <v>368</v>
      </c>
      <c r="CF2092" s="5">
        <v>42669</v>
      </c>
      <c r="CG2092" s="2"/>
      <c r="CH2092" s="2"/>
      <c r="CI2092" s="2">
        <v>1</v>
      </c>
      <c r="CJ2092" s="2">
        <v>1</v>
      </c>
      <c r="CK2092" s="2">
        <v>21</v>
      </c>
      <c r="CL2092" s="2" t="s">
        <v>88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"FES1162508425"</f>
        <v>FES1162508425</v>
      </c>
      <c r="F2093" s="3">
        <v>42664</v>
      </c>
      <c r="G2093" s="2">
        <v>201704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160</v>
      </c>
      <c r="M2093" s="2" t="s">
        <v>161</v>
      </c>
      <c r="N2093" s="2" t="s">
        <v>1267</v>
      </c>
      <c r="O2093" s="2" t="s">
        <v>96</v>
      </c>
      <c r="P2093" s="2" t="str">
        <f>"2170529572                    "</f>
        <v xml:space="preserve">2170529572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3.32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40.76</v>
      </c>
      <c r="BM2093" s="2">
        <v>5.71</v>
      </c>
      <c r="BN2093" s="2">
        <v>46.47</v>
      </c>
      <c r="BO2093" s="2">
        <v>46.47</v>
      </c>
      <c r="BP2093" s="2"/>
      <c r="BQ2093" s="2" t="s">
        <v>988</v>
      </c>
      <c r="BR2093" s="2" t="s">
        <v>83</v>
      </c>
      <c r="BS2093" s="3">
        <v>42667</v>
      </c>
      <c r="BT2093" s="4">
        <v>0.33333333333333331</v>
      </c>
      <c r="BU2093" s="2" t="s">
        <v>2152</v>
      </c>
      <c r="BV2093" s="2" t="s">
        <v>85</v>
      </c>
      <c r="BW2093" s="2"/>
      <c r="BX2093" s="2"/>
      <c r="BY2093" s="2">
        <v>1200</v>
      </c>
      <c r="BZ2093" s="2"/>
      <c r="CA2093" s="2"/>
      <c r="CB2093" s="2"/>
      <c r="CC2093" s="2" t="s">
        <v>161</v>
      </c>
      <c r="CD2093" s="2">
        <v>7530</v>
      </c>
      <c r="CE2093" s="2" t="s">
        <v>108</v>
      </c>
      <c r="CF2093" s="5">
        <v>42668</v>
      </c>
      <c r="CG2093" s="2"/>
      <c r="CH2093" s="2"/>
      <c r="CI2093" s="2">
        <v>1</v>
      </c>
      <c r="CJ2093" s="2">
        <v>1</v>
      </c>
      <c r="CK2093" s="2">
        <v>21</v>
      </c>
      <c r="CL2093" s="2" t="s">
        <v>88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"FES1162508604"</f>
        <v>FES1162508604</v>
      </c>
      <c r="F2094" s="3">
        <v>42664</v>
      </c>
      <c r="G2094" s="2">
        <v>201704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98</v>
      </c>
      <c r="M2094" s="2" t="s">
        <v>99</v>
      </c>
      <c r="N2094" s="2" t="s">
        <v>133</v>
      </c>
      <c r="O2094" s="2" t="s">
        <v>96</v>
      </c>
      <c r="P2094" s="2" t="str">
        <f>"2170531875                    "</f>
        <v xml:space="preserve">2170531875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3.32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1</v>
      </c>
      <c r="BJ2094" s="2">
        <v>0.2</v>
      </c>
      <c r="BK2094" s="2">
        <v>1</v>
      </c>
      <c r="BL2094" s="2">
        <v>40.76</v>
      </c>
      <c r="BM2094" s="2">
        <v>5.71</v>
      </c>
      <c r="BN2094" s="2">
        <v>46.47</v>
      </c>
      <c r="BO2094" s="2">
        <v>46.47</v>
      </c>
      <c r="BP2094" s="2"/>
      <c r="BQ2094" s="2" t="s">
        <v>134</v>
      </c>
      <c r="BR2094" s="2" t="s">
        <v>83</v>
      </c>
      <c r="BS2094" s="3">
        <v>42667</v>
      </c>
      <c r="BT2094" s="4">
        <v>0.33611111111111108</v>
      </c>
      <c r="BU2094" s="2" t="s">
        <v>1266</v>
      </c>
      <c r="BV2094" s="2" t="s">
        <v>85</v>
      </c>
      <c r="BW2094" s="2"/>
      <c r="BX2094" s="2"/>
      <c r="BY2094" s="2">
        <v>1200</v>
      </c>
      <c r="BZ2094" s="2"/>
      <c r="CA2094" s="2"/>
      <c r="CB2094" s="2"/>
      <c r="CC2094" s="2" t="s">
        <v>99</v>
      </c>
      <c r="CD2094" s="2">
        <v>6001</v>
      </c>
      <c r="CE2094" s="2" t="s">
        <v>108</v>
      </c>
      <c r="CF2094" s="5">
        <v>42668</v>
      </c>
      <c r="CG2094" s="2"/>
      <c r="CH2094" s="2"/>
      <c r="CI2094" s="2">
        <v>1</v>
      </c>
      <c r="CJ2094" s="2">
        <v>1</v>
      </c>
      <c r="CK2094" s="2">
        <v>21</v>
      </c>
      <c r="CL2094" s="2" t="s">
        <v>88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"FES1162508609"</f>
        <v>FES1162508609</v>
      </c>
      <c r="F2095" s="3">
        <v>42664</v>
      </c>
      <c r="G2095" s="2">
        <v>201704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207</v>
      </c>
      <c r="M2095" s="2" t="s">
        <v>208</v>
      </c>
      <c r="N2095" s="2" t="s">
        <v>764</v>
      </c>
      <c r="O2095" s="2" t="s">
        <v>96</v>
      </c>
      <c r="P2095" s="2" t="str">
        <f>"2170527067                    "</f>
        <v xml:space="preserve">2170527067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4.1500000000000004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2.2999999999999998</v>
      </c>
      <c r="BJ2095" s="2">
        <v>1.7</v>
      </c>
      <c r="BK2095" s="2">
        <v>2.5</v>
      </c>
      <c r="BL2095" s="2">
        <v>50.95</v>
      </c>
      <c r="BM2095" s="2">
        <v>7.13</v>
      </c>
      <c r="BN2095" s="2">
        <v>58.08</v>
      </c>
      <c r="BO2095" s="2">
        <v>58.08</v>
      </c>
      <c r="BP2095" s="2"/>
      <c r="BQ2095" s="2" t="s">
        <v>765</v>
      </c>
      <c r="BR2095" s="2" t="s">
        <v>83</v>
      </c>
      <c r="BS2095" s="3">
        <v>42667</v>
      </c>
      <c r="BT2095" s="4">
        <v>0.4375</v>
      </c>
      <c r="BU2095" s="2" t="s">
        <v>2153</v>
      </c>
      <c r="BV2095" s="2" t="s">
        <v>85</v>
      </c>
      <c r="BW2095" s="2"/>
      <c r="BX2095" s="2"/>
      <c r="BY2095" s="2">
        <v>8514.59</v>
      </c>
      <c r="BZ2095" s="2"/>
      <c r="CA2095" s="2"/>
      <c r="CB2095" s="2"/>
      <c r="CC2095" s="2" t="s">
        <v>208</v>
      </c>
      <c r="CD2095" s="2">
        <v>4133</v>
      </c>
      <c r="CE2095" s="2" t="s">
        <v>368</v>
      </c>
      <c r="CF2095" s="5">
        <v>42668</v>
      </c>
      <c r="CG2095" s="2"/>
      <c r="CH2095" s="2"/>
      <c r="CI2095" s="2">
        <v>1</v>
      </c>
      <c r="CJ2095" s="2">
        <v>1</v>
      </c>
      <c r="CK2095" s="2">
        <v>21</v>
      </c>
      <c r="CL2095" s="2" t="s">
        <v>88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"FES1162508589"</f>
        <v>FES1162508589</v>
      </c>
      <c r="F2096" s="3">
        <v>42664</v>
      </c>
      <c r="G2096" s="2">
        <v>201704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143</v>
      </c>
      <c r="M2096" s="2" t="s">
        <v>144</v>
      </c>
      <c r="N2096" s="2" t="s">
        <v>909</v>
      </c>
      <c r="O2096" s="2" t="s">
        <v>96</v>
      </c>
      <c r="P2096" s="2" t="str">
        <f>"2170531861                    "</f>
        <v xml:space="preserve">2170531861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3.32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1</v>
      </c>
      <c r="BJ2096" s="2">
        <v>0.2</v>
      </c>
      <c r="BK2096" s="2">
        <v>1</v>
      </c>
      <c r="BL2096" s="2">
        <v>40.76</v>
      </c>
      <c r="BM2096" s="2">
        <v>5.71</v>
      </c>
      <c r="BN2096" s="2">
        <v>46.47</v>
      </c>
      <c r="BO2096" s="2">
        <v>46.47</v>
      </c>
      <c r="BP2096" s="2"/>
      <c r="BQ2096" s="2" t="s">
        <v>117</v>
      </c>
      <c r="BR2096" s="2" t="s">
        <v>83</v>
      </c>
      <c r="BS2096" s="3">
        <v>42667</v>
      </c>
      <c r="BT2096" s="4">
        <v>0.35138888888888892</v>
      </c>
      <c r="BU2096" s="2" t="s">
        <v>2154</v>
      </c>
      <c r="BV2096" s="2"/>
      <c r="BW2096" s="2"/>
      <c r="BX2096" s="2"/>
      <c r="BY2096" s="2">
        <v>1200</v>
      </c>
      <c r="BZ2096" s="2"/>
      <c r="CA2096" s="2"/>
      <c r="CB2096" s="2"/>
      <c r="CC2096" s="2" t="s">
        <v>144</v>
      </c>
      <c r="CD2096" s="2">
        <v>5201</v>
      </c>
      <c r="CE2096" s="2" t="s">
        <v>108</v>
      </c>
      <c r="CF2096" s="5">
        <v>42669</v>
      </c>
      <c r="CG2096" s="2"/>
      <c r="CH2096" s="2"/>
      <c r="CI2096" s="2">
        <v>0</v>
      </c>
      <c r="CJ2096" s="2">
        <v>0</v>
      </c>
      <c r="CK2096" s="2">
        <v>21</v>
      </c>
      <c r="CL2096" s="2" t="s">
        <v>88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"FES1162508545"</f>
        <v>FES1162508545</v>
      </c>
      <c r="F2097" s="3">
        <v>42664</v>
      </c>
      <c r="G2097" s="2">
        <v>201704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119</v>
      </c>
      <c r="M2097" s="2" t="s">
        <v>120</v>
      </c>
      <c r="N2097" s="2" t="s">
        <v>186</v>
      </c>
      <c r="O2097" s="2" t="s">
        <v>96</v>
      </c>
      <c r="P2097" s="2" t="str">
        <f>"2170529162                    "</f>
        <v xml:space="preserve">2170529162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9.9499999999999993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5.6</v>
      </c>
      <c r="BJ2097" s="2">
        <v>3.4</v>
      </c>
      <c r="BK2097" s="2">
        <v>6</v>
      </c>
      <c r="BL2097" s="2">
        <v>122.27</v>
      </c>
      <c r="BM2097" s="2">
        <v>17.12</v>
      </c>
      <c r="BN2097" s="2">
        <v>139.38999999999999</v>
      </c>
      <c r="BO2097" s="2">
        <v>139.38999999999999</v>
      </c>
      <c r="BP2097" s="2"/>
      <c r="BQ2097" s="2" t="s">
        <v>187</v>
      </c>
      <c r="BR2097" s="2" t="s">
        <v>83</v>
      </c>
      <c r="BS2097" s="3">
        <v>42667</v>
      </c>
      <c r="BT2097" s="4">
        <v>0.32361111111111113</v>
      </c>
      <c r="BU2097" s="2" t="s">
        <v>388</v>
      </c>
      <c r="BV2097" s="2" t="s">
        <v>85</v>
      </c>
      <c r="BW2097" s="2"/>
      <c r="BX2097" s="2"/>
      <c r="BY2097" s="2">
        <v>16853.759999999998</v>
      </c>
      <c r="BZ2097" s="2"/>
      <c r="CA2097" s="2"/>
      <c r="CB2097" s="2"/>
      <c r="CC2097" s="2" t="s">
        <v>120</v>
      </c>
      <c r="CD2097" s="2">
        <v>6229</v>
      </c>
      <c r="CE2097" s="2" t="s">
        <v>86</v>
      </c>
      <c r="CF2097" s="5">
        <v>42668</v>
      </c>
      <c r="CG2097" s="2"/>
      <c r="CH2097" s="2"/>
      <c r="CI2097" s="2">
        <v>1</v>
      </c>
      <c r="CJ2097" s="2">
        <v>1</v>
      </c>
      <c r="CK2097" s="2">
        <v>21</v>
      </c>
      <c r="CL2097" s="2" t="s">
        <v>88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"FES1162508358"</f>
        <v>FES1162508358</v>
      </c>
      <c r="F2098" s="3">
        <v>42664</v>
      </c>
      <c r="G2098" s="2">
        <v>201704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160</v>
      </c>
      <c r="M2098" s="2" t="s">
        <v>161</v>
      </c>
      <c r="N2098" s="2" t="s">
        <v>722</v>
      </c>
      <c r="O2098" s="2" t="s">
        <v>96</v>
      </c>
      <c r="P2098" s="2" t="str">
        <f>"2170531428                    "</f>
        <v xml:space="preserve">2170531428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3.32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</v>
      </c>
      <c r="BJ2098" s="2">
        <v>0.2</v>
      </c>
      <c r="BK2098" s="2">
        <v>1</v>
      </c>
      <c r="BL2098" s="2">
        <v>40.76</v>
      </c>
      <c r="BM2098" s="2">
        <v>5.71</v>
      </c>
      <c r="BN2098" s="2">
        <v>46.47</v>
      </c>
      <c r="BO2098" s="2">
        <v>46.47</v>
      </c>
      <c r="BP2098" s="2"/>
      <c r="BQ2098" s="2" t="s">
        <v>117</v>
      </c>
      <c r="BR2098" s="2" t="s">
        <v>83</v>
      </c>
      <c r="BS2098" s="3">
        <v>42667</v>
      </c>
      <c r="BT2098" s="4">
        <v>0.375</v>
      </c>
      <c r="BU2098" s="2" t="s">
        <v>2155</v>
      </c>
      <c r="BV2098" s="2" t="s">
        <v>85</v>
      </c>
      <c r="BW2098" s="2"/>
      <c r="BX2098" s="2"/>
      <c r="BY2098" s="2">
        <v>1200</v>
      </c>
      <c r="BZ2098" s="2"/>
      <c r="CA2098" s="2"/>
      <c r="CB2098" s="2"/>
      <c r="CC2098" s="2" t="s">
        <v>161</v>
      </c>
      <c r="CD2098" s="2">
        <v>7560</v>
      </c>
      <c r="CE2098" s="2" t="s">
        <v>108</v>
      </c>
      <c r="CF2098" s="5">
        <v>42668</v>
      </c>
      <c r="CG2098" s="2"/>
      <c r="CH2098" s="2"/>
      <c r="CI2098" s="2">
        <v>1</v>
      </c>
      <c r="CJ2098" s="2">
        <v>1</v>
      </c>
      <c r="CK2098" s="2">
        <v>21</v>
      </c>
      <c r="CL2098" s="2" t="s">
        <v>88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"FES1162508368"</f>
        <v>FES1162508368</v>
      </c>
      <c r="F2099" s="3">
        <v>42664</v>
      </c>
      <c r="G2099" s="2">
        <v>201704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218</v>
      </c>
      <c r="M2099" s="2" t="s">
        <v>219</v>
      </c>
      <c r="N2099" s="2" t="s">
        <v>220</v>
      </c>
      <c r="O2099" s="2" t="s">
        <v>96</v>
      </c>
      <c r="P2099" s="2" t="str">
        <f>"2170531667                    "</f>
        <v xml:space="preserve">2170531667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3.32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40.76</v>
      </c>
      <c r="BM2099" s="2">
        <v>5.71</v>
      </c>
      <c r="BN2099" s="2">
        <v>46.47</v>
      </c>
      <c r="BO2099" s="2">
        <v>46.47</v>
      </c>
      <c r="BP2099" s="2"/>
      <c r="BQ2099" s="2" t="s">
        <v>91</v>
      </c>
      <c r="BR2099" s="2" t="s">
        <v>83</v>
      </c>
      <c r="BS2099" s="3">
        <v>42667</v>
      </c>
      <c r="BT2099" s="4">
        <v>0.34583333333333338</v>
      </c>
      <c r="BU2099" s="2" t="s">
        <v>1881</v>
      </c>
      <c r="BV2099" s="2" t="s">
        <v>85</v>
      </c>
      <c r="BW2099" s="2"/>
      <c r="BX2099" s="2"/>
      <c r="BY2099" s="2">
        <v>1200</v>
      </c>
      <c r="BZ2099" s="2"/>
      <c r="CA2099" s="2"/>
      <c r="CB2099" s="2"/>
      <c r="CC2099" s="2" t="s">
        <v>219</v>
      </c>
      <c r="CD2099" s="2">
        <v>7600</v>
      </c>
      <c r="CE2099" s="2" t="s">
        <v>108</v>
      </c>
      <c r="CF2099" s="5">
        <v>42668</v>
      </c>
      <c r="CG2099" s="2"/>
      <c r="CH2099" s="2"/>
      <c r="CI2099" s="2">
        <v>1</v>
      </c>
      <c r="CJ2099" s="2">
        <v>1</v>
      </c>
      <c r="CK2099" s="2">
        <v>21</v>
      </c>
      <c r="CL2099" s="2" t="s">
        <v>88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"FES1162508445"</f>
        <v>FES1162508445</v>
      </c>
      <c r="F2100" s="3">
        <v>42664</v>
      </c>
      <c r="G2100" s="2">
        <v>201704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93</v>
      </c>
      <c r="M2100" s="2" t="s">
        <v>94</v>
      </c>
      <c r="N2100" s="2" t="s">
        <v>130</v>
      </c>
      <c r="O2100" s="2" t="s">
        <v>96</v>
      </c>
      <c r="P2100" s="2" t="str">
        <f>"2170531720                    "</f>
        <v xml:space="preserve">2170531720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6.63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2</v>
      </c>
      <c r="BI2100" s="2">
        <v>3.7</v>
      </c>
      <c r="BJ2100" s="2">
        <v>2.5</v>
      </c>
      <c r="BK2100" s="2">
        <v>4</v>
      </c>
      <c r="BL2100" s="2">
        <v>81.510000000000005</v>
      </c>
      <c r="BM2100" s="2">
        <v>11.41</v>
      </c>
      <c r="BN2100" s="2">
        <v>92.92</v>
      </c>
      <c r="BO2100" s="2">
        <v>92.92</v>
      </c>
      <c r="BP2100" s="2"/>
      <c r="BQ2100" s="2" t="s">
        <v>131</v>
      </c>
      <c r="BR2100" s="2" t="s">
        <v>83</v>
      </c>
      <c r="BS2100" s="3">
        <v>42667</v>
      </c>
      <c r="BT2100" s="4">
        <v>0.4375</v>
      </c>
      <c r="BU2100" s="2" t="s">
        <v>2156</v>
      </c>
      <c r="BV2100" s="2" t="s">
        <v>85</v>
      </c>
      <c r="BW2100" s="2"/>
      <c r="BX2100" s="2"/>
      <c r="BY2100" s="2">
        <v>12286.92</v>
      </c>
      <c r="BZ2100" s="2"/>
      <c r="CA2100" s="2"/>
      <c r="CB2100" s="2"/>
      <c r="CC2100" s="2" t="s">
        <v>94</v>
      </c>
      <c r="CD2100" s="2">
        <v>4302</v>
      </c>
      <c r="CE2100" s="2" t="s">
        <v>86</v>
      </c>
      <c r="CF2100" s="5">
        <v>42668</v>
      </c>
      <c r="CG2100" s="2"/>
      <c r="CH2100" s="2"/>
      <c r="CI2100" s="2">
        <v>1</v>
      </c>
      <c r="CJ2100" s="2">
        <v>1</v>
      </c>
      <c r="CK2100" s="2">
        <v>21</v>
      </c>
      <c r="CL2100" s="2" t="s">
        <v>88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"FES1162508508"</f>
        <v>FES1162508508</v>
      </c>
      <c r="F2101" s="3">
        <v>42664</v>
      </c>
      <c r="G2101" s="2">
        <v>201704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269</v>
      </c>
      <c r="M2101" s="2" t="s">
        <v>270</v>
      </c>
      <c r="N2101" s="2" t="s">
        <v>299</v>
      </c>
      <c r="O2101" s="2" t="s">
        <v>96</v>
      </c>
      <c r="P2101" s="2" t="str">
        <f>"2170531791                    "</f>
        <v xml:space="preserve">2170531791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3.32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1</v>
      </c>
      <c r="BJ2101" s="2">
        <v>0.2</v>
      </c>
      <c r="BK2101" s="2">
        <v>1</v>
      </c>
      <c r="BL2101" s="2">
        <v>40.76</v>
      </c>
      <c r="BM2101" s="2">
        <v>5.71</v>
      </c>
      <c r="BN2101" s="2">
        <v>46.47</v>
      </c>
      <c r="BO2101" s="2">
        <v>46.47</v>
      </c>
      <c r="BP2101" s="2"/>
      <c r="BQ2101" s="2" t="s">
        <v>300</v>
      </c>
      <c r="BR2101" s="2" t="s">
        <v>83</v>
      </c>
      <c r="BS2101" s="3">
        <v>42667</v>
      </c>
      <c r="BT2101" s="4">
        <v>0.4375</v>
      </c>
      <c r="BU2101" s="2" t="s">
        <v>1325</v>
      </c>
      <c r="BV2101" s="2" t="s">
        <v>85</v>
      </c>
      <c r="BW2101" s="2"/>
      <c r="BX2101" s="2"/>
      <c r="BY2101" s="2">
        <v>1200</v>
      </c>
      <c r="BZ2101" s="2"/>
      <c r="CA2101" s="2" t="s">
        <v>129</v>
      </c>
      <c r="CB2101" s="2"/>
      <c r="CC2101" s="2" t="s">
        <v>270</v>
      </c>
      <c r="CD2101" s="2">
        <v>3610</v>
      </c>
      <c r="CE2101" s="2" t="s">
        <v>108</v>
      </c>
      <c r="CF2101" s="5">
        <v>42668</v>
      </c>
      <c r="CG2101" s="2"/>
      <c r="CH2101" s="2"/>
      <c r="CI2101" s="2">
        <v>1</v>
      </c>
      <c r="CJ2101" s="2">
        <v>1</v>
      </c>
      <c r="CK2101" s="2">
        <v>21</v>
      </c>
      <c r="CL2101" s="2" t="s">
        <v>88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"FES1162508432"</f>
        <v>FES1162508432</v>
      </c>
      <c r="F2102" s="3">
        <v>42664</v>
      </c>
      <c r="G2102" s="2">
        <v>201704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503</v>
      </c>
      <c r="M2102" s="2" t="s">
        <v>504</v>
      </c>
      <c r="N2102" s="2" t="s">
        <v>505</v>
      </c>
      <c r="O2102" s="2" t="s">
        <v>96</v>
      </c>
      <c r="P2102" s="2" t="str">
        <f>"2170529709                    "</f>
        <v xml:space="preserve">2170529709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6.43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1</v>
      </c>
      <c r="BJ2102" s="2">
        <v>0.2</v>
      </c>
      <c r="BK2102" s="2">
        <v>1</v>
      </c>
      <c r="BL2102" s="2">
        <v>78.97</v>
      </c>
      <c r="BM2102" s="2">
        <v>11.06</v>
      </c>
      <c r="BN2102" s="2">
        <v>90.03</v>
      </c>
      <c r="BO2102" s="2">
        <v>90.03</v>
      </c>
      <c r="BP2102" s="2"/>
      <c r="BQ2102" s="2" t="s">
        <v>91</v>
      </c>
      <c r="BR2102" s="2" t="s">
        <v>83</v>
      </c>
      <c r="BS2102" s="3">
        <v>42667</v>
      </c>
      <c r="BT2102" s="4">
        <v>0.58958333333333335</v>
      </c>
      <c r="BU2102" s="2" t="s">
        <v>2157</v>
      </c>
      <c r="BV2102" s="2" t="s">
        <v>88</v>
      </c>
      <c r="BW2102" s="2" t="s">
        <v>165</v>
      </c>
      <c r="BX2102" s="2" t="s">
        <v>695</v>
      </c>
      <c r="BY2102" s="2">
        <v>1200</v>
      </c>
      <c r="BZ2102" s="2"/>
      <c r="CA2102" s="2" t="s">
        <v>1166</v>
      </c>
      <c r="CB2102" s="2"/>
      <c r="CC2102" s="2" t="s">
        <v>504</v>
      </c>
      <c r="CD2102" s="2">
        <v>7349</v>
      </c>
      <c r="CE2102" s="2" t="s">
        <v>108</v>
      </c>
      <c r="CF2102" s="5">
        <v>42667</v>
      </c>
      <c r="CG2102" s="2"/>
      <c r="CH2102" s="2"/>
      <c r="CI2102" s="2">
        <v>1</v>
      </c>
      <c r="CJ2102" s="2">
        <v>1</v>
      </c>
      <c r="CK2102" s="2">
        <v>23</v>
      </c>
      <c r="CL2102" s="2" t="s">
        <v>88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"FES1162508364"</f>
        <v>FES1162508364</v>
      </c>
      <c r="F2103" s="3">
        <v>42664</v>
      </c>
      <c r="G2103" s="2">
        <v>201704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260</v>
      </c>
      <c r="M2103" s="2" t="s">
        <v>261</v>
      </c>
      <c r="N2103" s="2" t="s">
        <v>282</v>
      </c>
      <c r="O2103" s="2" t="s">
        <v>96</v>
      </c>
      <c r="P2103" s="2" t="str">
        <f>"2170531538                    "</f>
        <v xml:space="preserve">2170531538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3.32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1</v>
      </c>
      <c r="BJ2103" s="2">
        <v>0.2</v>
      </c>
      <c r="BK2103" s="2">
        <v>1</v>
      </c>
      <c r="BL2103" s="2">
        <v>40.76</v>
      </c>
      <c r="BM2103" s="2">
        <v>5.71</v>
      </c>
      <c r="BN2103" s="2">
        <v>46.47</v>
      </c>
      <c r="BO2103" s="2">
        <v>46.47</v>
      </c>
      <c r="BP2103" s="2"/>
      <c r="BQ2103" s="2" t="s">
        <v>91</v>
      </c>
      <c r="BR2103" s="2" t="s">
        <v>83</v>
      </c>
      <c r="BS2103" s="3">
        <v>42667</v>
      </c>
      <c r="BT2103" s="4">
        <v>0.4465277777777778</v>
      </c>
      <c r="BU2103" s="2" t="s">
        <v>1563</v>
      </c>
      <c r="BV2103" s="2" t="s">
        <v>85</v>
      </c>
      <c r="BW2103" s="2"/>
      <c r="BX2103" s="2"/>
      <c r="BY2103" s="2">
        <v>1200</v>
      </c>
      <c r="BZ2103" s="2"/>
      <c r="CA2103" s="2"/>
      <c r="CB2103" s="2"/>
      <c r="CC2103" s="2" t="s">
        <v>261</v>
      </c>
      <c r="CD2103" s="2">
        <v>6850</v>
      </c>
      <c r="CE2103" s="2" t="s">
        <v>108</v>
      </c>
      <c r="CF2103" s="5">
        <v>42668</v>
      </c>
      <c r="CG2103" s="2"/>
      <c r="CH2103" s="2"/>
      <c r="CI2103" s="2">
        <v>3</v>
      </c>
      <c r="CJ2103" s="2">
        <v>1</v>
      </c>
      <c r="CK2103" s="2">
        <v>21</v>
      </c>
      <c r="CL2103" s="2" t="s">
        <v>88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"FES1162508554"</f>
        <v>FES1162508554</v>
      </c>
      <c r="F2104" s="3">
        <v>42664</v>
      </c>
      <c r="G2104" s="2">
        <v>201704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119</v>
      </c>
      <c r="M2104" s="2" t="s">
        <v>120</v>
      </c>
      <c r="N2104" s="2" t="s">
        <v>186</v>
      </c>
      <c r="O2104" s="2" t="s">
        <v>96</v>
      </c>
      <c r="P2104" s="2" t="str">
        <f>"2170529213                    "</f>
        <v xml:space="preserve">2170529213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24.05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14.4</v>
      </c>
      <c r="BJ2104" s="2">
        <v>3.5</v>
      </c>
      <c r="BK2104" s="2">
        <v>14.5</v>
      </c>
      <c r="BL2104" s="2">
        <v>295.49</v>
      </c>
      <c r="BM2104" s="2">
        <v>41.37</v>
      </c>
      <c r="BN2104" s="2">
        <v>336.86</v>
      </c>
      <c r="BO2104" s="2">
        <v>336.86</v>
      </c>
      <c r="BP2104" s="2"/>
      <c r="BQ2104" s="2" t="s">
        <v>187</v>
      </c>
      <c r="BR2104" s="2" t="s">
        <v>83</v>
      </c>
      <c r="BS2104" s="3">
        <v>42667</v>
      </c>
      <c r="BT2104" s="4">
        <v>0.32361111111111113</v>
      </c>
      <c r="BU2104" s="2" t="s">
        <v>388</v>
      </c>
      <c r="BV2104" s="2" t="s">
        <v>85</v>
      </c>
      <c r="BW2104" s="2"/>
      <c r="BX2104" s="2"/>
      <c r="BY2104" s="2">
        <v>17737.09</v>
      </c>
      <c r="BZ2104" s="2"/>
      <c r="CA2104" s="2"/>
      <c r="CB2104" s="2"/>
      <c r="CC2104" s="2" t="s">
        <v>120</v>
      </c>
      <c r="CD2104" s="2">
        <v>6229</v>
      </c>
      <c r="CE2104" s="2" t="s">
        <v>86</v>
      </c>
      <c r="CF2104" s="5">
        <v>42668</v>
      </c>
      <c r="CG2104" s="2"/>
      <c r="CH2104" s="2"/>
      <c r="CI2104" s="2">
        <v>1</v>
      </c>
      <c r="CJ2104" s="2">
        <v>1</v>
      </c>
      <c r="CK2104" s="2">
        <v>21</v>
      </c>
      <c r="CL2104" s="2" t="s">
        <v>88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"FES1162508552"</f>
        <v>FES1162508552</v>
      </c>
      <c r="F2105" s="3">
        <v>42664</v>
      </c>
      <c r="G2105" s="2">
        <v>201704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119</v>
      </c>
      <c r="M2105" s="2" t="s">
        <v>120</v>
      </c>
      <c r="N2105" s="2" t="s">
        <v>186</v>
      </c>
      <c r="O2105" s="2" t="s">
        <v>96</v>
      </c>
      <c r="P2105" s="2" t="str">
        <f>"217052910                     "</f>
        <v xml:space="preserve">217052910 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12.44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1</v>
      </c>
      <c r="BI2105" s="2">
        <v>7.1</v>
      </c>
      <c r="BJ2105" s="2">
        <v>3.8</v>
      </c>
      <c r="BK2105" s="2">
        <v>7.5</v>
      </c>
      <c r="BL2105" s="2">
        <v>152.84</v>
      </c>
      <c r="BM2105" s="2">
        <v>21.4</v>
      </c>
      <c r="BN2105" s="2">
        <v>174.24</v>
      </c>
      <c r="BO2105" s="2">
        <v>174.24</v>
      </c>
      <c r="BP2105" s="2"/>
      <c r="BQ2105" s="2" t="s">
        <v>187</v>
      </c>
      <c r="BR2105" s="2" t="s">
        <v>83</v>
      </c>
      <c r="BS2105" s="3">
        <v>42667</v>
      </c>
      <c r="BT2105" s="4">
        <v>0.32361111111111113</v>
      </c>
      <c r="BU2105" s="2" t="s">
        <v>388</v>
      </c>
      <c r="BV2105" s="2" t="s">
        <v>85</v>
      </c>
      <c r="BW2105" s="2"/>
      <c r="BX2105" s="2"/>
      <c r="BY2105" s="2">
        <v>19219.97</v>
      </c>
      <c r="BZ2105" s="2"/>
      <c r="CA2105" s="2"/>
      <c r="CB2105" s="2"/>
      <c r="CC2105" s="2" t="s">
        <v>120</v>
      </c>
      <c r="CD2105" s="2">
        <v>6229</v>
      </c>
      <c r="CE2105" s="2" t="s">
        <v>86</v>
      </c>
      <c r="CF2105" s="5">
        <v>42668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88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"FES1162508546"</f>
        <v>FES1162508546</v>
      </c>
      <c r="F2106" s="3">
        <v>42664</v>
      </c>
      <c r="G2106" s="2">
        <v>201704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119</v>
      </c>
      <c r="M2106" s="2" t="s">
        <v>120</v>
      </c>
      <c r="N2106" s="2" t="s">
        <v>186</v>
      </c>
      <c r="O2106" s="2" t="s">
        <v>96</v>
      </c>
      <c r="P2106" s="2" t="str">
        <f>"2170529164                    "</f>
        <v xml:space="preserve">2170529164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7.46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4.4000000000000004</v>
      </c>
      <c r="BJ2106" s="2">
        <v>1.7</v>
      </c>
      <c r="BK2106" s="2">
        <v>4.5</v>
      </c>
      <c r="BL2106" s="2">
        <v>91.7</v>
      </c>
      <c r="BM2106" s="2">
        <v>12.84</v>
      </c>
      <c r="BN2106" s="2">
        <v>104.54</v>
      </c>
      <c r="BO2106" s="2">
        <v>104.54</v>
      </c>
      <c r="BP2106" s="2"/>
      <c r="BQ2106" s="2" t="s">
        <v>187</v>
      </c>
      <c r="BR2106" s="2" t="s">
        <v>83</v>
      </c>
      <c r="BS2106" s="3">
        <v>42667</v>
      </c>
      <c r="BT2106" s="4">
        <v>0.32361111111111113</v>
      </c>
      <c r="BU2106" s="2" t="s">
        <v>388</v>
      </c>
      <c r="BV2106" s="2" t="s">
        <v>85</v>
      </c>
      <c r="BW2106" s="2"/>
      <c r="BX2106" s="2"/>
      <c r="BY2106" s="2">
        <v>8317.44</v>
      </c>
      <c r="BZ2106" s="2"/>
      <c r="CA2106" s="2"/>
      <c r="CB2106" s="2"/>
      <c r="CC2106" s="2" t="s">
        <v>120</v>
      </c>
      <c r="CD2106" s="2">
        <v>6229</v>
      </c>
      <c r="CE2106" s="2" t="s">
        <v>1350</v>
      </c>
      <c r="CF2106" s="5">
        <v>42668</v>
      </c>
      <c r="CG2106" s="2"/>
      <c r="CH2106" s="2"/>
      <c r="CI2106" s="2">
        <v>1</v>
      </c>
      <c r="CJ2106" s="2">
        <v>1</v>
      </c>
      <c r="CK2106" s="2">
        <v>21</v>
      </c>
      <c r="CL2106" s="2" t="s">
        <v>88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"FES1162508587"</f>
        <v>FES1162508587</v>
      </c>
      <c r="F2107" s="3">
        <v>42664</v>
      </c>
      <c r="G2107" s="2">
        <v>201704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143</v>
      </c>
      <c r="M2107" s="2" t="s">
        <v>144</v>
      </c>
      <c r="N2107" s="2" t="s">
        <v>317</v>
      </c>
      <c r="O2107" s="2" t="s">
        <v>96</v>
      </c>
      <c r="P2107" s="2" t="str">
        <f>"2170531859                    "</f>
        <v xml:space="preserve">2170531859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9.9499999999999993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5</v>
      </c>
      <c r="BJ2107" s="2">
        <v>5.9</v>
      </c>
      <c r="BK2107" s="2">
        <v>6</v>
      </c>
      <c r="BL2107" s="2">
        <v>122.27</v>
      </c>
      <c r="BM2107" s="2">
        <v>17.12</v>
      </c>
      <c r="BN2107" s="2">
        <v>139.38999999999999</v>
      </c>
      <c r="BO2107" s="2">
        <v>139.38999999999999</v>
      </c>
      <c r="BP2107" s="2"/>
      <c r="BQ2107" s="2" t="s">
        <v>318</v>
      </c>
      <c r="BR2107" s="2" t="s">
        <v>83</v>
      </c>
      <c r="BS2107" s="3">
        <v>42667</v>
      </c>
      <c r="BT2107" s="4">
        <v>0.4375</v>
      </c>
      <c r="BU2107" s="2" t="s">
        <v>2158</v>
      </c>
      <c r="BV2107" s="2"/>
      <c r="BW2107" s="2"/>
      <c r="BX2107" s="2"/>
      <c r="BY2107" s="2">
        <v>29568</v>
      </c>
      <c r="BZ2107" s="2"/>
      <c r="CA2107" s="2"/>
      <c r="CB2107" s="2"/>
      <c r="CC2107" s="2" t="s">
        <v>144</v>
      </c>
      <c r="CD2107" s="2">
        <v>5200</v>
      </c>
      <c r="CE2107" s="2" t="s">
        <v>1350</v>
      </c>
      <c r="CF2107" s="5">
        <v>42669</v>
      </c>
      <c r="CG2107" s="2"/>
      <c r="CH2107" s="2"/>
      <c r="CI2107" s="2">
        <v>0</v>
      </c>
      <c r="CJ2107" s="2">
        <v>0</v>
      </c>
      <c r="CK2107" s="2">
        <v>21</v>
      </c>
      <c r="CL2107" s="2" t="s">
        <v>88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"FES1162508547"</f>
        <v>FES1162508547</v>
      </c>
      <c r="F2108" s="3">
        <v>42664</v>
      </c>
      <c r="G2108" s="2">
        <v>201704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119</v>
      </c>
      <c r="M2108" s="2" t="s">
        <v>120</v>
      </c>
      <c r="N2108" s="2" t="s">
        <v>186</v>
      </c>
      <c r="O2108" s="2" t="s">
        <v>96</v>
      </c>
      <c r="P2108" s="2" t="str">
        <f>"2170529181                    "</f>
        <v xml:space="preserve">2170529181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3.32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40.76</v>
      </c>
      <c r="BM2108" s="2">
        <v>5.71</v>
      </c>
      <c r="BN2108" s="2">
        <v>46.47</v>
      </c>
      <c r="BO2108" s="2">
        <v>46.47</v>
      </c>
      <c r="BP2108" s="2"/>
      <c r="BQ2108" s="2" t="s">
        <v>187</v>
      </c>
      <c r="BR2108" s="2" t="s">
        <v>83</v>
      </c>
      <c r="BS2108" s="3">
        <v>42667</v>
      </c>
      <c r="BT2108" s="4">
        <v>0.58472222222222225</v>
      </c>
      <c r="BU2108" s="2" t="s">
        <v>2159</v>
      </c>
      <c r="BV2108" s="2" t="s">
        <v>88</v>
      </c>
      <c r="BW2108" s="2" t="s">
        <v>277</v>
      </c>
      <c r="BX2108" s="2" t="s">
        <v>1683</v>
      </c>
      <c r="BY2108" s="2">
        <v>1200</v>
      </c>
      <c r="BZ2108" s="2"/>
      <c r="CA2108" s="2" t="s">
        <v>129</v>
      </c>
      <c r="CB2108" s="2"/>
      <c r="CC2108" s="2" t="s">
        <v>120</v>
      </c>
      <c r="CD2108" s="2">
        <v>6229</v>
      </c>
      <c r="CE2108" s="2" t="s">
        <v>108</v>
      </c>
      <c r="CF2108" s="5">
        <v>42668</v>
      </c>
      <c r="CG2108" s="2"/>
      <c r="CH2108" s="2"/>
      <c r="CI2108" s="2">
        <v>1</v>
      </c>
      <c r="CJ2108" s="2">
        <v>1</v>
      </c>
      <c r="CK2108" s="2">
        <v>21</v>
      </c>
      <c r="CL2108" s="2" t="s">
        <v>88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"FES1162508542"</f>
        <v>FES1162508542</v>
      </c>
      <c r="F2109" s="3">
        <v>42664</v>
      </c>
      <c r="G2109" s="2">
        <v>201704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119</v>
      </c>
      <c r="M2109" s="2" t="s">
        <v>120</v>
      </c>
      <c r="N2109" s="2" t="s">
        <v>186</v>
      </c>
      <c r="O2109" s="2" t="s">
        <v>96</v>
      </c>
      <c r="P2109" s="2" t="str">
        <f>"217052911                     "</f>
        <v xml:space="preserve">217052911 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3.32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1</v>
      </c>
      <c r="BJ2109" s="2">
        <v>0.2</v>
      </c>
      <c r="BK2109" s="2">
        <v>1</v>
      </c>
      <c r="BL2109" s="2">
        <v>40.76</v>
      </c>
      <c r="BM2109" s="2">
        <v>5.71</v>
      </c>
      <c r="BN2109" s="2">
        <v>46.47</v>
      </c>
      <c r="BO2109" s="2">
        <v>46.47</v>
      </c>
      <c r="BP2109" s="2"/>
      <c r="BQ2109" s="2" t="s">
        <v>187</v>
      </c>
      <c r="BR2109" s="2" t="s">
        <v>83</v>
      </c>
      <c r="BS2109" s="3">
        <v>42667</v>
      </c>
      <c r="BT2109" s="4">
        <v>0.32361111111111113</v>
      </c>
      <c r="BU2109" s="2" t="s">
        <v>388</v>
      </c>
      <c r="BV2109" s="2" t="s">
        <v>85</v>
      </c>
      <c r="BW2109" s="2"/>
      <c r="BX2109" s="2"/>
      <c r="BY2109" s="2">
        <v>1200</v>
      </c>
      <c r="BZ2109" s="2"/>
      <c r="CA2109" s="2"/>
      <c r="CB2109" s="2"/>
      <c r="CC2109" s="2" t="s">
        <v>120</v>
      </c>
      <c r="CD2109" s="2">
        <v>6229</v>
      </c>
      <c r="CE2109" s="2" t="s">
        <v>108</v>
      </c>
      <c r="CF2109" s="5">
        <v>42668</v>
      </c>
      <c r="CG2109" s="2"/>
      <c r="CH2109" s="2"/>
      <c r="CI2109" s="2">
        <v>1</v>
      </c>
      <c r="CJ2109" s="2">
        <v>1</v>
      </c>
      <c r="CK2109" s="2">
        <v>21</v>
      </c>
      <c r="CL2109" s="2" t="s">
        <v>88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"FES1162508509"</f>
        <v>FES1162508509</v>
      </c>
      <c r="F2110" s="3">
        <v>42664</v>
      </c>
      <c r="G2110" s="2">
        <v>201704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98</v>
      </c>
      <c r="M2110" s="2" t="s">
        <v>99</v>
      </c>
      <c r="N2110" s="2" t="s">
        <v>133</v>
      </c>
      <c r="O2110" s="2" t="s">
        <v>96</v>
      </c>
      <c r="P2110" s="2" t="str">
        <f>"2170531793                    "</f>
        <v xml:space="preserve">2170531793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3.32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1</v>
      </c>
      <c r="BJ2110" s="2">
        <v>0.2</v>
      </c>
      <c r="BK2110" s="2">
        <v>1</v>
      </c>
      <c r="BL2110" s="2">
        <v>40.76</v>
      </c>
      <c r="BM2110" s="2">
        <v>5.71</v>
      </c>
      <c r="BN2110" s="2">
        <v>46.47</v>
      </c>
      <c r="BO2110" s="2">
        <v>46.47</v>
      </c>
      <c r="BP2110" s="2"/>
      <c r="BQ2110" s="2" t="s">
        <v>134</v>
      </c>
      <c r="BR2110" s="2" t="s">
        <v>83</v>
      </c>
      <c r="BS2110" s="3">
        <v>42667</v>
      </c>
      <c r="BT2110" s="4">
        <v>0.36805555555555558</v>
      </c>
      <c r="BU2110" s="2" t="s">
        <v>238</v>
      </c>
      <c r="BV2110" s="2" t="s">
        <v>85</v>
      </c>
      <c r="BW2110" s="2"/>
      <c r="BX2110" s="2"/>
      <c r="BY2110" s="2">
        <v>1200</v>
      </c>
      <c r="BZ2110" s="2"/>
      <c r="CA2110" s="2"/>
      <c r="CB2110" s="2"/>
      <c r="CC2110" s="2" t="s">
        <v>99</v>
      </c>
      <c r="CD2110" s="2">
        <v>6001</v>
      </c>
      <c r="CE2110" s="2" t="s">
        <v>108</v>
      </c>
      <c r="CF2110" s="5">
        <v>42668</v>
      </c>
      <c r="CG2110" s="2"/>
      <c r="CH2110" s="2"/>
      <c r="CI2110" s="2">
        <v>1</v>
      </c>
      <c r="CJ2110" s="2">
        <v>1</v>
      </c>
      <c r="CK2110" s="2">
        <v>21</v>
      </c>
      <c r="CL2110" s="2" t="s">
        <v>88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"FES1162508520"</f>
        <v>FES1162508520</v>
      </c>
      <c r="F2111" s="3">
        <v>42664</v>
      </c>
      <c r="G2111" s="2">
        <v>201704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98</v>
      </c>
      <c r="M2111" s="2" t="s">
        <v>99</v>
      </c>
      <c r="N2111" s="2" t="s">
        <v>246</v>
      </c>
      <c r="O2111" s="2" t="s">
        <v>96</v>
      </c>
      <c r="P2111" s="2" t="str">
        <f>"2170530841                    "</f>
        <v xml:space="preserve">2170530841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23.22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10.9</v>
      </c>
      <c r="BJ2111" s="2">
        <v>13.8</v>
      </c>
      <c r="BK2111" s="2">
        <v>14</v>
      </c>
      <c r="BL2111" s="2">
        <v>285.3</v>
      </c>
      <c r="BM2111" s="2">
        <v>39.94</v>
      </c>
      <c r="BN2111" s="2">
        <v>325.24</v>
      </c>
      <c r="BO2111" s="2">
        <v>325.24</v>
      </c>
      <c r="BP2111" s="2"/>
      <c r="BQ2111" s="2" t="s">
        <v>247</v>
      </c>
      <c r="BR2111" s="2" t="s">
        <v>83</v>
      </c>
      <c r="BS2111" s="3">
        <v>42667</v>
      </c>
      <c r="BT2111" s="4">
        <v>0.61458333333333337</v>
      </c>
      <c r="BU2111" s="2" t="s">
        <v>248</v>
      </c>
      <c r="BV2111" s="2"/>
      <c r="BW2111" s="2" t="s">
        <v>222</v>
      </c>
      <c r="BX2111" s="2" t="s">
        <v>250</v>
      </c>
      <c r="BY2111" s="2">
        <v>68850.600000000006</v>
      </c>
      <c r="BZ2111" s="2"/>
      <c r="CA2111" s="2"/>
      <c r="CB2111" s="2"/>
      <c r="CC2111" s="2" t="s">
        <v>99</v>
      </c>
      <c r="CD2111" s="2">
        <v>6001</v>
      </c>
      <c r="CE2111" s="2" t="s">
        <v>86</v>
      </c>
      <c r="CF2111" s="5">
        <v>42668</v>
      </c>
      <c r="CG2111" s="2"/>
      <c r="CH2111" s="2"/>
      <c r="CI2111" s="2">
        <v>0</v>
      </c>
      <c r="CJ2111" s="2">
        <v>0</v>
      </c>
      <c r="CK2111" s="2">
        <v>21</v>
      </c>
      <c r="CL2111" s="2" t="s">
        <v>88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"FES1162508553"</f>
        <v>FES1162508553</v>
      </c>
      <c r="F2112" s="3">
        <v>42664</v>
      </c>
      <c r="G2112" s="2">
        <v>201704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119</v>
      </c>
      <c r="M2112" s="2" t="s">
        <v>120</v>
      </c>
      <c r="N2112" s="2" t="s">
        <v>186</v>
      </c>
      <c r="O2112" s="2" t="s">
        <v>96</v>
      </c>
      <c r="P2112" s="2" t="str">
        <f>"2170529212                    "</f>
        <v xml:space="preserve">2170529212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3.32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</v>
      </c>
      <c r="BJ2112" s="2">
        <v>0.2</v>
      </c>
      <c r="BK2112" s="2">
        <v>1</v>
      </c>
      <c r="BL2112" s="2">
        <v>40.76</v>
      </c>
      <c r="BM2112" s="2">
        <v>5.71</v>
      </c>
      <c r="BN2112" s="2">
        <v>46.47</v>
      </c>
      <c r="BO2112" s="2">
        <v>46.47</v>
      </c>
      <c r="BP2112" s="2"/>
      <c r="BQ2112" s="2" t="s">
        <v>187</v>
      </c>
      <c r="BR2112" s="2" t="s">
        <v>83</v>
      </c>
      <c r="BS2112" s="3">
        <v>42667</v>
      </c>
      <c r="BT2112" s="4">
        <v>0.32361111111111113</v>
      </c>
      <c r="BU2112" s="2" t="s">
        <v>388</v>
      </c>
      <c r="BV2112" s="2" t="s">
        <v>85</v>
      </c>
      <c r="BW2112" s="2"/>
      <c r="BX2112" s="2"/>
      <c r="BY2112" s="2">
        <v>1200</v>
      </c>
      <c r="BZ2112" s="2"/>
      <c r="CA2112" s="2"/>
      <c r="CB2112" s="2"/>
      <c r="CC2112" s="2" t="s">
        <v>120</v>
      </c>
      <c r="CD2112" s="2">
        <v>6229</v>
      </c>
      <c r="CE2112" s="2" t="s">
        <v>108</v>
      </c>
      <c r="CF2112" s="5">
        <v>42668</v>
      </c>
      <c r="CG2112" s="2"/>
      <c r="CH2112" s="2"/>
      <c r="CI2112" s="2">
        <v>1</v>
      </c>
      <c r="CJ2112" s="2">
        <v>1</v>
      </c>
      <c r="CK2112" s="2">
        <v>21</v>
      </c>
      <c r="CL2112" s="2" t="s">
        <v>88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"FES1162508548"</f>
        <v>FES1162508548</v>
      </c>
      <c r="F2113" s="3">
        <v>42664</v>
      </c>
      <c r="G2113" s="2">
        <v>201704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119</v>
      </c>
      <c r="M2113" s="2" t="s">
        <v>120</v>
      </c>
      <c r="N2113" s="2" t="s">
        <v>186</v>
      </c>
      <c r="O2113" s="2" t="s">
        <v>96</v>
      </c>
      <c r="P2113" s="2" t="str">
        <f>"2170529185                    "</f>
        <v xml:space="preserve">2170529185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3.32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40.76</v>
      </c>
      <c r="BM2113" s="2">
        <v>5.71</v>
      </c>
      <c r="BN2113" s="2">
        <v>46.47</v>
      </c>
      <c r="BO2113" s="2">
        <v>46.47</v>
      </c>
      <c r="BP2113" s="2"/>
      <c r="BQ2113" s="2" t="s">
        <v>187</v>
      </c>
      <c r="BR2113" s="2" t="s">
        <v>83</v>
      </c>
      <c r="BS2113" s="3">
        <v>42667</v>
      </c>
      <c r="BT2113" s="4">
        <v>0.32361111111111113</v>
      </c>
      <c r="BU2113" s="2" t="s">
        <v>388</v>
      </c>
      <c r="BV2113" s="2" t="s">
        <v>85</v>
      </c>
      <c r="BW2113" s="2"/>
      <c r="BX2113" s="2"/>
      <c r="BY2113" s="2">
        <v>1200</v>
      </c>
      <c r="BZ2113" s="2"/>
      <c r="CA2113" s="2"/>
      <c r="CB2113" s="2"/>
      <c r="CC2113" s="2" t="s">
        <v>120</v>
      </c>
      <c r="CD2113" s="2">
        <v>6229</v>
      </c>
      <c r="CE2113" s="2" t="s">
        <v>108</v>
      </c>
      <c r="CF2113" s="5">
        <v>42668</v>
      </c>
      <c r="CG2113" s="2"/>
      <c r="CH2113" s="2"/>
      <c r="CI2113" s="2">
        <v>1</v>
      </c>
      <c r="CJ2113" s="2">
        <v>1</v>
      </c>
      <c r="CK2113" s="2">
        <v>21</v>
      </c>
      <c r="CL2113" s="2" t="s">
        <v>88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"FES1162508550"</f>
        <v>FES1162508550</v>
      </c>
      <c r="F2114" s="3">
        <v>42664</v>
      </c>
      <c r="G2114" s="2">
        <v>201704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119</v>
      </c>
      <c r="M2114" s="2" t="s">
        <v>120</v>
      </c>
      <c r="N2114" s="2" t="s">
        <v>186</v>
      </c>
      <c r="O2114" s="2" t="s">
        <v>96</v>
      </c>
      <c r="P2114" s="2" t="str">
        <f>"2170529199                    "</f>
        <v xml:space="preserve">2170529199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3.32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1</v>
      </c>
      <c r="BJ2114" s="2">
        <v>0.2</v>
      </c>
      <c r="BK2114" s="2">
        <v>1</v>
      </c>
      <c r="BL2114" s="2">
        <v>40.76</v>
      </c>
      <c r="BM2114" s="2">
        <v>5.71</v>
      </c>
      <c r="BN2114" s="2">
        <v>46.47</v>
      </c>
      <c r="BO2114" s="2">
        <v>46.47</v>
      </c>
      <c r="BP2114" s="2"/>
      <c r="BQ2114" s="2" t="s">
        <v>187</v>
      </c>
      <c r="BR2114" s="2" t="s">
        <v>83</v>
      </c>
      <c r="BS2114" s="3">
        <v>42667</v>
      </c>
      <c r="BT2114" s="4">
        <v>0.32361111111111113</v>
      </c>
      <c r="BU2114" s="2" t="s">
        <v>388</v>
      </c>
      <c r="BV2114" s="2" t="s">
        <v>85</v>
      </c>
      <c r="BW2114" s="2"/>
      <c r="BX2114" s="2"/>
      <c r="BY2114" s="2">
        <v>1200</v>
      </c>
      <c r="BZ2114" s="2"/>
      <c r="CA2114" s="2"/>
      <c r="CB2114" s="2"/>
      <c r="CC2114" s="2" t="s">
        <v>120</v>
      </c>
      <c r="CD2114" s="2">
        <v>6229</v>
      </c>
      <c r="CE2114" s="2" t="s">
        <v>108</v>
      </c>
      <c r="CF2114" s="5">
        <v>42668</v>
      </c>
      <c r="CG2114" s="2"/>
      <c r="CH2114" s="2"/>
      <c r="CI2114" s="2">
        <v>1</v>
      </c>
      <c r="CJ2114" s="2">
        <v>1</v>
      </c>
      <c r="CK2114" s="2">
        <v>21</v>
      </c>
      <c r="CL2114" s="2" t="s">
        <v>88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"FES1162508544"</f>
        <v>FES1162508544</v>
      </c>
      <c r="F2115" s="3">
        <v>42664</v>
      </c>
      <c r="G2115" s="2">
        <v>201704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119</v>
      </c>
      <c r="M2115" s="2" t="s">
        <v>120</v>
      </c>
      <c r="N2115" s="2" t="s">
        <v>186</v>
      </c>
      <c r="O2115" s="2" t="s">
        <v>96</v>
      </c>
      <c r="P2115" s="2" t="str">
        <f>"2170529160                    "</f>
        <v xml:space="preserve">2170529160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3.32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1</v>
      </c>
      <c r="BJ2115" s="2">
        <v>0.2</v>
      </c>
      <c r="BK2115" s="2">
        <v>1</v>
      </c>
      <c r="BL2115" s="2">
        <v>40.76</v>
      </c>
      <c r="BM2115" s="2">
        <v>5.71</v>
      </c>
      <c r="BN2115" s="2">
        <v>46.47</v>
      </c>
      <c r="BO2115" s="2">
        <v>46.47</v>
      </c>
      <c r="BP2115" s="2"/>
      <c r="BQ2115" s="2" t="s">
        <v>187</v>
      </c>
      <c r="BR2115" s="2" t="s">
        <v>83</v>
      </c>
      <c r="BS2115" s="3">
        <v>42667</v>
      </c>
      <c r="BT2115" s="4">
        <v>0.32361111111111113</v>
      </c>
      <c r="BU2115" s="2" t="s">
        <v>388</v>
      </c>
      <c r="BV2115" s="2" t="s">
        <v>85</v>
      </c>
      <c r="BW2115" s="2"/>
      <c r="BX2115" s="2"/>
      <c r="BY2115" s="2">
        <v>1200</v>
      </c>
      <c r="BZ2115" s="2"/>
      <c r="CA2115" s="2"/>
      <c r="CB2115" s="2"/>
      <c r="CC2115" s="2" t="s">
        <v>120</v>
      </c>
      <c r="CD2115" s="2">
        <v>6229</v>
      </c>
      <c r="CE2115" s="2" t="s">
        <v>108</v>
      </c>
      <c r="CF2115" s="5">
        <v>42668</v>
      </c>
      <c r="CG2115" s="2"/>
      <c r="CH2115" s="2"/>
      <c r="CI2115" s="2">
        <v>1</v>
      </c>
      <c r="CJ2115" s="2">
        <v>1</v>
      </c>
      <c r="CK2115" s="2">
        <v>21</v>
      </c>
      <c r="CL2115" s="2" t="s">
        <v>88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"FES1162508543"</f>
        <v>FES1162508543</v>
      </c>
      <c r="F2116" s="3">
        <v>42664</v>
      </c>
      <c r="G2116" s="2">
        <v>201704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119</v>
      </c>
      <c r="M2116" s="2" t="s">
        <v>120</v>
      </c>
      <c r="N2116" s="2" t="s">
        <v>186</v>
      </c>
      <c r="O2116" s="2" t="s">
        <v>96</v>
      </c>
      <c r="P2116" s="2" t="str">
        <f>"21705308543                   "</f>
        <v xml:space="preserve">21705308543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3.32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1</v>
      </c>
      <c r="BJ2116" s="2">
        <v>0.2</v>
      </c>
      <c r="BK2116" s="2">
        <v>1</v>
      </c>
      <c r="BL2116" s="2">
        <v>40.76</v>
      </c>
      <c r="BM2116" s="2">
        <v>5.71</v>
      </c>
      <c r="BN2116" s="2">
        <v>46.47</v>
      </c>
      <c r="BO2116" s="2">
        <v>46.47</v>
      </c>
      <c r="BP2116" s="2"/>
      <c r="BQ2116" s="2" t="s">
        <v>187</v>
      </c>
      <c r="BR2116" s="2" t="s">
        <v>83</v>
      </c>
      <c r="BS2116" s="3">
        <v>42667</v>
      </c>
      <c r="BT2116" s="4">
        <v>0.32361111111111113</v>
      </c>
      <c r="BU2116" s="2" t="s">
        <v>388</v>
      </c>
      <c r="BV2116" s="2" t="s">
        <v>85</v>
      </c>
      <c r="BW2116" s="2"/>
      <c r="BX2116" s="2"/>
      <c r="BY2116" s="2">
        <v>1200</v>
      </c>
      <c r="BZ2116" s="2"/>
      <c r="CA2116" s="2"/>
      <c r="CB2116" s="2"/>
      <c r="CC2116" s="2" t="s">
        <v>120</v>
      </c>
      <c r="CD2116" s="2">
        <v>6229</v>
      </c>
      <c r="CE2116" s="2" t="s">
        <v>108</v>
      </c>
      <c r="CF2116" s="5">
        <v>42668</v>
      </c>
      <c r="CG2116" s="2"/>
      <c r="CH2116" s="2"/>
      <c r="CI2116" s="2">
        <v>1</v>
      </c>
      <c r="CJ2116" s="2">
        <v>1</v>
      </c>
      <c r="CK2116" s="2">
        <v>21</v>
      </c>
      <c r="CL2116" s="2" t="s">
        <v>88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"FES1162508549"</f>
        <v>FES1162508549</v>
      </c>
      <c r="F2117" s="3">
        <v>42664</v>
      </c>
      <c r="G2117" s="2">
        <v>201704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119</v>
      </c>
      <c r="M2117" s="2" t="s">
        <v>120</v>
      </c>
      <c r="N2117" s="2" t="s">
        <v>186</v>
      </c>
      <c r="O2117" s="2" t="s">
        <v>96</v>
      </c>
      <c r="P2117" s="2" t="str">
        <f>"2170529194                    "</f>
        <v xml:space="preserve">2170529194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3.32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1</v>
      </c>
      <c r="BI2117" s="2">
        <v>1</v>
      </c>
      <c r="BJ2117" s="2">
        <v>0.2</v>
      </c>
      <c r="BK2117" s="2">
        <v>1</v>
      </c>
      <c r="BL2117" s="2">
        <v>40.76</v>
      </c>
      <c r="BM2117" s="2">
        <v>5.71</v>
      </c>
      <c r="BN2117" s="2">
        <v>46.47</v>
      </c>
      <c r="BO2117" s="2">
        <v>46.47</v>
      </c>
      <c r="BP2117" s="2"/>
      <c r="BQ2117" s="2" t="s">
        <v>187</v>
      </c>
      <c r="BR2117" s="2" t="s">
        <v>83</v>
      </c>
      <c r="BS2117" s="3">
        <v>42667</v>
      </c>
      <c r="BT2117" s="4">
        <v>0.32361111111111113</v>
      </c>
      <c r="BU2117" s="2" t="s">
        <v>388</v>
      </c>
      <c r="BV2117" s="2" t="s">
        <v>85</v>
      </c>
      <c r="BW2117" s="2"/>
      <c r="BX2117" s="2"/>
      <c r="BY2117" s="2">
        <v>1200</v>
      </c>
      <c r="BZ2117" s="2"/>
      <c r="CA2117" s="2"/>
      <c r="CB2117" s="2"/>
      <c r="CC2117" s="2" t="s">
        <v>120</v>
      </c>
      <c r="CD2117" s="2">
        <v>6229</v>
      </c>
      <c r="CE2117" s="2" t="s">
        <v>108</v>
      </c>
      <c r="CF2117" s="5">
        <v>42668</v>
      </c>
      <c r="CG2117" s="2"/>
      <c r="CH2117" s="2"/>
      <c r="CI2117" s="2">
        <v>1</v>
      </c>
      <c r="CJ2117" s="2">
        <v>1</v>
      </c>
      <c r="CK2117" s="2">
        <v>21</v>
      </c>
      <c r="CL2117" s="2" t="s">
        <v>88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"FES1162508551"</f>
        <v>FES1162508551</v>
      </c>
      <c r="F2118" s="3">
        <v>42664</v>
      </c>
      <c r="G2118" s="2">
        <v>201704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119</v>
      </c>
      <c r="M2118" s="2" t="s">
        <v>120</v>
      </c>
      <c r="N2118" s="2" t="s">
        <v>186</v>
      </c>
      <c r="O2118" s="2" t="s">
        <v>96</v>
      </c>
      <c r="P2118" s="2" t="str">
        <f>"2170529208                    "</f>
        <v xml:space="preserve">2170529208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3.32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</v>
      </c>
      <c r="BJ2118" s="2">
        <v>0.2</v>
      </c>
      <c r="BK2118" s="2">
        <v>1</v>
      </c>
      <c r="BL2118" s="2">
        <v>40.76</v>
      </c>
      <c r="BM2118" s="2">
        <v>5.71</v>
      </c>
      <c r="BN2118" s="2">
        <v>46.47</v>
      </c>
      <c r="BO2118" s="2">
        <v>46.47</v>
      </c>
      <c r="BP2118" s="2"/>
      <c r="BQ2118" s="2" t="s">
        <v>187</v>
      </c>
      <c r="BR2118" s="2" t="s">
        <v>83</v>
      </c>
      <c r="BS2118" s="3">
        <v>42667</v>
      </c>
      <c r="BT2118" s="4">
        <v>0.32361111111111113</v>
      </c>
      <c r="BU2118" s="2" t="s">
        <v>388</v>
      </c>
      <c r="BV2118" s="2" t="s">
        <v>85</v>
      </c>
      <c r="BW2118" s="2"/>
      <c r="BX2118" s="2"/>
      <c r="BY2118" s="2">
        <v>1200</v>
      </c>
      <c r="BZ2118" s="2"/>
      <c r="CA2118" s="2"/>
      <c r="CB2118" s="2"/>
      <c r="CC2118" s="2" t="s">
        <v>120</v>
      </c>
      <c r="CD2118" s="2">
        <v>6229</v>
      </c>
      <c r="CE2118" s="2" t="s">
        <v>108</v>
      </c>
      <c r="CF2118" s="5">
        <v>42668</v>
      </c>
      <c r="CG2118" s="2"/>
      <c r="CH2118" s="2"/>
      <c r="CI2118" s="2">
        <v>1</v>
      </c>
      <c r="CJ2118" s="2">
        <v>1</v>
      </c>
      <c r="CK2118" s="2">
        <v>21</v>
      </c>
      <c r="CL2118" s="2" t="s">
        <v>88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"FES1162508534"</f>
        <v>FES1162508534</v>
      </c>
      <c r="F2119" s="3">
        <v>42664</v>
      </c>
      <c r="G2119" s="2">
        <v>201704</v>
      </c>
      <c r="H2119" s="2" t="s">
        <v>74</v>
      </c>
      <c r="I2119" s="2" t="s">
        <v>75</v>
      </c>
      <c r="J2119" s="2" t="s">
        <v>76</v>
      </c>
      <c r="K2119" s="2" t="s">
        <v>77</v>
      </c>
      <c r="L2119" s="2" t="s">
        <v>2160</v>
      </c>
      <c r="M2119" s="2" t="s">
        <v>2161</v>
      </c>
      <c r="N2119" s="2" t="s">
        <v>2162</v>
      </c>
      <c r="O2119" s="2" t="s">
        <v>96</v>
      </c>
      <c r="P2119" s="2" t="str">
        <f>"2170531823                    "</f>
        <v xml:space="preserve">2170531823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3.32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40.76</v>
      </c>
      <c r="BM2119" s="2">
        <v>5.71</v>
      </c>
      <c r="BN2119" s="2">
        <v>46.47</v>
      </c>
      <c r="BO2119" s="2">
        <v>46.47</v>
      </c>
      <c r="BP2119" s="2"/>
      <c r="BQ2119" s="2" t="s">
        <v>2163</v>
      </c>
      <c r="BR2119" s="2" t="s">
        <v>83</v>
      </c>
      <c r="BS2119" s="3">
        <v>42667</v>
      </c>
      <c r="BT2119" s="4">
        <v>0.5131944444444444</v>
      </c>
      <c r="BU2119" s="2" t="s">
        <v>2164</v>
      </c>
      <c r="BV2119" s="2" t="s">
        <v>85</v>
      </c>
      <c r="BW2119" s="2"/>
      <c r="BX2119" s="2"/>
      <c r="BY2119" s="2">
        <v>1200</v>
      </c>
      <c r="BZ2119" s="2"/>
      <c r="CA2119" s="2"/>
      <c r="CB2119" s="2"/>
      <c r="CC2119" s="2" t="s">
        <v>2161</v>
      </c>
      <c r="CD2119" s="2">
        <v>3250</v>
      </c>
      <c r="CE2119" s="2" t="s">
        <v>108</v>
      </c>
      <c r="CF2119" s="5">
        <v>42668</v>
      </c>
      <c r="CG2119" s="2"/>
      <c r="CH2119" s="2"/>
      <c r="CI2119" s="2">
        <v>1</v>
      </c>
      <c r="CJ2119" s="2">
        <v>1</v>
      </c>
      <c r="CK2119" s="2">
        <v>21</v>
      </c>
      <c r="CL2119" s="2" t="s">
        <v>88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"FES1162508526"</f>
        <v>FES1162508526</v>
      </c>
      <c r="F2120" s="3">
        <v>42664</v>
      </c>
      <c r="G2120" s="2">
        <v>201704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269</v>
      </c>
      <c r="M2120" s="2" t="s">
        <v>270</v>
      </c>
      <c r="N2120" s="2" t="s">
        <v>299</v>
      </c>
      <c r="O2120" s="2" t="s">
        <v>96</v>
      </c>
      <c r="P2120" s="2" t="str">
        <f>"2170531816                    "</f>
        <v xml:space="preserve">2170531816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3.32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</v>
      </c>
      <c r="BJ2120" s="2">
        <v>0.2</v>
      </c>
      <c r="BK2120" s="2">
        <v>1</v>
      </c>
      <c r="BL2120" s="2">
        <v>40.76</v>
      </c>
      <c r="BM2120" s="2">
        <v>5.71</v>
      </c>
      <c r="BN2120" s="2">
        <v>46.47</v>
      </c>
      <c r="BO2120" s="2">
        <v>46.47</v>
      </c>
      <c r="BP2120" s="2"/>
      <c r="BQ2120" s="2" t="s">
        <v>300</v>
      </c>
      <c r="BR2120" s="2" t="s">
        <v>83</v>
      </c>
      <c r="BS2120" s="3">
        <v>42667</v>
      </c>
      <c r="BT2120" s="4">
        <v>0.4375</v>
      </c>
      <c r="BU2120" s="2" t="s">
        <v>1325</v>
      </c>
      <c r="BV2120" s="2" t="s">
        <v>85</v>
      </c>
      <c r="BW2120" s="2"/>
      <c r="BX2120" s="2"/>
      <c r="BY2120" s="2">
        <v>1200</v>
      </c>
      <c r="BZ2120" s="2"/>
      <c r="CA2120" s="2" t="s">
        <v>129</v>
      </c>
      <c r="CB2120" s="2"/>
      <c r="CC2120" s="2" t="s">
        <v>270</v>
      </c>
      <c r="CD2120" s="2">
        <v>3610</v>
      </c>
      <c r="CE2120" s="2" t="s">
        <v>108</v>
      </c>
      <c r="CF2120" s="5">
        <v>42668</v>
      </c>
      <c r="CG2120" s="2"/>
      <c r="CH2120" s="2"/>
      <c r="CI2120" s="2">
        <v>1</v>
      </c>
      <c r="CJ2120" s="2">
        <v>1</v>
      </c>
      <c r="CK2120" s="2">
        <v>21</v>
      </c>
      <c r="CL2120" s="2" t="s">
        <v>88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"FES1162508518"</f>
        <v>FES1162508518</v>
      </c>
      <c r="F2121" s="3">
        <v>42664</v>
      </c>
      <c r="G2121" s="2">
        <v>201704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148</v>
      </c>
      <c r="M2121" s="2" t="s">
        <v>149</v>
      </c>
      <c r="N2121" s="2" t="s">
        <v>473</v>
      </c>
      <c r="O2121" s="2" t="s">
        <v>96</v>
      </c>
      <c r="P2121" s="2" t="str">
        <f>"2170531806                    "</f>
        <v xml:space="preserve">2170531806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3.32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1</v>
      </c>
      <c r="BJ2121" s="2">
        <v>0.2</v>
      </c>
      <c r="BK2121" s="2">
        <v>1</v>
      </c>
      <c r="BL2121" s="2">
        <v>40.76</v>
      </c>
      <c r="BM2121" s="2">
        <v>5.71</v>
      </c>
      <c r="BN2121" s="2">
        <v>46.47</v>
      </c>
      <c r="BO2121" s="2">
        <v>46.47</v>
      </c>
      <c r="BP2121" s="2"/>
      <c r="BQ2121" s="2" t="s">
        <v>117</v>
      </c>
      <c r="BR2121" s="2" t="s">
        <v>83</v>
      </c>
      <c r="BS2121" s="3">
        <v>42667</v>
      </c>
      <c r="BT2121" s="4">
        <v>0.4375</v>
      </c>
      <c r="BU2121" s="2" t="s">
        <v>1595</v>
      </c>
      <c r="BV2121" s="2" t="s">
        <v>85</v>
      </c>
      <c r="BW2121" s="2"/>
      <c r="BX2121" s="2"/>
      <c r="BY2121" s="2">
        <v>1200</v>
      </c>
      <c r="BZ2121" s="2"/>
      <c r="CA2121" s="2" t="s">
        <v>129</v>
      </c>
      <c r="CB2121" s="2"/>
      <c r="CC2121" s="2" t="s">
        <v>149</v>
      </c>
      <c r="CD2121" s="2">
        <v>4052</v>
      </c>
      <c r="CE2121" s="2" t="s">
        <v>108</v>
      </c>
      <c r="CF2121" s="5">
        <v>42668</v>
      </c>
      <c r="CG2121" s="2"/>
      <c r="CH2121" s="2"/>
      <c r="CI2121" s="2">
        <v>1</v>
      </c>
      <c r="CJ2121" s="2">
        <v>1</v>
      </c>
      <c r="CK2121" s="2">
        <v>21</v>
      </c>
      <c r="CL2121" s="2" t="s">
        <v>88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"FES1162508591"</f>
        <v>FES1162508591</v>
      </c>
      <c r="F2122" s="3">
        <v>42664</v>
      </c>
      <c r="G2122" s="2">
        <v>201704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269</v>
      </c>
      <c r="M2122" s="2" t="s">
        <v>270</v>
      </c>
      <c r="N2122" s="2" t="s">
        <v>2165</v>
      </c>
      <c r="O2122" s="2" t="s">
        <v>96</v>
      </c>
      <c r="P2122" s="2" t="str">
        <f>"2170531869                    "</f>
        <v xml:space="preserve">2170531869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3.32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1</v>
      </c>
      <c r="BJ2122" s="2">
        <v>0.2</v>
      </c>
      <c r="BK2122" s="2">
        <v>1</v>
      </c>
      <c r="BL2122" s="2">
        <v>40.76</v>
      </c>
      <c r="BM2122" s="2">
        <v>5.71</v>
      </c>
      <c r="BN2122" s="2">
        <v>46.47</v>
      </c>
      <c r="BO2122" s="2">
        <v>46.47</v>
      </c>
      <c r="BP2122" s="2"/>
      <c r="BQ2122" s="2" t="s">
        <v>91</v>
      </c>
      <c r="BR2122" s="2" t="s">
        <v>83</v>
      </c>
      <c r="BS2122" s="3">
        <v>42667</v>
      </c>
      <c r="BT2122" s="4">
        <v>0.4375</v>
      </c>
      <c r="BU2122" s="2" t="s">
        <v>390</v>
      </c>
      <c r="BV2122" s="2" t="s">
        <v>85</v>
      </c>
      <c r="BW2122" s="2"/>
      <c r="BX2122" s="2"/>
      <c r="BY2122" s="2">
        <v>1200</v>
      </c>
      <c r="BZ2122" s="2"/>
      <c r="CA2122" s="2"/>
      <c r="CB2122" s="2"/>
      <c r="CC2122" s="2" t="s">
        <v>270</v>
      </c>
      <c r="CD2122" s="2">
        <v>3610</v>
      </c>
      <c r="CE2122" s="2" t="s">
        <v>108</v>
      </c>
      <c r="CF2122" s="5">
        <v>42668</v>
      </c>
      <c r="CG2122" s="2"/>
      <c r="CH2122" s="2"/>
      <c r="CI2122" s="2">
        <v>1</v>
      </c>
      <c r="CJ2122" s="2">
        <v>1</v>
      </c>
      <c r="CK2122" s="2">
        <v>21</v>
      </c>
      <c r="CL2122" s="2" t="s">
        <v>88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"FES1162508512"</f>
        <v>FES1162508512</v>
      </c>
      <c r="F2123" s="3">
        <v>42664</v>
      </c>
      <c r="G2123" s="2">
        <v>201704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148</v>
      </c>
      <c r="M2123" s="2" t="s">
        <v>149</v>
      </c>
      <c r="N2123" s="2" t="s">
        <v>293</v>
      </c>
      <c r="O2123" s="2" t="s">
        <v>96</v>
      </c>
      <c r="P2123" s="2" t="str">
        <f>"2170503587                    "</f>
        <v xml:space="preserve">2170503587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24.88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14.6</v>
      </c>
      <c r="BJ2123" s="2">
        <v>8.1</v>
      </c>
      <c r="BK2123" s="2">
        <v>15</v>
      </c>
      <c r="BL2123" s="2">
        <v>305.68</v>
      </c>
      <c r="BM2123" s="2">
        <v>42.8</v>
      </c>
      <c r="BN2123" s="2">
        <v>348.48</v>
      </c>
      <c r="BO2123" s="2">
        <v>348.48</v>
      </c>
      <c r="BP2123" s="2"/>
      <c r="BQ2123" s="2" t="s">
        <v>1352</v>
      </c>
      <c r="BR2123" s="2" t="s">
        <v>83</v>
      </c>
      <c r="BS2123" s="3">
        <v>42667</v>
      </c>
      <c r="BT2123" s="4">
        <v>0.4375</v>
      </c>
      <c r="BU2123" s="2" t="s">
        <v>2140</v>
      </c>
      <c r="BV2123" s="2" t="s">
        <v>85</v>
      </c>
      <c r="BW2123" s="2"/>
      <c r="BX2123" s="2"/>
      <c r="BY2123" s="2">
        <v>40561.4</v>
      </c>
      <c r="BZ2123" s="2"/>
      <c r="CA2123" s="2"/>
      <c r="CB2123" s="2"/>
      <c r="CC2123" s="2" t="s">
        <v>149</v>
      </c>
      <c r="CD2123" s="2">
        <v>4051</v>
      </c>
      <c r="CE2123" s="2" t="s">
        <v>86</v>
      </c>
      <c r="CF2123" s="5">
        <v>42668</v>
      </c>
      <c r="CG2123" s="2"/>
      <c r="CH2123" s="2"/>
      <c r="CI2123" s="2">
        <v>1</v>
      </c>
      <c r="CJ2123" s="2">
        <v>1</v>
      </c>
      <c r="CK2123" s="2">
        <v>21</v>
      </c>
      <c r="CL2123" s="2" t="s">
        <v>88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"FES1162508528"</f>
        <v>FES1162508528</v>
      </c>
      <c r="F2124" s="3">
        <v>42664</v>
      </c>
      <c r="G2124" s="2">
        <v>201704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93</v>
      </c>
      <c r="M2124" s="2" t="s">
        <v>94</v>
      </c>
      <c r="N2124" s="2" t="s">
        <v>536</v>
      </c>
      <c r="O2124" s="2" t="s">
        <v>96</v>
      </c>
      <c r="P2124" s="2" t="str">
        <f>"2170531819                    "</f>
        <v xml:space="preserve">2170531819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5.81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1.4</v>
      </c>
      <c r="BJ2124" s="2">
        <v>3.4</v>
      </c>
      <c r="BK2124" s="2">
        <v>3.5</v>
      </c>
      <c r="BL2124" s="2">
        <v>71.33</v>
      </c>
      <c r="BM2124" s="2">
        <v>9.99</v>
      </c>
      <c r="BN2124" s="2">
        <v>81.319999999999993</v>
      </c>
      <c r="BO2124" s="2">
        <v>81.319999999999993</v>
      </c>
      <c r="BP2124" s="2"/>
      <c r="BQ2124" s="2" t="s">
        <v>537</v>
      </c>
      <c r="BR2124" s="2" t="s">
        <v>83</v>
      </c>
      <c r="BS2124" s="3">
        <v>42667</v>
      </c>
      <c r="BT2124" s="4">
        <v>0.4375</v>
      </c>
      <c r="BU2124" s="2" t="s">
        <v>852</v>
      </c>
      <c r="BV2124" s="2" t="s">
        <v>85</v>
      </c>
      <c r="BW2124" s="2"/>
      <c r="BX2124" s="2"/>
      <c r="BY2124" s="2">
        <v>17227.2</v>
      </c>
      <c r="BZ2124" s="2"/>
      <c r="CA2124" s="2"/>
      <c r="CB2124" s="2"/>
      <c r="CC2124" s="2" t="s">
        <v>94</v>
      </c>
      <c r="CD2124" s="2">
        <v>4300</v>
      </c>
      <c r="CE2124" s="2" t="s">
        <v>86</v>
      </c>
      <c r="CF2124" s="5">
        <v>42668</v>
      </c>
      <c r="CG2124" s="2"/>
      <c r="CH2124" s="2"/>
      <c r="CI2124" s="2">
        <v>1</v>
      </c>
      <c r="CJ2124" s="2">
        <v>1</v>
      </c>
      <c r="CK2124" s="2">
        <v>21</v>
      </c>
      <c r="CL2124" s="2" t="s">
        <v>88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"FES1162508569"</f>
        <v>FES1162508569</v>
      </c>
      <c r="F2125" s="3">
        <v>42664</v>
      </c>
      <c r="G2125" s="2">
        <v>201704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148</v>
      </c>
      <c r="M2125" s="2" t="s">
        <v>149</v>
      </c>
      <c r="N2125" s="2" t="s">
        <v>815</v>
      </c>
      <c r="O2125" s="2" t="s">
        <v>96</v>
      </c>
      <c r="P2125" s="2" t="str">
        <f>"2170531847                    "</f>
        <v xml:space="preserve">2170531847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12.44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5.9</v>
      </c>
      <c r="BJ2125" s="2">
        <v>7.1</v>
      </c>
      <c r="BK2125" s="2">
        <v>7.5</v>
      </c>
      <c r="BL2125" s="2">
        <v>152.84</v>
      </c>
      <c r="BM2125" s="2">
        <v>21.4</v>
      </c>
      <c r="BN2125" s="2">
        <v>174.24</v>
      </c>
      <c r="BO2125" s="2">
        <v>174.24</v>
      </c>
      <c r="BP2125" s="2"/>
      <c r="BQ2125" s="2" t="s">
        <v>91</v>
      </c>
      <c r="BR2125" s="2" t="s">
        <v>83</v>
      </c>
      <c r="BS2125" s="3">
        <v>42667</v>
      </c>
      <c r="BT2125" s="4">
        <v>0.4375</v>
      </c>
      <c r="BU2125" s="2" t="s">
        <v>816</v>
      </c>
      <c r="BV2125" s="2" t="s">
        <v>85</v>
      </c>
      <c r="BW2125" s="2"/>
      <c r="BX2125" s="2"/>
      <c r="BY2125" s="2">
        <v>35300.720000000001</v>
      </c>
      <c r="BZ2125" s="2"/>
      <c r="CA2125" s="2"/>
      <c r="CB2125" s="2"/>
      <c r="CC2125" s="2" t="s">
        <v>149</v>
      </c>
      <c r="CD2125" s="2">
        <v>4068</v>
      </c>
      <c r="CE2125" s="2" t="s">
        <v>86</v>
      </c>
      <c r="CF2125" s="5">
        <v>42668</v>
      </c>
      <c r="CG2125" s="2"/>
      <c r="CH2125" s="2"/>
      <c r="CI2125" s="2">
        <v>1</v>
      </c>
      <c r="CJ2125" s="2">
        <v>1</v>
      </c>
      <c r="CK2125" s="2">
        <v>21</v>
      </c>
      <c r="CL2125" s="2" t="s">
        <v>88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"FES1162508592"</f>
        <v>FES1162508592</v>
      </c>
      <c r="F2126" s="3">
        <v>42664</v>
      </c>
      <c r="G2126" s="2">
        <v>201704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98</v>
      </c>
      <c r="M2126" s="2" t="s">
        <v>99</v>
      </c>
      <c r="N2126" s="2" t="s">
        <v>369</v>
      </c>
      <c r="O2126" s="2" t="s">
        <v>96</v>
      </c>
      <c r="P2126" s="2" t="str">
        <f>"2170531867                    "</f>
        <v xml:space="preserve">2170531867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5.81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1</v>
      </c>
      <c r="BI2126" s="2">
        <v>2.8</v>
      </c>
      <c r="BJ2126" s="2">
        <v>3.5</v>
      </c>
      <c r="BK2126" s="2">
        <v>3.5</v>
      </c>
      <c r="BL2126" s="2">
        <v>71.33</v>
      </c>
      <c r="BM2126" s="2">
        <v>9.99</v>
      </c>
      <c r="BN2126" s="2">
        <v>81.319999999999993</v>
      </c>
      <c r="BO2126" s="2">
        <v>81.319999999999993</v>
      </c>
      <c r="BP2126" s="2"/>
      <c r="BQ2126" s="2" t="s">
        <v>370</v>
      </c>
      <c r="BR2126" s="2" t="s">
        <v>83</v>
      </c>
      <c r="BS2126" s="3">
        <v>42667</v>
      </c>
      <c r="BT2126" s="4">
        <v>0.38194444444444442</v>
      </c>
      <c r="BU2126" s="2" t="s">
        <v>2166</v>
      </c>
      <c r="BV2126" s="2" t="s">
        <v>85</v>
      </c>
      <c r="BW2126" s="2"/>
      <c r="BX2126" s="2"/>
      <c r="BY2126" s="2">
        <v>17312.68</v>
      </c>
      <c r="BZ2126" s="2"/>
      <c r="CA2126" s="2"/>
      <c r="CB2126" s="2"/>
      <c r="CC2126" s="2" t="s">
        <v>99</v>
      </c>
      <c r="CD2126" s="2">
        <v>6001</v>
      </c>
      <c r="CE2126" s="2" t="s">
        <v>86</v>
      </c>
      <c r="CF2126" s="5">
        <v>42668</v>
      </c>
      <c r="CG2126" s="2"/>
      <c r="CH2126" s="2"/>
      <c r="CI2126" s="2">
        <v>1</v>
      </c>
      <c r="CJ2126" s="2">
        <v>1</v>
      </c>
      <c r="CK2126" s="2">
        <v>21</v>
      </c>
      <c r="CL2126" s="2" t="s">
        <v>88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"FES1162508579"</f>
        <v>FES1162508579</v>
      </c>
      <c r="F2127" s="3">
        <v>42664</v>
      </c>
      <c r="G2127" s="2">
        <v>201704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160</v>
      </c>
      <c r="M2127" s="2" t="s">
        <v>161</v>
      </c>
      <c r="N2127" s="2" t="s">
        <v>236</v>
      </c>
      <c r="O2127" s="2" t="s">
        <v>96</v>
      </c>
      <c r="P2127" s="2" t="str">
        <f>"2170531863                    "</f>
        <v xml:space="preserve">2170531863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72.98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28.9</v>
      </c>
      <c r="BJ2127" s="2">
        <v>44</v>
      </c>
      <c r="BK2127" s="2">
        <v>44</v>
      </c>
      <c r="BL2127" s="2">
        <v>896.66</v>
      </c>
      <c r="BM2127" s="2">
        <v>125.53</v>
      </c>
      <c r="BN2127" s="2">
        <v>1022.19</v>
      </c>
      <c r="BO2127" s="2">
        <v>1022.19</v>
      </c>
      <c r="BP2127" s="2"/>
      <c r="BQ2127" s="2" t="s">
        <v>237</v>
      </c>
      <c r="BR2127" s="2" t="s">
        <v>83</v>
      </c>
      <c r="BS2127" s="3">
        <v>42667</v>
      </c>
      <c r="BT2127" s="4">
        <v>0.41666666666666669</v>
      </c>
      <c r="BU2127" s="2" t="s">
        <v>2134</v>
      </c>
      <c r="BV2127" s="2" t="s">
        <v>85</v>
      </c>
      <c r="BW2127" s="2"/>
      <c r="BX2127" s="2"/>
      <c r="BY2127" s="2">
        <v>219986.56</v>
      </c>
      <c r="BZ2127" s="2"/>
      <c r="CA2127" s="2" t="s">
        <v>129</v>
      </c>
      <c r="CB2127" s="2"/>
      <c r="CC2127" s="2" t="s">
        <v>161</v>
      </c>
      <c r="CD2127" s="2">
        <v>7405</v>
      </c>
      <c r="CE2127" s="2" t="s">
        <v>86</v>
      </c>
      <c r="CF2127" s="5">
        <v>42668</v>
      </c>
      <c r="CG2127" s="2"/>
      <c r="CH2127" s="2"/>
      <c r="CI2127" s="2">
        <v>1</v>
      </c>
      <c r="CJ2127" s="2">
        <v>0</v>
      </c>
      <c r="CK2127" s="2">
        <v>21</v>
      </c>
      <c r="CL2127" s="2" t="s">
        <v>88</v>
      </c>
      <c r="CM2127" s="2"/>
    </row>
    <row r="2128" spans="1:91">
      <c r="A2128" s="2" t="s">
        <v>71</v>
      </c>
      <c r="B2128" s="2" t="s">
        <v>72</v>
      </c>
      <c r="C2128" s="2" t="s">
        <v>73</v>
      </c>
      <c r="D2128" s="2"/>
      <c r="E2128" s="2" t="str">
        <f>"FES1162508535"</f>
        <v>FES1162508535</v>
      </c>
      <c r="F2128" s="3">
        <v>42664</v>
      </c>
      <c r="G2128" s="2">
        <v>201704</v>
      </c>
      <c r="H2128" s="2" t="s">
        <v>74</v>
      </c>
      <c r="I2128" s="2" t="s">
        <v>75</v>
      </c>
      <c r="J2128" s="2" t="s">
        <v>76</v>
      </c>
      <c r="K2128" s="2" t="s">
        <v>77</v>
      </c>
      <c r="L2128" s="2" t="s">
        <v>207</v>
      </c>
      <c r="M2128" s="2" t="s">
        <v>208</v>
      </c>
      <c r="N2128" s="2" t="s">
        <v>2167</v>
      </c>
      <c r="O2128" s="2" t="s">
        <v>96</v>
      </c>
      <c r="P2128" s="2" t="str">
        <f>"2170531824                    "</f>
        <v xml:space="preserve">2170531824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3.32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1</v>
      </c>
      <c r="BJ2128" s="2">
        <v>0.2</v>
      </c>
      <c r="BK2128" s="2">
        <v>1</v>
      </c>
      <c r="BL2128" s="2">
        <v>40.76</v>
      </c>
      <c r="BM2128" s="2">
        <v>5.71</v>
      </c>
      <c r="BN2128" s="2">
        <v>46.47</v>
      </c>
      <c r="BO2128" s="2">
        <v>46.47</v>
      </c>
      <c r="BP2128" s="2"/>
      <c r="BQ2128" s="2" t="s">
        <v>91</v>
      </c>
      <c r="BR2128" s="2" t="s">
        <v>83</v>
      </c>
      <c r="BS2128" s="3">
        <v>42667</v>
      </c>
      <c r="BT2128" s="4">
        <v>0.4375</v>
      </c>
      <c r="BU2128" s="2" t="s">
        <v>2168</v>
      </c>
      <c r="BV2128" s="2" t="s">
        <v>85</v>
      </c>
      <c r="BW2128" s="2"/>
      <c r="BX2128" s="2"/>
      <c r="BY2128" s="2">
        <v>1200</v>
      </c>
      <c r="BZ2128" s="2"/>
      <c r="CA2128" s="2"/>
      <c r="CB2128" s="2"/>
      <c r="CC2128" s="2" t="s">
        <v>208</v>
      </c>
      <c r="CD2128" s="2">
        <v>4133</v>
      </c>
      <c r="CE2128" s="2" t="s">
        <v>108</v>
      </c>
      <c r="CF2128" s="5">
        <v>42668</v>
      </c>
      <c r="CG2128" s="2"/>
      <c r="CH2128" s="2"/>
      <c r="CI2128" s="2">
        <v>1</v>
      </c>
      <c r="CJ2128" s="2">
        <v>1</v>
      </c>
      <c r="CK2128" s="2">
        <v>21</v>
      </c>
      <c r="CL2128" s="2" t="s">
        <v>88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"FES1162508451"</f>
        <v>FES1162508451</v>
      </c>
      <c r="F2129" s="3">
        <v>42664</v>
      </c>
      <c r="G2129" s="2">
        <v>201704</v>
      </c>
      <c r="H2129" s="2" t="s">
        <v>74</v>
      </c>
      <c r="I2129" s="2" t="s">
        <v>75</v>
      </c>
      <c r="J2129" s="2" t="s">
        <v>76</v>
      </c>
      <c r="K2129" s="2" t="s">
        <v>77</v>
      </c>
      <c r="L2129" s="2" t="s">
        <v>160</v>
      </c>
      <c r="M2129" s="2" t="s">
        <v>161</v>
      </c>
      <c r="N2129" s="2" t="s">
        <v>409</v>
      </c>
      <c r="O2129" s="2" t="s">
        <v>96</v>
      </c>
      <c r="P2129" s="2" t="str">
        <f>"2170531690                    "</f>
        <v xml:space="preserve">2170531690  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3.32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</v>
      </c>
      <c r="BJ2129" s="2">
        <v>0.2</v>
      </c>
      <c r="BK2129" s="2">
        <v>1</v>
      </c>
      <c r="BL2129" s="2">
        <v>40.76</v>
      </c>
      <c r="BM2129" s="2">
        <v>5.71</v>
      </c>
      <c r="BN2129" s="2">
        <v>46.47</v>
      </c>
      <c r="BO2129" s="2">
        <v>46.47</v>
      </c>
      <c r="BP2129" s="2"/>
      <c r="BQ2129" s="2" t="s">
        <v>410</v>
      </c>
      <c r="BR2129" s="2" t="s">
        <v>83</v>
      </c>
      <c r="BS2129" s="3">
        <v>42667</v>
      </c>
      <c r="BT2129" s="4">
        <v>0.37847222222222227</v>
      </c>
      <c r="BU2129" s="2" t="s">
        <v>2100</v>
      </c>
      <c r="BV2129" s="2" t="s">
        <v>85</v>
      </c>
      <c r="BW2129" s="2"/>
      <c r="BX2129" s="2"/>
      <c r="BY2129" s="2">
        <v>1200</v>
      </c>
      <c r="BZ2129" s="2"/>
      <c r="CA2129" s="2" t="s">
        <v>129</v>
      </c>
      <c r="CB2129" s="2"/>
      <c r="CC2129" s="2" t="s">
        <v>161</v>
      </c>
      <c r="CD2129" s="2">
        <v>7975</v>
      </c>
      <c r="CE2129" s="2" t="s">
        <v>108</v>
      </c>
      <c r="CF2129" s="5">
        <v>42668</v>
      </c>
      <c r="CG2129" s="2"/>
      <c r="CH2129" s="2"/>
      <c r="CI2129" s="2">
        <v>1</v>
      </c>
      <c r="CJ2129" s="2">
        <v>1</v>
      </c>
      <c r="CK2129" s="2">
        <v>21</v>
      </c>
      <c r="CL2129" s="2" t="s">
        <v>88</v>
      </c>
      <c r="CM2129" s="2"/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"FES1162508578"</f>
        <v>FES1162508578</v>
      </c>
      <c r="F2130" s="3">
        <v>42664</v>
      </c>
      <c r="G2130" s="2">
        <v>201704</v>
      </c>
      <c r="H2130" s="2" t="s">
        <v>74</v>
      </c>
      <c r="I2130" s="2" t="s">
        <v>75</v>
      </c>
      <c r="J2130" s="2" t="s">
        <v>76</v>
      </c>
      <c r="K2130" s="2" t="s">
        <v>77</v>
      </c>
      <c r="L2130" s="2" t="s">
        <v>269</v>
      </c>
      <c r="M2130" s="2" t="s">
        <v>270</v>
      </c>
      <c r="N2130" s="2" t="s">
        <v>2169</v>
      </c>
      <c r="O2130" s="2" t="s">
        <v>96</v>
      </c>
      <c r="P2130" s="2" t="str">
        <f>"2170531714                    "</f>
        <v xml:space="preserve">2170531714                   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3.32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1</v>
      </c>
      <c r="BJ2130" s="2">
        <v>0.2</v>
      </c>
      <c r="BK2130" s="2">
        <v>1</v>
      </c>
      <c r="BL2130" s="2">
        <v>40.76</v>
      </c>
      <c r="BM2130" s="2">
        <v>5.71</v>
      </c>
      <c r="BN2130" s="2">
        <v>46.47</v>
      </c>
      <c r="BO2130" s="2">
        <v>46.47</v>
      </c>
      <c r="BP2130" s="2"/>
      <c r="BQ2130" s="2" t="s">
        <v>2170</v>
      </c>
      <c r="BR2130" s="2" t="s">
        <v>83</v>
      </c>
      <c r="BS2130" s="3">
        <v>42668</v>
      </c>
      <c r="BT2130" s="4">
        <v>0.4375</v>
      </c>
      <c r="BU2130" s="2" t="s">
        <v>2171</v>
      </c>
      <c r="BV2130" s="2" t="s">
        <v>88</v>
      </c>
      <c r="BW2130" s="2" t="s">
        <v>277</v>
      </c>
      <c r="BX2130" s="2" t="s">
        <v>426</v>
      </c>
      <c r="BY2130" s="2">
        <v>1200</v>
      </c>
      <c r="BZ2130" s="2"/>
      <c r="CA2130" s="2"/>
      <c r="CB2130" s="2"/>
      <c r="CC2130" s="2" t="s">
        <v>270</v>
      </c>
      <c r="CD2130" s="2">
        <v>3610</v>
      </c>
      <c r="CE2130" s="2" t="s">
        <v>108</v>
      </c>
      <c r="CF2130" s="5">
        <v>42669</v>
      </c>
      <c r="CG2130" s="2"/>
      <c r="CH2130" s="2"/>
      <c r="CI2130" s="2">
        <v>1</v>
      </c>
      <c r="CJ2130" s="2">
        <v>2</v>
      </c>
      <c r="CK2130" s="2">
        <v>21</v>
      </c>
      <c r="CL2130" s="2" t="s">
        <v>88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"FES1162508391"</f>
        <v>FES1162508391</v>
      </c>
      <c r="F2131" s="3">
        <v>42664</v>
      </c>
      <c r="G2131" s="2">
        <v>201704</v>
      </c>
      <c r="H2131" s="2" t="s">
        <v>74</v>
      </c>
      <c r="I2131" s="2" t="s">
        <v>75</v>
      </c>
      <c r="J2131" s="2" t="s">
        <v>76</v>
      </c>
      <c r="K2131" s="2" t="s">
        <v>77</v>
      </c>
      <c r="L2131" s="2" t="s">
        <v>160</v>
      </c>
      <c r="M2131" s="2" t="s">
        <v>161</v>
      </c>
      <c r="N2131" s="2" t="s">
        <v>411</v>
      </c>
      <c r="O2131" s="2" t="s">
        <v>96</v>
      </c>
      <c r="P2131" s="2" t="str">
        <f>"2170527191                    "</f>
        <v xml:space="preserve">2170527191  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3.32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1</v>
      </c>
      <c r="BJ2131" s="2">
        <v>0.2</v>
      </c>
      <c r="BK2131" s="2">
        <v>1</v>
      </c>
      <c r="BL2131" s="2">
        <v>40.76</v>
      </c>
      <c r="BM2131" s="2">
        <v>5.71</v>
      </c>
      <c r="BN2131" s="2">
        <v>46.47</v>
      </c>
      <c r="BO2131" s="2">
        <v>46.47</v>
      </c>
      <c r="BP2131" s="2"/>
      <c r="BQ2131" s="2" t="s">
        <v>412</v>
      </c>
      <c r="BR2131" s="2" t="s">
        <v>83</v>
      </c>
      <c r="BS2131" s="3">
        <v>42667</v>
      </c>
      <c r="BT2131" s="4">
        <v>0.40277777777777773</v>
      </c>
      <c r="BU2131" s="2" t="s">
        <v>413</v>
      </c>
      <c r="BV2131" s="2" t="s">
        <v>85</v>
      </c>
      <c r="BW2131" s="2"/>
      <c r="BX2131" s="2"/>
      <c r="BY2131" s="2">
        <v>1200</v>
      </c>
      <c r="BZ2131" s="2"/>
      <c r="CA2131" s="2"/>
      <c r="CB2131" s="2"/>
      <c r="CC2131" s="2" t="s">
        <v>161</v>
      </c>
      <c r="CD2131" s="2">
        <v>7945</v>
      </c>
      <c r="CE2131" s="2" t="s">
        <v>108</v>
      </c>
      <c r="CF2131" s="5">
        <v>42668</v>
      </c>
      <c r="CG2131" s="2"/>
      <c r="CH2131" s="2"/>
      <c r="CI2131" s="2">
        <v>1</v>
      </c>
      <c r="CJ2131" s="2">
        <v>1</v>
      </c>
      <c r="CK2131" s="2">
        <v>21</v>
      </c>
      <c r="CL2131" s="2" t="s">
        <v>88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"FES1162508574"</f>
        <v>FES1162508574</v>
      </c>
      <c r="F2132" s="3">
        <v>42664</v>
      </c>
      <c r="G2132" s="2">
        <v>201704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160</v>
      </c>
      <c r="M2132" s="2" t="s">
        <v>161</v>
      </c>
      <c r="N2132" s="2" t="s">
        <v>1397</v>
      </c>
      <c r="O2132" s="2" t="s">
        <v>96</v>
      </c>
      <c r="P2132" s="2" t="str">
        <f>"2170531854                    "</f>
        <v xml:space="preserve">2170531854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3.32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</v>
      </c>
      <c r="BJ2132" s="2">
        <v>0.2</v>
      </c>
      <c r="BK2132" s="2">
        <v>1</v>
      </c>
      <c r="BL2132" s="2">
        <v>40.76</v>
      </c>
      <c r="BM2132" s="2">
        <v>5.71</v>
      </c>
      <c r="BN2132" s="2">
        <v>46.47</v>
      </c>
      <c r="BO2132" s="2">
        <v>46.47</v>
      </c>
      <c r="BP2132" s="2"/>
      <c r="BQ2132" s="2" t="s">
        <v>127</v>
      </c>
      <c r="BR2132" s="2" t="s">
        <v>83</v>
      </c>
      <c r="BS2132" s="3">
        <v>42667</v>
      </c>
      <c r="BT2132" s="4">
        <v>0.41666666666666669</v>
      </c>
      <c r="BU2132" s="2" t="s">
        <v>2172</v>
      </c>
      <c r="BV2132" s="2" t="s">
        <v>85</v>
      </c>
      <c r="BW2132" s="2"/>
      <c r="BX2132" s="2"/>
      <c r="BY2132" s="2">
        <v>1200</v>
      </c>
      <c r="BZ2132" s="2"/>
      <c r="CA2132" s="2"/>
      <c r="CB2132" s="2"/>
      <c r="CC2132" s="2" t="s">
        <v>161</v>
      </c>
      <c r="CD2132" s="2">
        <v>7460</v>
      </c>
      <c r="CE2132" s="2" t="s">
        <v>108</v>
      </c>
      <c r="CF2132" s="5">
        <v>42668</v>
      </c>
      <c r="CG2132" s="2"/>
      <c r="CH2132" s="2"/>
      <c r="CI2132" s="2">
        <v>1</v>
      </c>
      <c r="CJ2132" s="2">
        <v>1</v>
      </c>
      <c r="CK2132" s="2">
        <v>21</v>
      </c>
      <c r="CL2132" s="2" t="s">
        <v>88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"FES1162508379"</f>
        <v>FES1162508379</v>
      </c>
      <c r="F2133" s="3">
        <v>42664</v>
      </c>
      <c r="G2133" s="2">
        <v>201704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153</v>
      </c>
      <c r="M2133" s="2" t="s">
        <v>153</v>
      </c>
      <c r="N2133" s="2" t="s">
        <v>154</v>
      </c>
      <c r="O2133" s="2" t="s">
        <v>96</v>
      </c>
      <c r="P2133" s="2" t="str">
        <f>"2170530375                    "</f>
        <v xml:space="preserve">2170530375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3.32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1</v>
      </c>
      <c r="BJ2133" s="2">
        <v>0.2</v>
      </c>
      <c r="BK2133" s="2">
        <v>1</v>
      </c>
      <c r="BL2133" s="2">
        <v>40.76</v>
      </c>
      <c r="BM2133" s="2">
        <v>5.71</v>
      </c>
      <c r="BN2133" s="2">
        <v>46.47</v>
      </c>
      <c r="BO2133" s="2">
        <v>46.47</v>
      </c>
      <c r="BP2133" s="2"/>
      <c r="BQ2133" s="2" t="s">
        <v>117</v>
      </c>
      <c r="BR2133" s="2" t="s">
        <v>83</v>
      </c>
      <c r="BS2133" s="3">
        <v>42667</v>
      </c>
      <c r="BT2133" s="4">
        <v>0.52152777777777781</v>
      </c>
      <c r="BU2133" s="2" t="s">
        <v>636</v>
      </c>
      <c r="BV2133" s="2" t="s">
        <v>85</v>
      </c>
      <c r="BW2133" s="2"/>
      <c r="BX2133" s="2"/>
      <c r="BY2133" s="2">
        <v>1200</v>
      </c>
      <c r="BZ2133" s="2"/>
      <c r="CA2133" s="2"/>
      <c r="CB2133" s="2"/>
      <c r="CC2133" s="2" t="s">
        <v>153</v>
      </c>
      <c r="CD2133" s="2">
        <v>7646</v>
      </c>
      <c r="CE2133" s="2" t="s">
        <v>108</v>
      </c>
      <c r="CF2133" s="5">
        <v>42668</v>
      </c>
      <c r="CG2133" s="2"/>
      <c r="CH2133" s="2"/>
      <c r="CI2133" s="2">
        <v>1</v>
      </c>
      <c r="CJ2133" s="2">
        <v>1</v>
      </c>
      <c r="CK2133" s="2">
        <v>21</v>
      </c>
      <c r="CL2133" s="2" t="s">
        <v>88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"FES1162508409"</f>
        <v>FES1162508409</v>
      </c>
      <c r="F2134" s="3">
        <v>42664</v>
      </c>
      <c r="G2134" s="2">
        <v>201704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153</v>
      </c>
      <c r="M2134" s="2" t="s">
        <v>153</v>
      </c>
      <c r="N2134" s="2" t="s">
        <v>200</v>
      </c>
      <c r="O2134" s="2" t="s">
        <v>96</v>
      </c>
      <c r="P2134" s="2" t="str">
        <f>"2170529444                    "</f>
        <v xml:space="preserve">2170529444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3.32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</v>
      </c>
      <c r="BJ2134" s="2">
        <v>0.2</v>
      </c>
      <c r="BK2134" s="2">
        <v>1</v>
      </c>
      <c r="BL2134" s="2">
        <v>40.76</v>
      </c>
      <c r="BM2134" s="2">
        <v>5.71</v>
      </c>
      <c r="BN2134" s="2">
        <v>46.47</v>
      </c>
      <c r="BO2134" s="2">
        <v>46.47</v>
      </c>
      <c r="BP2134" s="2"/>
      <c r="BQ2134" s="2" t="s">
        <v>201</v>
      </c>
      <c r="BR2134" s="2" t="s">
        <v>83</v>
      </c>
      <c r="BS2134" s="3">
        <v>42667</v>
      </c>
      <c r="BT2134" s="4">
        <v>0.51944444444444449</v>
      </c>
      <c r="BU2134" s="2" t="s">
        <v>2130</v>
      </c>
      <c r="BV2134" s="2" t="s">
        <v>85</v>
      </c>
      <c r="BW2134" s="2"/>
      <c r="BX2134" s="2"/>
      <c r="BY2134" s="2">
        <v>1200</v>
      </c>
      <c r="BZ2134" s="2"/>
      <c r="CA2134" s="2"/>
      <c r="CB2134" s="2"/>
      <c r="CC2134" s="2" t="s">
        <v>153</v>
      </c>
      <c r="CD2134" s="2">
        <v>7646</v>
      </c>
      <c r="CE2134" s="2" t="s">
        <v>108</v>
      </c>
      <c r="CF2134" s="5">
        <v>42668</v>
      </c>
      <c r="CG2134" s="2"/>
      <c r="CH2134" s="2"/>
      <c r="CI2134" s="2">
        <v>1</v>
      </c>
      <c r="CJ2134" s="2">
        <v>1</v>
      </c>
      <c r="CK2134" s="2">
        <v>21</v>
      </c>
      <c r="CL2134" s="2" t="s">
        <v>88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"FES1162508401"</f>
        <v>FES1162508401</v>
      </c>
      <c r="F2135" s="3">
        <v>42664</v>
      </c>
      <c r="G2135" s="2">
        <v>201704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160</v>
      </c>
      <c r="M2135" s="2" t="s">
        <v>161</v>
      </c>
      <c r="N2135" s="2" t="s">
        <v>2173</v>
      </c>
      <c r="O2135" s="2" t="s">
        <v>96</v>
      </c>
      <c r="P2135" s="2" t="str">
        <f>"2170529384                    "</f>
        <v xml:space="preserve">2170529384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3.32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1</v>
      </c>
      <c r="BJ2135" s="2">
        <v>0.2</v>
      </c>
      <c r="BK2135" s="2">
        <v>1</v>
      </c>
      <c r="BL2135" s="2">
        <v>40.76</v>
      </c>
      <c r="BM2135" s="2">
        <v>5.71</v>
      </c>
      <c r="BN2135" s="2">
        <v>46.47</v>
      </c>
      <c r="BO2135" s="2">
        <v>46.47</v>
      </c>
      <c r="BP2135" s="2"/>
      <c r="BQ2135" s="2" t="s">
        <v>91</v>
      </c>
      <c r="BR2135" s="2" t="s">
        <v>83</v>
      </c>
      <c r="BS2135" s="3">
        <v>42667</v>
      </c>
      <c r="BT2135" s="4">
        <v>0.37013888888888885</v>
      </c>
      <c r="BU2135" s="2" t="s">
        <v>2174</v>
      </c>
      <c r="BV2135" s="2" t="s">
        <v>85</v>
      </c>
      <c r="BW2135" s="2"/>
      <c r="BX2135" s="2"/>
      <c r="BY2135" s="2">
        <v>1200</v>
      </c>
      <c r="BZ2135" s="2"/>
      <c r="CA2135" s="2" t="s">
        <v>129</v>
      </c>
      <c r="CB2135" s="2"/>
      <c r="CC2135" s="2" t="s">
        <v>161</v>
      </c>
      <c r="CD2135" s="2">
        <v>7500</v>
      </c>
      <c r="CE2135" s="2" t="s">
        <v>108</v>
      </c>
      <c r="CF2135" s="5">
        <v>42668</v>
      </c>
      <c r="CG2135" s="2"/>
      <c r="CH2135" s="2"/>
      <c r="CI2135" s="2">
        <v>1</v>
      </c>
      <c r="CJ2135" s="2">
        <v>1</v>
      </c>
      <c r="CK2135" s="2">
        <v>21</v>
      </c>
      <c r="CL2135" s="2" t="s">
        <v>88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"FES1162508437"</f>
        <v>FES1162508437</v>
      </c>
      <c r="F2136" s="3">
        <v>42664</v>
      </c>
      <c r="G2136" s="2">
        <v>201704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160</v>
      </c>
      <c r="M2136" s="2" t="s">
        <v>161</v>
      </c>
      <c r="N2136" s="2" t="s">
        <v>647</v>
      </c>
      <c r="O2136" s="2" t="s">
        <v>96</v>
      </c>
      <c r="P2136" s="2" t="str">
        <f>"217053168                     "</f>
        <v xml:space="preserve">217053168 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3.32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1</v>
      </c>
      <c r="BJ2136" s="2">
        <v>0.2</v>
      </c>
      <c r="BK2136" s="2">
        <v>1</v>
      </c>
      <c r="BL2136" s="2">
        <v>40.76</v>
      </c>
      <c r="BM2136" s="2">
        <v>5.71</v>
      </c>
      <c r="BN2136" s="2">
        <v>46.47</v>
      </c>
      <c r="BO2136" s="2">
        <v>46.47</v>
      </c>
      <c r="BP2136" s="2"/>
      <c r="BQ2136" s="2" t="s">
        <v>2045</v>
      </c>
      <c r="BR2136" s="2" t="s">
        <v>83</v>
      </c>
      <c r="BS2136" s="3">
        <v>42667</v>
      </c>
      <c r="BT2136" s="4">
        <v>0.33680555555555558</v>
      </c>
      <c r="BU2136" s="2" t="s">
        <v>2175</v>
      </c>
      <c r="BV2136" s="2" t="s">
        <v>85</v>
      </c>
      <c r="BW2136" s="2"/>
      <c r="BX2136" s="2"/>
      <c r="BY2136" s="2">
        <v>1200</v>
      </c>
      <c r="BZ2136" s="2"/>
      <c r="CA2136" s="2"/>
      <c r="CB2136" s="2"/>
      <c r="CC2136" s="2" t="s">
        <v>161</v>
      </c>
      <c r="CD2136" s="2">
        <v>7493</v>
      </c>
      <c r="CE2136" s="2" t="s">
        <v>108</v>
      </c>
      <c r="CF2136" s="5">
        <v>42668</v>
      </c>
      <c r="CG2136" s="2"/>
      <c r="CH2136" s="2"/>
      <c r="CI2136" s="2">
        <v>1</v>
      </c>
      <c r="CJ2136" s="2">
        <v>1</v>
      </c>
      <c r="CK2136" s="2">
        <v>21</v>
      </c>
      <c r="CL2136" s="2" t="s">
        <v>88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"FES1162508483"</f>
        <v>FES1162508483</v>
      </c>
      <c r="F2137" s="3">
        <v>42664</v>
      </c>
      <c r="G2137" s="2">
        <v>201704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98</v>
      </c>
      <c r="M2137" s="2" t="s">
        <v>99</v>
      </c>
      <c r="N2137" s="2" t="s">
        <v>2176</v>
      </c>
      <c r="O2137" s="2" t="s">
        <v>96</v>
      </c>
      <c r="P2137" s="2" t="str">
        <f>"2170531754                    "</f>
        <v xml:space="preserve">2170531754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3.32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1</v>
      </c>
      <c r="BJ2137" s="2">
        <v>0.2</v>
      </c>
      <c r="BK2137" s="2">
        <v>1</v>
      </c>
      <c r="BL2137" s="2">
        <v>40.76</v>
      </c>
      <c r="BM2137" s="2">
        <v>5.71</v>
      </c>
      <c r="BN2137" s="2">
        <v>46.47</v>
      </c>
      <c r="BO2137" s="2">
        <v>46.47</v>
      </c>
      <c r="BP2137" s="2"/>
      <c r="BQ2137" s="2" t="s">
        <v>91</v>
      </c>
      <c r="BR2137" s="2" t="s">
        <v>83</v>
      </c>
      <c r="BS2137" s="3">
        <v>42667</v>
      </c>
      <c r="BT2137" s="4">
        <v>0.34375</v>
      </c>
      <c r="BU2137" s="2" t="s">
        <v>554</v>
      </c>
      <c r="BV2137" s="2" t="s">
        <v>85</v>
      </c>
      <c r="BW2137" s="2"/>
      <c r="BX2137" s="2"/>
      <c r="BY2137" s="2">
        <v>1200</v>
      </c>
      <c r="BZ2137" s="2"/>
      <c r="CA2137" s="2"/>
      <c r="CB2137" s="2"/>
      <c r="CC2137" s="2" t="s">
        <v>99</v>
      </c>
      <c r="CD2137" s="2">
        <v>6001</v>
      </c>
      <c r="CE2137" s="2" t="s">
        <v>108</v>
      </c>
      <c r="CF2137" s="5">
        <v>42668</v>
      </c>
      <c r="CG2137" s="2"/>
      <c r="CH2137" s="2"/>
      <c r="CI2137" s="2">
        <v>1</v>
      </c>
      <c r="CJ2137" s="2">
        <v>1</v>
      </c>
      <c r="CK2137" s="2">
        <v>21</v>
      </c>
      <c r="CL2137" s="2" t="s">
        <v>88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"FES1162508410"</f>
        <v>FES1162508410</v>
      </c>
      <c r="F2138" s="3">
        <v>42664</v>
      </c>
      <c r="G2138" s="2">
        <v>201704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148</v>
      </c>
      <c r="M2138" s="2" t="s">
        <v>149</v>
      </c>
      <c r="N2138" s="2" t="s">
        <v>242</v>
      </c>
      <c r="O2138" s="2" t="s">
        <v>96</v>
      </c>
      <c r="P2138" s="2" t="str">
        <f>"2170529449                    "</f>
        <v xml:space="preserve">2170529449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3.32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</v>
      </c>
      <c r="BJ2138" s="2">
        <v>0.2</v>
      </c>
      <c r="BK2138" s="2">
        <v>1</v>
      </c>
      <c r="BL2138" s="2">
        <v>40.76</v>
      </c>
      <c r="BM2138" s="2">
        <v>5.71</v>
      </c>
      <c r="BN2138" s="2">
        <v>46.47</v>
      </c>
      <c r="BO2138" s="2">
        <v>46.47</v>
      </c>
      <c r="BP2138" s="2"/>
      <c r="BQ2138" s="2" t="s">
        <v>91</v>
      </c>
      <c r="BR2138" s="2" t="s">
        <v>83</v>
      </c>
      <c r="BS2138" s="3">
        <v>42667</v>
      </c>
      <c r="BT2138" s="4">
        <v>0.4375</v>
      </c>
      <c r="BU2138" s="2" t="s">
        <v>2177</v>
      </c>
      <c r="BV2138" s="2"/>
      <c r="BW2138" s="2"/>
      <c r="BX2138" s="2"/>
      <c r="BY2138" s="2">
        <v>1200</v>
      </c>
      <c r="BZ2138" s="2"/>
      <c r="CA2138" s="2"/>
      <c r="CB2138" s="2"/>
      <c r="CC2138" s="2" t="s">
        <v>149</v>
      </c>
      <c r="CD2138" s="2">
        <v>4001</v>
      </c>
      <c r="CE2138" s="2" t="s">
        <v>108</v>
      </c>
      <c r="CF2138" s="5">
        <v>42668</v>
      </c>
      <c r="CG2138" s="2"/>
      <c r="CH2138" s="2"/>
      <c r="CI2138" s="2">
        <v>0</v>
      </c>
      <c r="CJ2138" s="2">
        <v>0</v>
      </c>
      <c r="CK2138" s="2">
        <v>21</v>
      </c>
      <c r="CL2138" s="2" t="s">
        <v>88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"FES1162508478"</f>
        <v>FES1162508478</v>
      </c>
      <c r="F2139" s="3">
        <v>42664</v>
      </c>
      <c r="G2139" s="2">
        <v>201704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1122</v>
      </c>
      <c r="M2139" s="2" t="s">
        <v>1123</v>
      </c>
      <c r="N2139" s="2" t="s">
        <v>422</v>
      </c>
      <c r="O2139" s="2" t="s">
        <v>81</v>
      </c>
      <c r="P2139" s="2" t="str">
        <f>"2170531593                    "</f>
        <v xml:space="preserve">2170531593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5.7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8</v>
      </c>
      <c r="BJ2139" s="2">
        <v>10.199999999999999</v>
      </c>
      <c r="BK2139" s="2">
        <v>11</v>
      </c>
      <c r="BL2139" s="2">
        <v>75.05</v>
      </c>
      <c r="BM2139" s="2">
        <v>10.51</v>
      </c>
      <c r="BN2139" s="2">
        <v>85.56</v>
      </c>
      <c r="BO2139" s="2">
        <v>85.56</v>
      </c>
      <c r="BP2139" s="2"/>
      <c r="BQ2139" s="2" t="s">
        <v>91</v>
      </c>
      <c r="BR2139" s="2" t="s">
        <v>83</v>
      </c>
      <c r="BS2139" s="3">
        <v>42667</v>
      </c>
      <c r="BT2139" s="4">
        <v>0.41666666666666669</v>
      </c>
      <c r="BU2139" s="2" t="s">
        <v>1999</v>
      </c>
      <c r="BV2139" s="2" t="s">
        <v>85</v>
      </c>
      <c r="BW2139" s="2"/>
      <c r="BX2139" s="2"/>
      <c r="BY2139" s="2">
        <v>51240</v>
      </c>
      <c r="BZ2139" s="2"/>
      <c r="CA2139" s="2"/>
      <c r="CB2139" s="2"/>
      <c r="CC2139" s="2" t="s">
        <v>1123</v>
      </c>
      <c r="CD2139" s="2">
        <v>1911</v>
      </c>
      <c r="CE2139" s="2" t="s">
        <v>86</v>
      </c>
      <c r="CF2139" s="5">
        <v>42669</v>
      </c>
      <c r="CG2139" s="2"/>
      <c r="CH2139" s="2"/>
      <c r="CI2139" s="2">
        <v>1</v>
      </c>
      <c r="CJ2139" s="2">
        <v>1</v>
      </c>
      <c r="CK2139" s="2" t="s">
        <v>87</v>
      </c>
      <c r="CL2139" s="2" t="s">
        <v>88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"FES1162508572"</f>
        <v>FES1162508572</v>
      </c>
      <c r="F2140" s="3">
        <v>42664</v>
      </c>
      <c r="G2140" s="2">
        <v>201704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823</v>
      </c>
      <c r="M2140" s="2" t="s">
        <v>824</v>
      </c>
      <c r="N2140" s="2" t="s">
        <v>825</v>
      </c>
      <c r="O2140" s="2" t="s">
        <v>81</v>
      </c>
      <c r="P2140" s="2" t="str">
        <f>"2170531849                    "</f>
        <v xml:space="preserve">2170531849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6.79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6.1</v>
      </c>
      <c r="BJ2140" s="2">
        <v>3.5</v>
      </c>
      <c r="BK2140" s="2">
        <v>7</v>
      </c>
      <c r="BL2140" s="2">
        <v>88.43</v>
      </c>
      <c r="BM2140" s="2">
        <v>12.38</v>
      </c>
      <c r="BN2140" s="2">
        <v>100.81</v>
      </c>
      <c r="BO2140" s="2">
        <v>100.81</v>
      </c>
      <c r="BP2140" s="2"/>
      <c r="BQ2140" s="2" t="s">
        <v>91</v>
      </c>
      <c r="BR2140" s="2" t="s">
        <v>83</v>
      </c>
      <c r="BS2140" s="3">
        <v>42667</v>
      </c>
      <c r="BT2140" s="4">
        <v>0.41666666666666669</v>
      </c>
      <c r="BU2140" s="2" t="s">
        <v>2044</v>
      </c>
      <c r="BV2140" s="2"/>
      <c r="BW2140" s="2"/>
      <c r="BX2140" s="2"/>
      <c r="BY2140" s="2">
        <v>17507.34</v>
      </c>
      <c r="BZ2140" s="2"/>
      <c r="CA2140" s="2"/>
      <c r="CB2140" s="2"/>
      <c r="CC2140" s="2" t="s">
        <v>824</v>
      </c>
      <c r="CD2140" s="2">
        <v>2410</v>
      </c>
      <c r="CE2140" s="2" t="s">
        <v>86</v>
      </c>
      <c r="CF2140" s="5">
        <v>42669</v>
      </c>
      <c r="CG2140" s="2"/>
      <c r="CH2140" s="2"/>
      <c r="CI2140" s="2">
        <v>0</v>
      </c>
      <c r="CJ2140" s="2">
        <v>0</v>
      </c>
      <c r="CK2140" s="2" t="s">
        <v>1063</v>
      </c>
      <c r="CL2140" s="2" t="s">
        <v>88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"FES1162508532"</f>
        <v>FES1162508532</v>
      </c>
      <c r="F2141" s="3">
        <v>42664</v>
      </c>
      <c r="G2141" s="2">
        <v>201704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1122</v>
      </c>
      <c r="M2141" s="2" t="s">
        <v>1123</v>
      </c>
      <c r="N2141" s="2" t="s">
        <v>422</v>
      </c>
      <c r="O2141" s="2" t="s">
        <v>96</v>
      </c>
      <c r="P2141" s="2" t="str">
        <f>"2170531792                    "</f>
        <v xml:space="preserve">2170531792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3.32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</v>
      </c>
      <c r="BJ2141" s="2">
        <v>1.2</v>
      </c>
      <c r="BK2141" s="2">
        <v>1.5</v>
      </c>
      <c r="BL2141" s="2">
        <v>40.76</v>
      </c>
      <c r="BM2141" s="2">
        <v>5.71</v>
      </c>
      <c r="BN2141" s="2">
        <v>46.47</v>
      </c>
      <c r="BO2141" s="2">
        <v>46.47</v>
      </c>
      <c r="BP2141" s="2"/>
      <c r="BQ2141" s="2" t="s">
        <v>91</v>
      </c>
      <c r="BR2141" s="2" t="s">
        <v>83</v>
      </c>
      <c r="BS2141" s="3">
        <v>42667</v>
      </c>
      <c r="BT2141" s="4">
        <v>0.41666666666666669</v>
      </c>
      <c r="BU2141" s="2" t="s">
        <v>1999</v>
      </c>
      <c r="BV2141" s="2" t="s">
        <v>85</v>
      </c>
      <c r="BW2141" s="2"/>
      <c r="BX2141" s="2"/>
      <c r="BY2141" s="2">
        <v>6000</v>
      </c>
      <c r="BZ2141" s="2"/>
      <c r="CA2141" s="2"/>
      <c r="CB2141" s="2"/>
      <c r="CC2141" s="2" t="s">
        <v>1123</v>
      </c>
      <c r="CD2141" s="2">
        <v>1911</v>
      </c>
      <c r="CE2141" s="2" t="s">
        <v>108</v>
      </c>
      <c r="CF2141" s="5">
        <v>42669</v>
      </c>
      <c r="CG2141" s="2"/>
      <c r="CH2141" s="2"/>
      <c r="CI2141" s="2">
        <v>1</v>
      </c>
      <c r="CJ2141" s="2">
        <v>1</v>
      </c>
      <c r="CK2141" s="2">
        <v>21</v>
      </c>
      <c r="CL2141" s="2" t="s">
        <v>88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"FES1162508450"</f>
        <v>FES1162508450</v>
      </c>
      <c r="F2142" s="3">
        <v>42664</v>
      </c>
      <c r="G2142" s="2">
        <v>201704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98</v>
      </c>
      <c r="M2142" s="2" t="s">
        <v>99</v>
      </c>
      <c r="N2142" s="2" t="s">
        <v>832</v>
      </c>
      <c r="O2142" s="2" t="s">
        <v>96</v>
      </c>
      <c r="P2142" s="2" t="str">
        <f>"2170531311                    "</f>
        <v xml:space="preserve">2170531311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74.64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23.7</v>
      </c>
      <c r="BJ2142" s="2">
        <v>44.9</v>
      </c>
      <c r="BK2142" s="2">
        <v>45</v>
      </c>
      <c r="BL2142" s="2">
        <v>917.04</v>
      </c>
      <c r="BM2142" s="2">
        <v>128.38999999999999</v>
      </c>
      <c r="BN2142" s="2">
        <v>1045.43</v>
      </c>
      <c r="BO2142" s="2">
        <v>1045.43</v>
      </c>
      <c r="BP2142" s="2"/>
      <c r="BQ2142" s="2" t="s">
        <v>833</v>
      </c>
      <c r="BR2142" s="2" t="s">
        <v>83</v>
      </c>
      <c r="BS2142" s="3">
        <v>42667</v>
      </c>
      <c r="BT2142" s="4">
        <v>0.33680555555555558</v>
      </c>
      <c r="BU2142" s="2" t="s">
        <v>554</v>
      </c>
      <c r="BV2142" s="2" t="s">
        <v>85</v>
      </c>
      <c r="BW2142" s="2"/>
      <c r="BX2142" s="2"/>
      <c r="BY2142" s="2">
        <v>224384.8</v>
      </c>
      <c r="BZ2142" s="2"/>
      <c r="CA2142" s="2"/>
      <c r="CB2142" s="2"/>
      <c r="CC2142" s="2" t="s">
        <v>99</v>
      </c>
      <c r="CD2142" s="2">
        <v>6001</v>
      </c>
      <c r="CE2142" s="2" t="s">
        <v>368</v>
      </c>
      <c r="CF2142" s="5">
        <v>42668</v>
      </c>
      <c r="CG2142" s="2"/>
      <c r="CH2142" s="2"/>
      <c r="CI2142" s="2">
        <v>1</v>
      </c>
      <c r="CJ2142" s="2">
        <v>1</v>
      </c>
      <c r="CK2142" s="2">
        <v>21</v>
      </c>
      <c r="CL2142" s="2" t="s">
        <v>88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"FES1162507870"</f>
        <v>FES1162507870</v>
      </c>
      <c r="F2143" s="3">
        <v>42662</v>
      </c>
      <c r="G2143" s="2">
        <v>201704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269</v>
      </c>
      <c r="M2143" s="2" t="s">
        <v>270</v>
      </c>
      <c r="N2143" s="2" t="s">
        <v>565</v>
      </c>
      <c r="O2143" s="2" t="s">
        <v>81</v>
      </c>
      <c r="P2143" s="2" t="str">
        <f>"2170523175                    "</f>
        <v xml:space="preserve">2170523175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9.98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42</v>
      </c>
      <c r="BJ2143" s="2">
        <v>22.9</v>
      </c>
      <c r="BK2143" s="2">
        <v>42</v>
      </c>
      <c r="BL2143" s="2">
        <v>127.57</v>
      </c>
      <c r="BM2143" s="2">
        <v>17.86</v>
      </c>
      <c r="BN2143" s="2">
        <v>145.43</v>
      </c>
      <c r="BO2143" s="2">
        <v>145.43</v>
      </c>
      <c r="BP2143" s="2"/>
      <c r="BQ2143" s="2" t="s">
        <v>566</v>
      </c>
      <c r="BR2143" s="2" t="s">
        <v>83</v>
      </c>
      <c r="BS2143" s="3">
        <v>42663</v>
      </c>
      <c r="BT2143" s="4">
        <v>0.54166666666666663</v>
      </c>
      <c r="BU2143" s="2" t="s">
        <v>1237</v>
      </c>
      <c r="BV2143" s="2" t="s">
        <v>85</v>
      </c>
      <c r="BW2143" s="2"/>
      <c r="BX2143" s="2"/>
      <c r="BY2143" s="2">
        <v>114534</v>
      </c>
      <c r="BZ2143" s="2"/>
      <c r="CA2143" s="2"/>
      <c r="CB2143" s="2"/>
      <c r="CC2143" s="2" t="s">
        <v>270</v>
      </c>
      <c r="CD2143" s="2">
        <v>3620</v>
      </c>
      <c r="CE2143" s="2" t="s">
        <v>2178</v>
      </c>
      <c r="CF2143" s="5">
        <v>42664</v>
      </c>
      <c r="CG2143" s="2"/>
      <c r="CH2143" s="2"/>
      <c r="CI2143" s="2">
        <v>1</v>
      </c>
      <c r="CJ2143" s="2">
        <v>1</v>
      </c>
      <c r="CK2143" s="2" t="s">
        <v>1059</v>
      </c>
      <c r="CL2143" s="2" t="s">
        <v>88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"FES1162507313"</f>
        <v>FES1162507313</v>
      </c>
      <c r="F2144" s="3">
        <v>42662</v>
      </c>
      <c r="G2144" s="2">
        <v>201704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148</v>
      </c>
      <c r="M2144" s="2" t="s">
        <v>149</v>
      </c>
      <c r="N2144" s="2" t="s">
        <v>560</v>
      </c>
      <c r="O2144" s="2" t="s">
        <v>81</v>
      </c>
      <c r="P2144" s="2" t="str">
        <f>"2170528275                    "</f>
        <v xml:space="preserve">2170528275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49.9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245</v>
      </c>
      <c r="BJ2144" s="2">
        <v>126.6</v>
      </c>
      <c r="BK2144" s="2">
        <v>245</v>
      </c>
      <c r="BL2144" s="2">
        <v>618.15</v>
      </c>
      <c r="BM2144" s="2">
        <v>86.54</v>
      </c>
      <c r="BN2144" s="2">
        <v>704.69</v>
      </c>
      <c r="BO2144" s="2">
        <v>704.69</v>
      </c>
      <c r="BP2144" s="2"/>
      <c r="BQ2144" s="2" t="s">
        <v>91</v>
      </c>
      <c r="BR2144" s="2" t="s">
        <v>83</v>
      </c>
      <c r="BS2144" s="3">
        <v>42663</v>
      </c>
      <c r="BT2144" s="4">
        <v>0.54166666666666663</v>
      </c>
      <c r="BU2144" s="2" t="s">
        <v>561</v>
      </c>
      <c r="BV2144" s="2"/>
      <c r="BW2144" s="2"/>
      <c r="BX2144" s="2"/>
      <c r="BY2144" s="2">
        <v>632772</v>
      </c>
      <c r="BZ2144" s="2"/>
      <c r="CA2144" s="2"/>
      <c r="CB2144" s="2"/>
      <c r="CC2144" s="2" t="s">
        <v>149</v>
      </c>
      <c r="CD2144" s="2">
        <v>4001</v>
      </c>
      <c r="CE2144" s="2" t="s">
        <v>2178</v>
      </c>
      <c r="CF2144" s="5">
        <v>42664</v>
      </c>
      <c r="CG2144" s="2"/>
      <c r="CH2144" s="2"/>
      <c r="CI2144" s="2">
        <v>0</v>
      </c>
      <c r="CJ2144" s="2">
        <v>0</v>
      </c>
      <c r="CK2144" s="2" t="s">
        <v>1059</v>
      </c>
      <c r="CL2144" s="2" t="s">
        <v>88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"009932186820"</f>
        <v>009932186820</v>
      </c>
      <c r="F2145" s="3">
        <v>42666</v>
      </c>
      <c r="G2145" s="2">
        <v>201704</v>
      </c>
      <c r="H2145" s="2" t="s">
        <v>74</v>
      </c>
      <c r="I2145" s="2" t="s">
        <v>75</v>
      </c>
      <c r="J2145" s="2" t="s">
        <v>189</v>
      </c>
      <c r="K2145" s="2" t="s">
        <v>77</v>
      </c>
      <c r="L2145" s="2" t="s">
        <v>98</v>
      </c>
      <c r="M2145" s="2" t="s">
        <v>99</v>
      </c>
      <c r="N2145" s="2" t="s">
        <v>2179</v>
      </c>
      <c r="O2145" s="2" t="s">
        <v>191</v>
      </c>
      <c r="P2145" s="2" t="str">
        <f>"PAP1956689                    "</f>
        <v xml:space="preserve">PAP1956689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351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52.66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13</v>
      </c>
      <c r="BJ2145" s="2">
        <v>1.3</v>
      </c>
      <c r="BK2145" s="2">
        <v>13</v>
      </c>
      <c r="BL2145" s="2">
        <v>647.02</v>
      </c>
      <c r="BM2145" s="2">
        <v>90.58</v>
      </c>
      <c r="BN2145" s="2">
        <v>737.6</v>
      </c>
      <c r="BO2145" s="2">
        <v>737.6</v>
      </c>
      <c r="BP2145" s="2"/>
      <c r="BQ2145" s="2"/>
      <c r="BR2145" s="2" t="s">
        <v>2180</v>
      </c>
      <c r="BS2145" s="3">
        <v>42667</v>
      </c>
      <c r="BT2145" s="4">
        <v>0.34722222222222227</v>
      </c>
      <c r="BU2145" s="2" t="s">
        <v>2181</v>
      </c>
      <c r="BV2145" s="2" t="s">
        <v>88</v>
      </c>
      <c r="BW2145" s="2"/>
      <c r="BX2145" s="2"/>
      <c r="BY2145" s="2">
        <v>6250</v>
      </c>
      <c r="BZ2145" s="2" t="s">
        <v>395</v>
      </c>
      <c r="CA2145" s="2"/>
      <c r="CB2145" s="2"/>
      <c r="CC2145" s="2" t="s">
        <v>99</v>
      </c>
      <c r="CD2145" s="2">
        <v>6000</v>
      </c>
      <c r="CE2145" s="2" t="s">
        <v>86</v>
      </c>
      <c r="CF2145" s="5">
        <v>42668</v>
      </c>
      <c r="CG2145" s="2"/>
      <c r="CH2145" s="2"/>
      <c r="CI2145" s="2">
        <v>0</v>
      </c>
      <c r="CJ2145" s="2">
        <v>1</v>
      </c>
      <c r="CK2145" s="2">
        <v>21</v>
      </c>
      <c r="CL2145" s="2" t="s">
        <v>88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"FES1162508652"</f>
        <v>FES1162508652</v>
      </c>
      <c r="F2146" s="3">
        <v>42667</v>
      </c>
      <c r="G2146" s="2">
        <v>201704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253</v>
      </c>
      <c r="M2146" s="2" t="s">
        <v>254</v>
      </c>
      <c r="N2146" s="2" t="s">
        <v>255</v>
      </c>
      <c r="O2146" s="2" t="s">
        <v>96</v>
      </c>
      <c r="P2146" s="2" t="str">
        <f>"2170531739                    "</f>
        <v xml:space="preserve">2170531739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6.43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78.97</v>
      </c>
      <c r="BM2146" s="2">
        <v>11.06</v>
      </c>
      <c r="BN2146" s="2">
        <v>90.03</v>
      </c>
      <c r="BO2146" s="2">
        <v>90.03</v>
      </c>
      <c r="BP2146" s="2"/>
      <c r="BQ2146" s="2" t="s">
        <v>117</v>
      </c>
      <c r="BR2146" s="2" t="s">
        <v>83</v>
      </c>
      <c r="BS2146" s="3">
        <v>42668</v>
      </c>
      <c r="BT2146" s="4">
        <v>0.59722222222222221</v>
      </c>
      <c r="BU2146" s="2" t="s">
        <v>457</v>
      </c>
      <c r="BV2146" s="2" t="s">
        <v>85</v>
      </c>
      <c r="BW2146" s="2"/>
      <c r="BX2146" s="2"/>
      <c r="BY2146" s="2">
        <v>1200</v>
      </c>
      <c r="BZ2146" s="2" t="s">
        <v>27</v>
      </c>
      <c r="CA2146" s="2"/>
      <c r="CB2146" s="2"/>
      <c r="CC2146" s="2" t="s">
        <v>254</v>
      </c>
      <c r="CD2146" s="2">
        <v>3370</v>
      </c>
      <c r="CE2146" s="2" t="s">
        <v>108</v>
      </c>
      <c r="CF2146" s="5">
        <v>42670</v>
      </c>
      <c r="CG2146" s="2"/>
      <c r="CH2146" s="2"/>
      <c r="CI2146" s="2">
        <v>3</v>
      </c>
      <c r="CJ2146" s="2">
        <v>1</v>
      </c>
      <c r="CK2146" s="2">
        <v>23</v>
      </c>
      <c r="CL2146" s="2" t="s">
        <v>88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"080001466487"</f>
        <v>080001466487</v>
      </c>
      <c r="F2147" s="3">
        <v>42667</v>
      </c>
      <c r="G2147" s="2">
        <v>201704</v>
      </c>
      <c r="H2147" s="2" t="s">
        <v>269</v>
      </c>
      <c r="I2147" s="2" t="s">
        <v>270</v>
      </c>
      <c r="J2147" s="2" t="s">
        <v>1504</v>
      </c>
      <c r="K2147" s="2" t="s">
        <v>77</v>
      </c>
      <c r="L2147" s="2" t="s">
        <v>74</v>
      </c>
      <c r="M2147" s="2" t="s">
        <v>75</v>
      </c>
      <c r="N2147" s="2" t="s">
        <v>189</v>
      </c>
      <c r="O2147" s="2" t="s">
        <v>96</v>
      </c>
      <c r="P2147" s="2" t="str">
        <f>"ZA1000600478                  "</f>
        <v xml:space="preserve">ZA1000600478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3.32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0.5</v>
      </c>
      <c r="BK2147" s="2">
        <v>1</v>
      </c>
      <c r="BL2147" s="2">
        <v>40.76</v>
      </c>
      <c r="BM2147" s="2">
        <v>5.71</v>
      </c>
      <c r="BN2147" s="2">
        <v>46.47</v>
      </c>
      <c r="BO2147" s="2">
        <v>46.47</v>
      </c>
      <c r="BP2147" s="2" t="s">
        <v>1217</v>
      </c>
      <c r="BQ2147" s="2" t="s">
        <v>381</v>
      </c>
      <c r="BR2147" s="2" t="s">
        <v>2182</v>
      </c>
      <c r="BS2147" s="3">
        <v>42668</v>
      </c>
      <c r="BT2147" s="4">
        <v>0.36458333333333331</v>
      </c>
      <c r="BU2147" s="2" t="s">
        <v>102</v>
      </c>
      <c r="BV2147" s="2" t="s">
        <v>85</v>
      </c>
      <c r="BW2147" s="2"/>
      <c r="BX2147" s="2"/>
      <c r="BY2147" s="2">
        <v>2400</v>
      </c>
      <c r="BZ2147" s="2"/>
      <c r="CA2147" s="2"/>
      <c r="CB2147" s="2"/>
      <c r="CC2147" s="2" t="s">
        <v>75</v>
      </c>
      <c r="CD2147" s="2">
        <v>1601</v>
      </c>
      <c r="CE2147" s="2" t="s">
        <v>86</v>
      </c>
      <c r="CF2147" s="5">
        <v>42669</v>
      </c>
      <c r="CG2147" s="2"/>
      <c r="CH2147" s="2"/>
      <c r="CI2147" s="2">
        <v>1</v>
      </c>
      <c r="CJ2147" s="2">
        <v>1</v>
      </c>
      <c r="CK2147" s="2">
        <v>21</v>
      </c>
      <c r="CL2147" s="2" t="s">
        <v>88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"FES1162508688"</f>
        <v>FES1162508688</v>
      </c>
      <c r="F2148" s="3">
        <v>42667</v>
      </c>
      <c r="G2148" s="2">
        <v>201704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148</v>
      </c>
      <c r="M2148" s="2" t="s">
        <v>149</v>
      </c>
      <c r="N2148" s="2" t="s">
        <v>265</v>
      </c>
      <c r="O2148" s="2" t="s">
        <v>96</v>
      </c>
      <c r="P2148" s="2" t="str">
        <f>"2170529897                    "</f>
        <v xml:space="preserve">2170529897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3.32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40.76</v>
      </c>
      <c r="BM2148" s="2">
        <v>5.71</v>
      </c>
      <c r="BN2148" s="2">
        <v>46.47</v>
      </c>
      <c r="BO2148" s="2">
        <v>46.47</v>
      </c>
      <c r="BP2148" s="2"/>
      <c r="BQ2148" s="2" t="s">
        <v>91</v>
      </c>
      <c r="BR2148" s="2" t="s">
        <v>83</v>
      </c>
      <c r="BS2148" s="3">
        <v>42668</v>
      </c>
      <c r="BT2148" s="4">
        <v>0.4375</v>
      </c>
      <c r="BU2148" s="2" t="s">
        <v>724</v>
      </c>
      <c r="BV2148" s="2" t="s">
        <v>85</v>
      </c>
      <c r="BW2148" s="2"/>
      <c r="BX2148" s="2"/>
      <c r="BY2148" s="2">
        <v>1200</v>
      </c>
      <c r="BZ2148" s="2" t="s">
        <v>27</v>
      </c>
      <c r="CA2148" s="2" t="s">
        <v>129</v>
      </c>
      <c r="CB2148" s="2"/>
      <c r="CC2148" s="2" t="s">
        <v>149</v>
      </c>
      <c r="CD2148" s="2">
        <v>4052</v>
      </c>
      <c r="CE2148" s="2" t="s">
        <v>108</v>
      </c>
      <c r="CF2148" s="5">
        <v>42669</v>
      </c>
      <c r="CG2148" s="2"/>
      <c r="CH2148" s="2"/>
      <c r="CI2148" s="2">
        <v>1</v>
      </c>
      <c r="CJ2148" s="2">
        <v>1</v>
      </c>
      <c r="CK2148" s="2">
        <v>21</v>
      </c>
      <c r="CL2148" s="2" t="s">
        <v>88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"080001465975"</f>
        <v>080001465975</v>
      </c>
      <c r="F2149" s="3">
        <v>42667</v>
      </c>
      <c r="G2149" s="2">
        <v>201704</v>
      </c>
      <c r="H2149" s="2" t="s">
        <v>207</v>
      </c>
      <c r="I2149" s="2" t="s">
        <v>208</v>
      </c>
      <c r="J2149" s="2" t="s">
        <v>1774</v>
      </c>
      <c r="K2149" s="2" t="s">
        <v>77</v>
      </c>
      <c r="L2149" s="2" t="s">
        <v>74</v>
      </c>
      <c r="M2149" s="2" t="s">
        <v>75</v>
      </c>
      <c r="N2149" s="2" t="s">
        <v>189</v>
      </c>
      <c r="O2149" s="2" t="s">
        <v>96</v>
      </c>
      <c r="P2149" s="2" t="str">
        <f>"                              "</f>
        <v xml:space="preserve">          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3.32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</v>
      </c>
      <c r="BJ2149" s="2">
        <v>0.3</v>
      </c>
      <c r="BK2149" s="2">
        <v>1</v>
      </c>
      <c r="BL2149" s="2">
        <v>40.76</v>
      </c>
      <c r="BM2149" s="2">
        <v>5.71</v>
      </c>
      <c r="BN2149" s="2">
        <v>46.47</v>
      </c>
      <c r="BO2149" s="2">
        <v>46.47</v>
      </c>
      <c r="BP2149" s="2" t="s">
        <v>1490</v>
      </c>
      <c r="BQ2149" s="2" t="s">
        <v>102</v>
      </c>
      <c r="BR2149" s="2" t="s">
        <v>2183</v>
      </c>
      <c r="BS2149" s="3">
        <v>42668</v>
      </c>
      <c r="BT2149" s="4">
        <v>0.36458333333333331</v>
      </c>
      <c r="BU2149" s="2" t="s">
        <v>102</v>
      </c>
      <c r="BV2149" s="2" t="s">
        <v>85</v>
      </c>
      <c r="BW2149" s="2"/>
      <c r="BX2149" s="2"/>
      <c r="BY2149" s="2">
        <v>1500</v>
      </c>
      <c r="BZ2149" s="2"/>
      <c r="CA2149" s="2"/>
      <c r="CB2149" s="2"/>
      <c r="CC2149" s="2" t="s">
        <v>75</v>
      </c>
      <c r="CD2149" s="2">
        <v>1601</v>
      </c>
      <c r="CE2149" s="2" t="s">
        <v>86</v>
      </c>
      <c r="CF2149" s="5">
        <v>42669</v>
      </c>
      <c r="CG2149" s="2"/>
      <c r="CH2149" s="2"/>
      <c r="CI2149" s="2">
        <v>1</v>
      </c>
      <c r="CJ2149" s="2">
        <v>1</v>
      </c>
      <c r="CK2149" s="2">
        <v>21</v>
      </c>
      <c r="CL2149" s="2" t="s">
        <v>88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"FES1162508647"</f>
        <v>FES1162508647</v>
      </c>
      <c r="F2150" s="3">
        <v>42667</v>
      </c>
      <c r="G2150" s="2">
        <v>201704</v>
      </c>
      <c r="H2150" s="2" t="s">
        <v>74</v>
      </c>
      <c r="I2150" s="2" t="s">
        <v>75</v>
      </c>
      <c r="J2150" s="2" t="s">
        <v>76</v>
      </c>
      <c r="K2150" s="2" t="s">
        <v>77</v>
      </c>
      <c r="L2150" s="2" t="s">
        <v>148</v>
      </c>
      <c r="M2150" s="2" t="s">
        <v>149</v>
      </c>
      <c r="N2150" s="2" t="s">
        <v>1724</v>
      </c>
      <c r="O2150" s="2" t="s">
        <v>96</v>
      </c>
      <c r="P2150" s="2" t="str">
        <f>"2170531871                    "</f>
        <v xml:space="preserve">2170531871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5.81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2.5</v>
      </c>
      <c r="BJ2150" s="2">
        <v>3.3</v>
      </c>
      <c r="BK2150" s="2">
        <v>3.5</v>
      </c>
      <c r="BL2150" s="2">
        <v>71.33</v>
      </c>
      <c r="BM2150" s="2">
        <v>9.99</v>
      </c>
      <c r="BN2150" s="2">
        <v>81.319999999999993</v>
      </c>
      <c r="BO2150" s="2">
        <v>81.319999999999993</v>
      </c>
      <c r="BP2150" s="2"/>
      <c r="BQ2150" s="2" t="s">
        <v>1725</v>
      </c>
      <c r="BR2150" s="2" t="s">
        <v>83</v>
      </c>
      <c r="BS2150" s="3">
        <v>42668</v>
      </c>
      <c r="BT2150" s="4">
        <v>0.4375</v>
      </c>
      <c r="BU2150" s="2" t="s">
        <v>2184</v>
      </c>
      <c r="BV2150" s="2" t="s">
        <v>85</v>
      </c>
      <c r="BW2150" s="2"/>
      <c r="BX2150" s="2"/>
      <c r="BY2150" s="2">
        <v>16592.64</v>
      </c>
      <c r="BZ2150" s="2" t="s">
        <v>27</v>
      </c>
      <c r="CA2150" s="2"/>
      <c r="CB2150" s="2"/>
      <c r="CC2150" s="2" t="s">
        <v>149</v>
      </c>
      <c r="CD2150" s="2">
        <v>4052</v>
      </c>
      <c r="CE2150" s="2" t="s">
        <v>86</v>
      </c>
      <c r="CF2150" s="5">
        <v>42669</v>
      </c>
      <c r="CG2150" s="2"/>
      <c r="CH2150" s="2"/>
      <c r="CI2150" s="2">
        <v>1</v>
      </c>
      <c r="CJ2150" s="2">
        <v>1</v>
      </c>
      <c r="CK2150" s="2">
        <v>21</v>
      </c>
      <c r="CL2150" s="2" t="s">
        <v>88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"FES1162508689"</f>
        <v>FES1162508689</v>
      </c>
      <c r="F2151" s="3">
        <v>42667</v>
      </c>
      <c r="G2151" s="2">
        <v>201704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148</v>
      </c>
      <c r="M2151" s="2" t="s">
        <v>149</v>
      </c>
      <c r="N2151" s="2" t="s">
        <v>2185</v>
      </c>
      <c r="O2151" s="2" t="s">
        <v>96</v>
      </c>
      <c r="P2151" s="2" t="str">
        <f>"2170531534                    "</f>
        <v xml:space="preserve">2170531534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5.81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3.3</v>
      </c>
      <c r="BJ2151" s="2">
        <v>1.9</v>
      </c>
      <c r="BK2151" s="2">
        <v>3.5</v>
      </c>
      <c r="BL2151" s="2">
        <v>71.33</v>
      </c>
      <c r="BM2151" s="2">
        <v>9.99</v>
      </c>
      <c r="BN2151" s="2">
        <v>81.319999999999993</v>
      </c>
      <c r="BO2151" s="2">
        <v>81.319999999999993</v>
      </c>
      <c r="BP2151" s="2"/>
      <c r="BQ2151" s="2" t="s">
        <v>2186</v>
      </c>
      <c r="BR2151" s="2" t="s">
        <v>83</v>
      </c>
      <c r="BS2151" s="3">
        <v>42668</v>
      </c>
      <c r="BT2151" s="4">
        <v>0.4375</v>
      </c>
      <c r="BU2151" s="2" t="s">
        <v>2187</v>
      </c>
      <c r="BV2151" s="2" t="s">
        <v>85</v>
      </c>
      <c r="BW2151" s="2"/>
      <c r="BX2151" s="2"/>
      <c r="BY2151" s="2">
        <v>9395.67</v>
      </c>
      <c r="BZ2151" s="2" t="s">
        <v>27</v>
      </c>
      <c r="CA2151" s="2" t="s">
        <v>129</v>
      </c>
      <c r="CB2151" s="2"/>
      <c r="CC2151" s="2" t="s">
        <v>149</v>
      </c>
      <c r="CD2151" s="2">
        <v>4052</v>
      </c>
      <c r="CE2151" s="2" t="s">
        <v>86</v>
      </c>
      <c r="CF2151" s="5">
        <v>42669</v>
      </c>
      <c r="CG2151" s="2"/>
      <c r="CH2151" s="2"/>
      <c r="CI2151" s="2">
        <v>1</v>
      </c>
      <c r="CJ2151" s="2">
        <v>1</v>
      </c>
      <c r="CK2151" s="2">
        <v>21</v>
      </c>
      <c r="CL2151" s="2" t="s">
        <v>88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"FES1162508653"</f>
        <v>FES1162508653</v>
      </c>
      <c r="F2152" s="3">
        <v>42667</v>
      </c>
      <c r="G2152" s="2">
        <v>201704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1525</v>
      </c>
      <c r="M2152" s="2" t="s">
        <v>1526</v>
      </c>
      <c r="N2152" s="2" t="s">
        <v>2188</v>
      </c>
      <c r="O2152" s="2" t="s">
        <v>96</v>
      </c>
      <c r="P2152" s="2" t="str">
        <f>"2170531905                    "</f>
        <v xml:space="preserve">2170531905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7.88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2.2999999999999998</v>
      </c>
      <c r="BJ2152" s="2">
        <v>1</v>
      </c>
      <c r="BK2152" s="2">
        <v>2.5</v>
      </c>
      <c r="BL2152" s="2">
        <v>96.8</v>
      </c>
      <c r="BM2152" s="2">
        <v>13.55</v>
      </c>
      <c r="BN2152" s="2">
        <v>110.35</v>
      </c>
      <c r="BO2152" s="2">
        <v>110.35</v>
      </c>
      <c r="BP2152" s="2"/>
      <c r="BQ2152" s="2" t="s">
        <v>2189</v>
      </c>
      <c r="BR2152" s="2" t="s">
        <v>83</v>
      </c>
      <c r="BS2152" s="3">
        <v>42668</v>
      </c>
      <c r="BT2152" s="4">
        <v>0.54166666666666663</v>
      </c>
      <c r="BU2152" s="2" t="s">
        <v>431</v>
      </c>
      <c r="BV2152" s="2" t="s">
        <v>85</v>
      </c>
      <c r="BW2152" s="2"/>
      <c r="BX2152" s="2"/>
      <c r="BY2152" s="2">
        <v>4862.1000000000004</v>
      </c>
      <c r="BZ2152" s="2" t="s">
        <v>27</v>
      </c>
      <c r="CA2152" s="2"/>
      <c r="CB2152" s="2"/>
      <c r="CC2152" s="2" t="s">
        <v>1526</v>
      </c>
      <c r="CD2152" s="2">
        <v>4399</v>
      </c>
      <c r="CE2152" s="2" t="s">
        <v>86</v>
      </c>
      <c r="CF2152" s="5">
        <v>42670</v>
      </c>
      <c r="CG2152" s="2"/>
      <c r="CH2152" s="2"/>
      <c r="CI2152" s="2">
        <v>1</v>
      </c>
      <c r="CJ2152" s="2">
        <v>1</v>
      </c>
      <c r="CK2152" s="2">
        <v>23</v>
      </c>
      <c r="CL2152" s="2" t="s">
        <v>88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"FES1162508649"</f>
        <v>FES1162508649</v>
      </c>
      <c r="F2153" s="3">
        <v>42667</v>
      </c>
      <c r="G2153" s="2">
        <v>201704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269</v>
      </c>
      <c r="M2153" s="2" t="s">
        <v>270</v>
      </c>
      <c r="N2153" s="2" t="s">
        <v>1245</v>
      </c>
      <c r="O2153" s="2" t="s">
        <v>96</v>
      </c>
      <c r="P2153" s="2" t="str">
        <f>"2170531900                    "</f>
        <v xml:space="preserve">2170531900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3.32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1.9</v>
      </c>
      <c r="BJ2153" s="2">
        <v>0.9</v>
      </c>
      <c r="BK2153" s="2">
        <v>2</v>
      </c>
      <c r="BL2153" s="2">
        <v>40.76</v>
      </c>
      <c r="BM2153" s="2">
        <v>5.71</v>
      </c>
      <c r="BN2153" s="2">
        <v>46.47</v>
      </c>
      <c r="BO2153" s="2">
        <v>46.47</v>
      </c>
      <c r="BP2153" s="2"/>
      <c r="BQ2153" s="2" t="s">
        <v>91</v>
      </c>
      <c r="BR2153" s="2" t="s">
        <v>83</v>
      </c>
      <c r="BS2153" s="3">
        <v>42668</v>
      </c>
      <c r="BT2153" s="4">
        <v>0.37847222222222227</v>
      </c>
      <c r="BU2153" s="2" t="s">
        <v>2190</v>
      </c>
      <c r="BV2153" s="2"/>
      <c r="BW2153" s="2"/>
      <c r="BX2153" s="2"/>
      <c r="BY2153" s="2">
        <v>4348.8</v>
      </c>
      <c r="BZ2153" s="2" t="s">
        <v>27</v>
      </c>
      <c r="CA2153" s="2"/>
      <c r="CB2153" s="2"/>
      <c r="CC2153" s="2" t="s">
        <v>270</v>
      </c>
      <c r="CD2153" s="2">
        <v>4037</v>
      </c>
      <c r="CE2153" s="2" t="s">
        <v>86</v>
      </c>
      <c r="CF2153" s="5">
        <v>42670</v>
      </c>
      <c r="CG2153" s="2"/>
      <c r="CH2153" s="2"/>
      <c r="CI2153" s="2">
        <v>0</v>
      </c>
      <c r="CJ2153" s="2">
        <v>0</v>
      </c>
      <c r="CK2153" s="2">
        <v>21</v>
      </c>
      <c r="CL2153" s="2" t="s">
        <v>88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"FES1162508674"</f>
        <v>FES1162508674</v>
      </c>
      <c r="F2154" s="3">
        <v>42667</v>
      </c>
      <c r="G2154" s="2">
        <v>201704</v>
      </c>
      <c r="H2154" s="2" t="s">
        <v>74</v>
      </c>
      <c r="I2154" s="2" t="s">
        <v>75</v>
      </c>
      <c r="J2154" s="2" t="s">
        <v>76</v>
      </c>
      <c r="K2154" s="2" t="s">
        <v>77</v>
      </c>
      <c r="L2154" s="2" t="s">
        <v>148</v>
      </c>
      <c r="M2154" s="2" t="s">
        <v>149</v>
      </c>
      <c r="N2154" s="2" t="s">
        <v>560</v>
      </c>
      <c r="O2154" s="2" t="s">
        <v>96</v>
      </c>
      <c r="P2154" s="2" t="str">
        <f>"2170528275                    "</f>
        <v xml:space="preserve">2170528275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20.73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12.3</v>
      </c>
      <c r="BJ2154" s="2">
        <v>4.5999999999999996</v>
      </c>
      <c r="BK2154" s="2">
        <v>12.5</v>
      </c>
      <c r="BL2154" s="2">
        <v>254.73</v>
      </c>
      <c r="BM2154" s="2">
        <v>35.659999999999997</v>
      </c>
      <c r="BN2154" s="2">
        <v>290.39</v>
      </c>
      <c r="BO2154" s="2">
        <v>290.39</v>
      </c>
      <c r="BP2154" s="2"/>
      <c r="BQ2154" s="2" t="s">
        <v>91</v>
      </c>
      <c r="BR2154" s="2" t="s">
        <v>83</v>
      </c>
      <c r="BS2154" s="3">
        <v>42668</v>
      </c>
      <c r="BT2154" s="4">
        <v>0.4375</v>
      </c>
      <c r="BU2154" s="2" t="s">
        <v>1960</v>
      </c>
      <c r="BV2154" s="2"/>
      <c r="BW2154" s="2"/>
      <c r="BX2154" s="2"/>
      <c r="BY2154" s="2">
        <v>23221.35</v>
      </c>
      <c r="BZ2154" s="2" t="s">
        <v>27</v>
      </c>
      <c r="CA2154" s="2" t="s">
        <v>129</v>
      </c>
      <c r="CB2154" s="2"/>
      <c r="CC2154" s="2" t="s">
        <v>149</v>
      </c>
      <c r="CD2154" s="2">
        <v>4001</v>
      </c>
      <c r="CE2154" s="2" t="s">
        <v>86</v>
      </c>
      <c r="CF2154" s="5">
        <v>42669</v>
      </c>
      <c r="CG2154" s="2"/>
      <c r="CH2154" s="2"/>
      <c r="CI2154" s="2">
        <v>0</v>
      </c>
      <c r="CJ2154" s="2">
        <v>0</v>
      </c>
      <c r="CK2154" s="2">
        <v>21</v>
      </c>
      <c r="CL2154" s="2" t="s">
        <v>88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"FES1162508658"</f>
        <v>FES1162508658</v>
      </c>
      <c r="F2155" s="3">
        <v>42667</v>
      </c>
      <c r="G2155" s="2">
        <v>201704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148</v>
      </c>
      <c r="M2155" s="2" t="s">
        <v>149</v>
      </c>
      <c r="N2155" s="2" t="s">
        <v>473</v>
      </c>
      <c r="O2155" s="2" t="s">
        <v>96</v>
      </c>
      <c r="P2155" s="2" t="str">
        <f>"2170531910                    "</f>
        <v xml:space="preserve">2170531910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3.32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1.4</v>
      </c>
      <c r="BJ2155" s="2">
        <v>1.4</v>
      </c>
      <c r="BK2155" s="2">
        <v>1.5</v>
      </c>
      <c r="BL2155" s="2">
        <v>40.76</v>
      </c>
      <c r="BM2155" s="2">
        <v>5.71</v>
      </c>
      <c r="BN2155" s="2">
        <v>46.47</v>
      </c>
      <c r="BO2155" s="2">
        <v>46.47</v>
      </c>
      <c r="BP2155" s="2"/>
      <c r="BQ2155" s="2" t="s">
        <v>117</v>
      </c>
      <c r="BR2155" s="2" t="s">
        <v>83</v>
      </c>
      <c r="BS2155" s="3">
        <v>42668</v>
      </c>
      <c r="BT2155" s="4">
        <v>0.4375</v>
      </c>
      <c r="BU2155" s="2" t="s">
        <v>1254</v>
      </c>
      <c r="BV2155" s="2" t="s">
        <v>85</v>
      </c>
      <c r="BW2155" s="2"/>
      <c r="BX2155" s="2"/>
      <c r="BY2155" s="2">
        <v>6877.4</v>
      </c>
      <c r="BZ2155" s="2" t="s">
        <v>27</v>
      </c>
      <c r="CA2155" s="2"/>
      <c r="CB2155" s="2"/>
      <c r="CC2155" s="2" t="s">
        <v>149</v>
      </c>
      <c r="CD2155" s="2">
        <v>4052</v>
      </c>
      <c r="CE2155" s="2" t="s">
        <v>86</v>
      </c>
      <c r="CF2155" s="5">
        <v>42669</v>
      </c>
      <c r="CG2155" s="2"/>
      <c r="CH2155" s="2"/>
      <c r="CI2155" s="2">
        <v>1</v>
      </c>
      <c r="CJ2155" s="2">
        <v>1</v>
      </c>
      <c r="CK2155" s="2">
        <v>21</v>
      </c>
      <c r="CL2155" s="2" t="s">
        <v>88</v>
      </c>
      <c r="CM2155" s="2"/>
    </row>
    <row r="2156" spans="1:91">
      <c r="A2156" s="2" t="s">
        <v>71</v>
      </c>
      <c r="B2156" s="2" t="s">
        <v>72</v>
      </c>
      <c r="C2156" s="2" t="s">
        <v>73</v>
      </c>
      <c r="D2156" s="2"/>
      <c r="E2156" s="2" t="str">
        <f>"FES1162508657"</f>
        <v>FES1162508657</v>
      </c>
      <c r="F2156" s="3">
        <v>42667</v>
      </c>
      <c r="G2156" s="2">
        <v>201704</v>
      </c>
      <c r="H2156" s="2" t="s">
        <v>74</v>
      </c>
      <c r="I2156" s="2" t="s">
        <v>75</v>
      </c>
      <c r="J2156" s="2" t="s">
        <v>76</v>
      </c>
      <c r="K2156" s="2" t="s">
        <v>77</v>
      </c>
      <c r="L2156" s="2" t="s">
        <v>541</v>
      </c>
      <c r="M2156" s="2" t="s">
        <v>542</v>
      </c>
      <c r="N2156" s="2" t="s">
        <v>455</v>
      </c>
      <c r="O2156" s="2" t="s">
        <v>96</v>
      </c>
      <c r="P2156" s="2" t="str">
        <f>"2170531908                    "</f>
        <v xml:space="preserve">2170531908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7.88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2.1</v>
      </c>
      <c r="BJ2156" s="2">
        <v>1.2</v>
      </c>
      <c r="BK2156" s="2">
        <v>2.5</v>
      </c>
      <c r="BL2156" s="2">
        <v>96.8</v>
      </c>
      <c r="BM2156" s="2">
        <v>13.55</v>
      </c>
      <c r="BN2156" s="2">
        <v>110.35</v>
      </c>
      <c r="BO2156" s="2">
        <v>110.35</v>
      </c>
      <c r="BP2156" s="2"/>
      <c r="BQ2156" s="2" t="s">
        <v>91</v>
      </c>
      <c r="BR2156" s="2" t="s">
        <v>83</v>
      </c>
      <c r="BS2156" s="3">
        <v>42668</v>
      </c>
      <c r="BT2156" s="4">
        <v>0.54166666666666663</v>
      </c>
      <c r="BU2156" s="2" t="s">
        <v>2191</v>
      </c>
      <c r="BV2156" s="2" t="s">
        <v>85</v>
      </c>
      <c r="BW2156" s="2"/>
      <c r="BX2156" s="2"/>
      <c r="BY2156" s="2">
        <v>5912.26</v>
      </c>
      <c r="BZ2156" s="2" t="s">
        <v>27</v>
      </c>
      <c r="CA2156" s="2"/>
      <c r="CB2156" s="2"/>
      <c r="CC2156" s="2" t="s">
        <v>542</v>
      </c>
      <c r="CD2156" s="2">
        <v>4490</v>
      </c>
      <c r="CE2156" s="2" t="s">
        <v>86</v>
      </c>
      <c r="CF2156" s="5">
        <v>42670</v>
      </c>
      <c r="CG2156" s="2"/>
      <c r="CH2156" s="2"/>
      <c r="CI2156" s="2">
        <v>1</v>
      </c>
      <c r="CJ2156" s="2">
        <v>1</v>
      </c>
      <c r="CK2156" s="2">
        <v>23</v>
      </c>
      <c r="CL2156" s="2" t="s">
        <v>88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"FES1162508736"</f>
        <v>FES1162508736</v>
      </c>
      <c r="F2157" s="3">
        <v>42667</v>
      </c>
      <c r="G2157" s="2">
        <v>201704</v>
      </c>
      <c r="H2157" s="2" t="s">
        <v>74</v>
      </c>
      <c r="I2157" s="2" t="s">
        <v>75</v>
      </c>
      <c r="J2157" s="2" t="s">
        <v>76</v>
      </c>
      <c r="K2157" s="2" t="s">
        <v>77</v>
      </c>
      <c r="L2157" s="2" t="s">
        <v>98</v>
      </c>
      <c r="M2157" s="2" t="s">
        <v>99</v>
      </c>
      <c r="N2157" s="2" t="s">
        <v>109</v>
      </c>
      <c r="O2157" s="2" t="s">
        <v>96</v>
      </c>
      <c r="P2157" s="2" t="str">
        <f>"2170527001                    "</f>
        <v xml:space="preserve">2170527001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14.93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8.6</v>
      </c>
      <c r="BJ2157" s="2">
        <v>9</v>
      </c>
      <c r="BK2157" s="2">
        <v>9</v>
      </c>
      <c r="BL2157" s="2">
        <v>183.41</v>
      </c>
      <c r="BM2157" s="2">
        <v>25.68</v>
      </c>
      <c r="BN2157" s="2">
        <v>209.09</v>
      </c>
      <c r="BO2157" s="2">
        <v>209.09</v>
      </c>
      <c r="BP2157" s="2"/>
      <c r="BQ2157" s="2" t="s">
        <v>110</v>
      </c>
      <c r="BR2157" s="2" t="s">
        <v>83</v>
      </c>
      <c r="BS2157" s="3">
        <v>42668</v>
      </c>
      <c r="BT2157" s="4">
        <v>0.35416666666666669</v>
      </c>
      <c r="BU2157" s="2" t="s">
        <v>110</v>
      </c>
      <c r="BV2157" s="2" t="s">
        <v>85</v>
      </c>
      <c r="BW2157" s="2"/>
      <c r="BX2157" s="2"/>
      <c r="BY2157" s="2">
        <v>44986.66</v>
      </c>
      <c r="BZ2157" s="2" t="s">
        <v>27</v>
      </c>
      <c r="CA2157" s="2"/>
      <c r="CB2157" s="2"/>
      <c r="CC2157" s="2" t="s">
        <v>99</v>
      </c>
      <c r="CD2157" s="2">
        <v>6001</v>
      </c>
      <c r="CE2157" s="2" t="s">
        <v>86</v>
      </c>
      <c r="CF2157" s="5">
        <v>42669</v>
      </c>
      <c r="CG2157" s="2"/>
      <c r="CH2157" s="2"/>
      <c r="CI2157" s="2">
        <v>1</v>
      </c>
      <c r="CJ2157" s="2">
        <v>1</v>
      </c>
      <c r="CK2157" s="2">
        <v>21</v>
      </c>
      <c r="CL2157" s="2" t="s">
        <v>88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"FES1162508769"</f>
        <v>FES1162508769</v>
      </c>
      <c r="F2158" s="3">
        <v>42667</v>
      </c>
      <c r="G2158" s="2">
        <v>201704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98</v>
      </c>
      <c r="M2158" s="2" t="s">
        <v>99</v>
      </c>
      <c r="N2158" s="2" t="s">
        <v>350</v>
      </c>
      <c r="O2158" s="2" t="s">
        <v>96</v>
      </c>
      <c r="P2158" s="2" t="str">
        <f>"2170532019                    "</f>
        <v xml:space="preserve">2170532019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3.32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40.76</v>
      </c>
      <c r="BM2158" s="2">
        <v>5.71</v>
      </c>
      <c r="BN2158" s="2">
        <v>46.47</v>
      </c>
      <c r="BO2158" s="2">
        <v>46.47</v>
      </c>
      <c r="BP2158" s="2"/>
      <c r="BQ2158" s="2" t="s">
        <v>351</v>
      </c>
      <c r="BR2158" s="2" t="s">
        <v>83</v>
      </c>
      <c r="BS2158" s="3">
        <v>42668</v>
      </c>
      <c r="BT2158" s="4">
        <v>0.54861111111111105</v>
      </c>
      <c r="BU2158" s="2" t="s">
        <v>600</v>
      </c>
      <c r="BV2158" s="2" t="s">
        <v>88</v>
      </c>
      <c r="BW2158" s="2" t="s">
        <v>277</v>
      </c>
      <c r="BX2158" s="2" t="s">
        <v>1683</v>
      </c>
      <c r="BY2158" s="2">
        <v>1200</v>
      </c>
      <c r="BZ2158" s="2" t="s">
        <v>27</v>
      </c>
      <c r="CA2158" s="2"/>
      <c r="CB2158" s="2"/>
      <c r="CC2158" s="2" t="s">
        <v>99</v>
      </c>
      <c r="CD2158" s="2">
        <v>6001</v>
      </c>
      <c r="CE2158" s="2" t="s">
        <v>108</v>
      </c>
      <c r="CF2158" s="5">
        <v>42669</v>
      </c>
      <c r="CG2158" s="2"/>
      <c r="CH2158" s="2"/>
      <c r="CI2158" s="2">
        <v>1</v>
      </c>
      <c r="CJ2158" s="2">
        <v>1</v>
      </c>
      <c r="CK2158" s="2">
        <v>21</v>
      </c>
      <c r="CL2158" s="2" t="s">
        <v>88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"FES1162508735"</f>
        <v>FES1162508735</v>
      </c>
      <c r="F2159" s="3">
        <v>42667</v>
      </c>
      <c r="G2159" s="2">
        <v>201704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143</v>
      </c>
      <c r="M2159" s="2" t="s">
        <v>144</v>
      </c>
      <c r="N2159" s="2" t="s">
        <v>273</v>
      </c>
      <c r="O2159" s="2" t="s">
        <v>96</v>
      </c>
      <c r="P2159" s="2" t="str">
        <f>"2170531981                    "</f>
        <v xml:space="preserve">2170531981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3.32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1.5</v>
      </c>
      <c r="BJ2159" s="2">
        <v>0.2</v>
      </c>
      <c r="BK2159" s="2">
        <v>1.5</v>
      </c>
      <c r="BL2159" s="2">
        <v>40.76</v>
      </c>
      <c r="BM2159" s="2">
        <v>5.71</v>
      </c>
      <c r="BN2159" s="2">
        <v>46.47</v>
      </c>
      <c r="BO2159" s="2">
        <v>46.47</v>
      </c>
      <c r="BP2159" s="2"/>
      <c r="BQ2159" s="2" t="s">
        <v>274</v>
      </c>
      <c r="BR2159" s="2" t="s">
        <v>83</v>
      </c>
      <c r="BS2159" s="3">
        <v>42669</v>
      </c>
      <c r="BT2159" s="4">
        <v>0.4375</v>
      </c>
      <c r="BU2159" s="2" t="s">
        <v>2135</v>
      </c>
      <c r="BV2159" s="2" t="s">
        <v>88</v>
      </c>
      <c r="BW2159" s="2" t="s">
        <v>277</v>
      </c>
      <c r="BX2159" s="2" t="s">
        <v>1701</v>
      </c>
      <c r="BY2159" s="2">
        <v>1200</v>
      </c>
      <c r="BZ2159" s="2" t="s">
        <v>27</v>
      </c>
      <c r="CA2159" s="2"/>
      <c r="CB2159" s="2"/>
      <c r="CC2159" s="2" t="s">
        <v>144</v>
      </c>
      <c r="CD2159" s="2">
        <v>5201</v>
      </c>
      <c r="CE2159" s="2" t="s">
        <v>108</v>
      </c>
      <c r="CF2159" s="5">
        <v>42671</v>
      </c>
      <c r="CG2159" s="2"/>
      <c r="CH2159" s="2"/>
      <c r="CI2159" s="2">
        <v>1</v>
      </c>
      <c r="CJ2159" s="2">
        <v>2</v>
      </c>
      <c r="CK2159" s="2">
        <v>21</v>
      </c>
      <c r="CL2159" s="2" t="s">
        <v>88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"009932186821"</f>
        <v>009932186821</v>
      </c>
      <c r="F2160" s="3">
        <v>42667</v>
      </c>
      <c r="G2160" s="2">
        <v>201704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93</v>
      </c>
      <c r="M2160" s="2" t="s">
        <v>94</v>
      </c>
      <c r="N2160" s="2" t="s">
        <v>130</v>
      </c>
      <c r="O2160" s="2" t="s">
        <v>96</v>
      </c>
      <c r="P2160" s="2" t="str">
        <f>"1162507787 049901262620       "</f>
        <v xml:space="preserve">1162507787 049901262620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3.32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0.7</v>
      </c>
      <c r="BJ2160" s="2">
        <v>0.9</v>
      </c>
      <c r="BK2160" s="2">
        <v>1</v>
      </c>
      <c r="BL2160" s="2">
        <v>40.76</v>
      </c>
      <c r="BM2160" s="2">
        <v>5.71</v>
      </c>
      <c r="BN2160" s="2">
        <v>46.47</v>
      </c>
      <c r="BO2160" s="2">
        <v>46.47</v>
      </c>
      <c r="BP2160" s="2"/>
      <c r="BQ2160" s="2" t="s">
        <v>131</v>
      </c>
      <c r="BR2160" s="2" t="s">
        <v>83</v>
      </c>
      <c r="BS2160" s="3">
        <v>42668</v>
      </c>
      <c r="BT2160" s="4">
        <v>0.4375</v>
      </c>
      <c r="BU2160" s="2" t="s">
        <v>2001</v>
      </c>
      <c r="BV2160" s="2" t="s">
        <v>85</v>
      </c>
      <c r="BW2160" s="2"/>
      <c r="BX2160" s="2"/>
      <c r="BY2160" s="2">
        <v>4546.5600000000004</v>
      </c>
      <c r="BZ2160" s="2" t="s">
        <v>27</v>
      </c>
      <c r="CA2160" s="2"/>
      <c r="CB2160" s="2"/>
      <c r="CC2160" s="2" t="s">
        <v>94</v>
      </c>
      <c r="CD2160" s="2">
        <v>4302</v>
      </c>
      <c r="CE2160" s="2" t="s">
        <v>86</v>
      </c>
      <c r="CF2160" s="5">
        <v>42669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88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"FES1162508765"</f>
        <v>FES1162508765</v>
      </c>
      <c r="F2161" s="3">
        <v>42667</v>
      </c>
      <c r="G2161" s="2">
        <v>201704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137</v>
      </c>
      <c r="M2161" s="2" t="s">
        <v>138</v>
      </c>
      <c r="N2161" s="2" t="s">
        <v>203</v>
      </c>
      <c r="O2161" s="2" t="s">
        <v>96</v>
      </c>
      <c r="P2161" s="2" t="str">
        <f>"2170532016                    "</f>
        <v xml:space="preserve">2170532016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3.32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</v>
      </c>
      <c r="BJ2161" s="2">
        <v>1</v>
      </c>
      <c r="BK2161" s="2">
        <v>1</v>
      </c>
      <c r="BL2161" s="2">
        <v>40.76</v>
      </c>
      <c r="BM2161" s="2">
        <v>5.71</v>
      </c>
      <c r="BN2161" s="2">
        <v>46.47</v>
      </c>
      <c r="BO2161" s="2">
        <v>46.47</v>
      </c>
      <c r="BP2161" s="2"/>
      <c r="BQ2161" s="2" t="s">
        <v>168</v>
      </c>
      <c r="BR2161" s="2" t="s">
        <v>83</v>
      </c>
      <c r="BS2161" s="3">
        <v>42668</v>
      </c>
      <c r="BT2161" s="4">
        <v>0.41250000000000003</v>
      </c>
      <c r="BU2161" s="2" t="s">
        <v>204</v>
      </c>
      <c r="BV2161" s="2"/>
      <c r="BW2161" s="2"/>
      <c r="BX2161" s="2"/>
      <c r="BY2161" s="2">
        <v>4964.7</v>
      </c>
      <c r="BZ2161" s="2" t="s">
        <v>27</v>
      </c>
      <c r="CA2161" s="2" t="s">
        <v>205</v>
      </c>
      <c r="CB2161" s="2"/>
      <c r="CC2161" s="2" t="s">
        <v>138</v>
      </c>
      <c r="CD2161" s="2">
        <v>3201</v>
      </c>
      <c r="CE2161" s="2" t="s">
        <v>86</v>
      </c>
      <c r="CF2161" s="5">
        <v>42668</v>
      </c>
      <c r="CG2161" s="2"/>
      <c r="CH2161" s="2"/>
      <c r="CI2161" s="2">
        <v>0</v>
      </c>
      <c r="CJ2161" s="2">
        <v>0</v>
      </c>
      <c r="CK2161" s="2">
        <v>21</v>
      </c>
      <c r="CL2161" s="2" t="s">
        <v>88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"FES1162508731"</f>
        <v>FES1162508731</v>
      </c>
      <c r="F2162" s="3">
        <v>42667</v>
      </c>
      <c r="G2162" s="2">
        <v>201704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510</v>
      </c>
      <c r="M2162" s="2" t="s">
        <v>511</v>
      </c>
      <c r="N2162" s="2" t="s">
        <v>982</v>
      </c>
      <c r="O2162" s="2" t="s">
        <v>96</v>
      </c>
      <c r="P2162" s="2" t="str">
        <f>"2170531984                    "</f>
        <v xml:space="preserve">2170531984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3.32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2</v>
      </c>
      <c r="BJ2162" s="2">
        <v>1.6</v>
      </c>
      <c r="BK2162" s="2">
        <v>2</v>
      </c>
      <c r="BL2162" s="2">
        <v>40.76</v>
      </c>
      <c r="BM2162" s="2">
        <v>5.71</v>
      </c>
      <c r="BN2162" s="2">
        <v>46.47</v>
      </c>
      <c r="BO2162" s="2">
        <v>46.47</v>
      </c>
      <c r="BP2162" s="2"/>
      <c r="BQ2162" s="2" t="s">
        <v>983</v>
      </c>
      <c r="BR2162" s="2" t="s">
        <v>83</v>
      </c>
      <c r="BS2162" s="3">
        <v>42668</v>
      </c>
      <c r="BT2162" s="4">
        <v>0.41666666666666669</v>
      </c>
      <c r="BU2162" s="2" t="s">
        <v>1639</v>
      </c>
      <c r="BV2162" s="2" t="s">
        <v>85</v>
      </c>
      <c r="BW2162" s="2"/>
      <c r="BX2162" s="2"/>
      <c r="BY2162" s="2">
        <v>8029.44</v>
      </c>
      <c r="BZ2162" s="2" t="s">
        <v>27</v>
      </c>
      <c r="CA2162" s="2"/>
      <c r="CB2162" s="2"/>
      <c r="CC2162" s="2" t="s">
        <v>511</v>
      </c>
      <c r="CD2162" s="2">
        <v>3290</v>
      </c>
      <c r="CE2162" s="2" t="s">
        <v>86</v>
      </c>
      <c r="CF2162" s="5">
        <v>42669</v>
      </c>
      <c r="CG2162" s="2"/>
      <c r="CH2162" s="2"/>
      <c r="CI2162" s="2">
        <v>1</v>
      </c>
      <c r="CJ2162" s="2">
        <v>1</v>
      </c>
      <c r="CK2162" s="2">
        <v>21</v>
      </c>
      <c r="CL2162" s="2" t="s">
        <v>88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"FES1162508677"</f>
        <v>FES1162508677</v>
      </c>
      <c r="F2163" s="3">
        <v>42667</v>
      </c>
      <c r="G2163" s="2">
        <v>201704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160</v>
      </c>
      <c r="M2163" s="2" t="s">
        <v>161</v>
      </c>
      <c r="N2163" s="2" t="s">
        <v>409</v>
      </c>
      <c r="O2163" s="2" t="s">
        <v>96</v>
      </c>
      <c r="P2163" s="2" t="str">
        <f>"2170529666                    "</f>
        <v xml:space="preserve">2170529666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5.81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2.2000000000000002</v>
      </c>
      <c r="BJ2163" s="2">
        <v>3.5</v>
      </c>
      <c r="BK2163" s="2">
        <v>3.5</v>
      </c>
      <c r="BL2163" s="2">
        <v>71.33</v>
      </c>
      <c r="BM2163" s="2">
        <v>9.99</v>
      </c>
      <c r="BN2163" s="2">
        <v>81.319999999999993</v>
      </c>
      <c r="BO2163" s="2">
        <v>81.319999999999993</v>
      </c>
      <c r="BP2163" s="2"/>
      <c r="BQ2163" s="2" t="s">
        <v>410</v>
      </c>
      <c r="BR2163" s="2" t="s">
        <v>83</v>
      </c>
      <c r="BS2163" s="3">
        <v>42668</v>
      </c>
      <c r="BT2163" s="4">
        <v>0.39583333333333331</v>
      </c>
      <c r="BU2163" s="2" t="s">
        <v>410</v>
      </c>
      <c r="BV2163" s="2" t="s">
        <v>85</v>
      </c>
      <c r="BW2163" s="2"/>
      <c r="BX2163" s="2"/>
      <c r="BY2163" s="2">
        <v>17303.990000000002</v>
      </c>
      <c r="BZ2163" s="2" t="s">
        <v>27</v>
      </c>
      <c r="CA2163" s="2"/>
      <c r="CB2163" s="2"/>
      <c r="CC2163" s="2" t="s">
        <v>161</v>
      </c>
      <c r="CD2163" s="2">
        <v>7975</v>
      </c>
      <c r="CE2163" s="2" t="s">
        <v>86</v>
      </c>
      <c r="CF2163" s="5">
        <v>42669</v>
      </c>
      <c r="CG2163" s="2"/>
      <c r="CH2163" s="2"/>
      <c r="CI2163" s="2">
        <v>1</v>
      </c>
      <c r="CJ2163" s="2">
        <v>1</v>
      </c>
      <c r="CK2163" s="2">
        <v>21</v>
      </c>
      <c r="CL2163" s="2" t="s">
        <v>88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"FES1162508691"</f>
        <v>FES1162508691</v>
      </c>
      <c r="F2164" s="3">
        <v>42667</v>
      </c>
      <c r="G2164" s="2">
        <v>201704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160</v>
      </c>
      <c r="M2164" s="2" t="s">
        <v>161</v>
      </c>
      <c r="N2164" s="2" t="s">
        <v>420</v>
      </c>
      <c r="O2164" s="2" t="s">
        <v>96</v>
      </c>
      <c r="P2164" s="2" t="str">
        <f>"2170531682                    "</f>
        <v xml:space="preserve">2170531682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3.32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40.76</v>
      </c>
      <c r="BM2164" s="2">
        <v>5.71</v>
      </c>
      <c r="BN2164" s="2">
        <v>46.47</v>
      </c>
      <c r="BO2164" s="2">
        <v>46.47</v>
      </c>
      <c r="BP2164" s="2"/>
      <c r="BQ2164" s="2" t="s">
        <v>1501</v>
      </c>
      <c r="BR2164" s="2" t="s">
        <v>83</v>
      </c>
      <c r="BS2164" s="3">
        <v>42668</v>
      </c>
      <c r="BT2164" s="4">
        <v>0.42638888888888887</v>
      </c>
      <c r="BU2164" s="2" t="s">
        <v>388</v>
      </c>
      <c r="BV2164" s="2" t="s">
        <v>85</v>
      </c>
      <c r="BW2164" s="2"/>
      <c r="BX2164" s="2"/>
      <c r="BY2164" s="2">
        <v>1200</v>
      </c>
      <c r="BZ2164" s="2" t="s">
        <v>27</v>
      </c>
      <c r="CA2164" s="2"/>
      <c r="CB2164" s="2"/>
      <c r="CC2164" s="2" t="s">
        <v>161</v>
      </c>
      <c r="CD2164" s="2">
        <v>7560</v>
      </c>
      <c r="CE2164" s="2" t="s">
        <v>108</v>
      </c>
      <c r="CF2164" s="2"/>
      <c r="CG2164" s="2"/>
      <c r="CH2164" s="2"/>
      <c r="CI2164" s="2">
        <v>1</v>
      </c>
      <c r="CJ2164" s="2">
        <v>1</v>
      </c>
      <c r="CK2164" s="2">
        <v>21</v>
      </c>
      <c r="CL2164" s="2" t="s">
        <v>88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"FES1162508746"</f>
        <v>FES1162508746</v>
      </c>
      <c r="F2165" s="3">
        <v>42667</v>
      </c>
      <c r="G2165" s="2">
        <v>201704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153</v>
      </c>
      <c r="M2165" s="2" t="s">
        <v>153</v>
      </c>
      <c r="N2165" s="2" t="s">
        <v>343</v>
      </c>
      <c r="O2165" s="2" t="s">
        <v>96</v>
      </c>
      <c r="P2165" s="2" t="str">
        <f>"2170531991                    "</f>
        <v xml:space="preserve">2170531991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3.32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</v>
      </c>
      <c r="BJ2165" s="2">
        <v>0.2</v>
      </c>
      <c r="BK2165" s="2">
        <v>1</v>
      </c>
      <c r="BL2165" s="2">
        <v>40.76</v>
      </c>
      <c r="BM2165" s="2">
        <v>5.71</v>
      </c>
      <c r="BN2165" s="2">
        <v>46.47</v>
      </c>
      <c r="BO2165" s="2">
        <v>46.47</v>
      </c>
      <c r="BP2165" s="2"/>
      <c r="BQ2165" s="2" t="s">
        <v>344</v>
      </c>
      <c r="BR2165" s="2" t="s">
        <v>83</v>
      </c>
      <c r="BS2165" s="3">
        <v>42668</v>
      </c>
      <c r="BT2165" s="4">
        <v>0.5625</v>
      </c>
      <c r="BU2165" s="2" t="s">
        <v>345</v>
      </c>
      <c r="BV2165" s="2" t="s">
        <v>85</v>
      </c>
      <c r="BW2165" s="2"/>
      <c r="BX2165" s="2"/>
      <c r="BY2165" s="2">
        <v>1200</v>
      </c>
      <c r="BZ2165" s="2" t="s">
        <v>27</v>
      </c>
      <c r="CA2165" s="2"/>
      <c r="CB2165" s="2"/>
      <c r="CC2165" s="2" t="s">
        <v>153</v>
      </c>
      <c r="CD2165" s="2">
        <v>7646</v>
      </c>
      <c r="CE2165" s="2" t="s">
        <v>108</v>
      </c>
      <c r="CF2165" s="5">
        <v>42669</v>
      </c>
      <c r="CG2165" s="2"/>
      <c r="CH2165" s="2"/>
      <c r="CI2165" s="2">
        <v>1</v>
      </c>
      <c r="CJ2165" s="2">
        <v>1</v>
      </c>
      <c r="CK2165" s="2">
        <v>21</v>
      </c>
      <c r="CL2165" s="2" t="s">
        <v>88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"FES1162508699"</f>
        <v>FES1162508699</v>
      </c>
      <c r="F2166" s="3">
        <v>42667</v>
      </c>
      <c r="G2166" s="2">
        <v>201704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160</v>
      </c>
      <c r="M2166" s="2" t="s">
        <v>161</v>
      </c>
      <c r="N2166" s="2" t="s">
        <v>279</v>
      </c>
      <c r="O2166" s="2" t="s">
        <v>96</v>
      </c>
      <c r="P2166" s="2" t="str">
        <f>"2170531603                    "</f>
        <v xml:space="preserve">2170531603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3.32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40.76</v>
      </c>
      <c r="BM2166" s="2">
        <v>5.71</v>
      </c>
      <c r="BN2166" s="2">
        <v>46.47</v>
      </c>
      <c r="BO2166" s="2">
        <v>46.47</v>
      </c>
      <c r="BP2166" s="2"/>
      <c r="BQ2166" s="2" t="s">
        <v>280</v>
      </c>
      <c r="BR2166" s="2" t="s">
        <v>83</v>
      </c>
      <c r="BS2166" s="3">
        <v>42668</v>
      </c>
      <c r="BT2166" s="4">
        <v>0.41666666666666669</v>
      </c>
      <c r="BU2166" s="2" t="s">
        <v>2192</v>
      </c>
      <c r="BV2166" s="2" t="s">
        <v>85</v>
      </c>
      <c r="BW2166" s="2"/>
      <c r="BX2166" s="2"/>
      <c r="BY2166" s="2">
        <v>1200</v>
      </c>
      <c r="BZ2166" s="2" t="s">
        <v>27</v>
      </c>
      <c r="CA2166" s="2"/>
      <c r="CB2166" s="2"/>
      <c r="CC2166" s="2" t="s">
        <v>161</v>
      </c>
      <c r="CD2166" s="2">
        <v>7441</v>
      </c>
      <c r="CE2166" s="2" t="s">
        <v>108</v>
      </c>
      <c r="CF2166" s="5">
        <v>42669</v>
      </c>
      <c r="CG2166" s="2"/>
      <c r="CH2166" s="2"/>
      <c r="CI2166" s="2">
        <v>1</v>
      </c>
      <c r="CJ2166" s="2">
        <v>1</v>
      </c>
      <c r="CK2166" s="2">
        <v>21</v>
      </c>
      <c r="CL2166" s="2" t="s">
        <v>88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"FES1162508719"</f>
        <v>FES1162508719</v>
      </c>
      <c r="F2167" s="3">
        <v>42667</v>
      </c>
      <c r="G2167" s="2">
        <v>201704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160</v>
      </c>
      <c r="M2167" s="2" t="s">
        <v>161</v>
      </c>
      <c r="N2167" s="2" t="s">
        <v>754</v>
      </c>
      <c r="O2167" s="2" t="s">
        <v>96</v>
      </c>
      <c r="P2167" s="2" t="str">
        <f>"2170531966                    "</f>
        <v xml:space="preserve">2170531966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3.32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1</v>
      </c>
      <c r="BJ2167" s="2">
        <v>0.2</v>
      </c>
      <c r="BK2167" s="2">
        <v>1</v>
      </c>
      <c r="BL2167" s="2">
        <v>40.76</v>
      </c>
      <c r="BM2167" s="2">
        <v>5.71</v>
      </c>
      <c r="BN2167" s="2">
        <v>46.47</v>
      </c>
      <c r="BO2167" s="2">
        <v>46.47</v>
      </c>
      <c r="BP2167" s="2"/>
      <c r="BQ2167" s="2" t="s">
        <v>755</v>
      </c>
      <c r="BR2167" s="2" t="s">
        <v>83</v>
      </c>
      <c r="BS2167" s="3">
        <v>42668</v>
      </c>
      <c r="BT2167" s="4">
        <v>0.41666666666666669</v>
      </c>
      <c r="BU2167" s="2" t="s">
        <v>1503</v>
      </c>
      <c r="BV2167" s="2" t="s">
        <v>85</v>
      </c>
      <c r="BW2167" s="2"/>
      <c r="BX2167" s="2"/>
      <c r="BY2167" s="2">
        <v>1200</v>
      </c>
      <c r="BZ2167" s="2" t="s">
        <v>27</v>
      </c>
      <c r="CA2167" s="2"/>
      <c r="CB2167" s="2"/>
      <c r="CC2167" s="2" t="s">
        <v>161</v>
      </c>
      <c r="CD2167" s="2">
        <v>7441</v>
      </c>
      <c r="CE2167" s="2" t="s">
        <v>108</v>
      </c>
      <c r="CF2167" s="5">
        <v>42669</v>
      </c>
      <c r="CG2167" s="2"/>
      <c r="CH2167" s="2"/>
      <c r="CI2167" s="2">
        <v>1</v>
      </c>
      <c r="CJ2167" s="2">
        <v>1</v>
      </c>
      <c r="CK2167" s="2">
        <v>21</v>
      </c>
      <c r="CL2167" s="2" t="s">
        <v>88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"FES1162508697"</f>
        <v>FES1162508697</v>
      </c>
      <c r="F2168" s="3">
        <v>42667</v>
      </c>
      <c r="G2168" s="2">
        <v>201704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160</v>
      </c>
      <c r="M2168" s="2" t="s">
        <v>161</v>
      </c>
      <c r="N2168" s="2" t="s">
        <v>750</v>
      </c>
      <c r="O2168" s="2" t="s">
        <v>96</v>
      </c>
      <c r="P2168" s="2" t="str">
        <f>"2170531927                    "</f>
        <v xml:space="preserve">2170531927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3.32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</v>
      </c>
      <c r="BJ2168" s="2">
        <v>0.2</v>
      </c>
      <c r="BK2168" s="2">
        <v>1</v>
      </c>
      <c r="BL2168" s="2">
        <v>40.76</v>
      </c>
      <c r="BM2168" s="2">
        <v>5.71</v>
      </c>
      <c r="BN2168" s="2">
        <v>46.47</v>
      </c>
      <c r="BO2168" s="2">
        <v>46.47</v>
      </c>
      <c r="BP2168" s="2"/>
      <c r="BQ2168" s="2" t="s">
        <v>91</v>
      </c>
      <c r="BR2168" s="2" t="s">
        <v>83</v>
      </c>
      <c r="BS2168" s="3">
        <v>42668</v>
      </c>
      <c r="BT2168" s="4">
        <v>0.41666666666666669</v>
      </c>
      <c r="BU2168" s="2" t="s">
        <v>2193</v>
      </c>
      <c r="BV2168" s="2" t="s">
        <v>85</v>
      </c>
      <c r="BW2168" s="2"/>
      <c r="BX2168" s="2"/>
      <c r="BY2168" s="2">
        <v>1200</v>
      </c>
      <c r="BZ2168" s="2" t="s">
        <v>27</v>
      </c>
      <c r="CA2168" s="2"/>
      <c r="CB2168" s="2"/>
      <c r="CC2168" s="2" t="s">
        <v>161</v>
      </c>
      <c r="CD2168" s="2">
        <v>7405</v>
      </c>
      <c r="CE2168" s="2" t="s">
        <v>108</v>
      </c>
      <c r="CF2168" s="5">
        <v>42669</v>
      </c>
      <c r="CG2168" s="2"/>
      <c r="CH2168" s="2"/>
      <c r="CI2168" s="2">
        <v>1</v>
      </c>
      <c r="CJ2168" s="2">
        <v>1</v>
      </c>
      <c r="CK2168" s="2">
        <v>21</v>
      </c>
      <c r="CL2168" s="2" t="s">
        <v>88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"FES1162508768"</f>
        <v>FES1162508768</v>
      </c>
      <c r="F2169" s="3">
        <v>42667</v>
      </c>
      <c r="G2169" s="2">
        <v>201704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137</v>
      </c>
      <c r="M2169" s="2" t="s">
        <v>138</v>
      </c>
      <c r="N2169" s="2" t="s">
        <v>1791</v>
      </c>
      <c r="O2169" s="2" t="s">
        <v>96</v>
      </c>
      <c r="P2169" s="2" t="str">
        <f>"2170532017                    "</f>
        <v xml:space="preserve">2170532017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3.32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</v>
      </c>
      <c r="BJ2169" s="2">
        <v>0.2</v>
      </c>
      <c r="BK2169" s="2">
        <v>1</v>
      </c>
      <c r="BL2169" s="2">
        <v>40.76</v>
      </c>
      <c r="BM2169" s="2">
        <v>5.71</v>
      </c>
      <c r="BN2169" s="2">
        <v>46.47</v>
      </c>
      <c r="BO2169" s="2">
        <v>46.47</v>
      </c>
      <c r="BP2169" s="2"/>
      <c r="BQ2169" s="2" t="s">
        <v>117</v>
      </c>
      <c r="BR2169" s="2" t="s">
        <v>83</v>
      </c>
      <c r="BS2169" s="3">
        <v>42668</v>
      </c>
      <c r="BT2169" s="4">
        <v>0.48819444444444443</v>
      </c>
      <c r="BU2169" s="2" t="s">
        <v>2194</v>
      </c>
      <c r="BV2169" s="2"/>
      <c r="BW2169" s="2" t="s">
        <v>165</v>
      </c>
      <c r="BX2169" s="2" t="s">
        <v>1169</v>
      </c>
      <c r="BY2169" s="2">
        <v>1200</v>
      </c>
      <c r="BZ2169" s="2" t="s">
        <v>27</v>
      </c>
      <c r="CA2169" s="2"/>
      <c r="CB2169" s="2"/>
      <c r="CC2169" s="2" t="s">
        <v>138</v>
      </c>
      <c r="CD2169" s="2">
        <v>3201</v>
      </c>
      <c r="CE2169" s="2" t="s">
        <v>108</v>
      </c>
      <c r="CF2169" s="5">
        <v>42669</v>
      </c>
      <c r="CG2169" s="2"/>
      <c r="CH2169" s="2"/>
      <c r="CI2169" s="2">
        <v>0</v>
      </c>
      <c r="CJ2169" s="2">
        <v>0</v>
      </c>
      <c r="CK2169" s="2">
        <v>21</v>
      </c>
      <c r="CL2169" s="2" t="s">
        <v>88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"FES1162508708"</f>
        <v>FES1162508708</v>
      </c>
      <c r="F2170" s="3">
        <v>42667</v>
      </c>
      <c r="G2170" s="2">
        <v>201704</v>
      </c>
      <c r="H2170" s="2" t="s">
        <v>74</v>
      </c>
      <c r="I2170" s="2" t="s">
        <v>75</v>
      </c>
      <c r="J2170" s="2" t="s">
        <v>76</v>
      </c>
      <c r="K2170" s="2" t="s">
        <v>77</v>
      </c>
      <c r="L2170" s="2" t="s">
        <v>148</v>
      </c>
      <c r="M2170" s="2" t="s">
        <v>149</v>
      </c>
      <c r="N2170" s="2" t="s">
        <v>233</v>
      </c>
      <c r="O2170" s="2" t="s">
        <v>96</v>
      </c>
      <c r="P2170" s="2" t="str">
        <f>"2170531943                    "</f>
        <v xml:space="preserve">2170531943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3.32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40.76</v>
      </c>
      <c r="BM2170" s="2">
        <v>5.71</v>
      </c>
      <c r="BN2170" s="2">
        <v>46.47</v>
      </c>
      <c r="BO2170" s="2">
        <v>46.47</v>
      </c>
      <c r="BP2170" s="2"/>
      <c r="BQ2170" s="2" t="s">
        <v>234</v>
      </c>
      <c r="BR2170" s="2" t="s">
        <v>83</v>
      </c>
      <c r="BS2170" s="3">
        <v>42668</v>
      </c>
      <c r="BT2170" s="4">
        <v>0.4375</v>
      </c>
      <c r="BU2170" s="2" t="s">
        <v>1631</v>
      </c>
      <c r="BV2170" s="2"/>
      <c r="BW2170" s="2"/>
      <c r="BX2170" s="2"/>
      <c r="BY2170" s="2">
        <v>1200</v>
      </c>
      <c r="BZ2170" s="2" t="s">
        <v>27</v>
      </c>
      <c r="CA2170" s="2"/>
      <c r="CB2170" s="2"/>
      <c r="CC2170" s="2" t="s">
        <v>149</v>
      </c>
      <c r="CD2170" s="2">
        <v>4001</v>
      </c>
      <c r="CE2170" s="2" t="s">
        <v>108</v>
      </c>
      <c r="CF2170" s="5">
        <v>42669</v>
      </c>
      <c r="CG2170" s="2"/>
      <c r="CH2170" s="2"/>
      <c r="CI2170" s="2">
        <v>0</v>
      </c>
      <c r="CJ2170" s="2">
        <v>0</v>
      </c>
      <c r="CK2170" s="2">
        <v>21</v>
      </c>
      <c r="CL2170" s="2" t="s">
        <v>88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"FES1162508763"</f>
        <v>FES1162508763</v>
      </c>
      <c r="F2171" s="3">
        <v>42667</v>
      </c>
      <c r="G2171" s="2">
        <v>201704</v>
      </c>
      <c r="H2171" s="2" t="s">
        <v>74</v>
      </c>
      <c r="I2171" s="2" t="s">
        <v>75</v>
      </c>
      <c r="J2171" s="2" t="s">
        <v>76</v>
      </c>
      <c r="K2171" s="2" t="s">
        <v>77</v>
      </c>
      <c r="L2171" s="2" t="s">
        <v>93</v>
      </c>
      <c r="M2171" s="2" t="s">
        <v>94</v>
      </c>
      <c r="N2171" s="2" t="s">
        <v>536</v>
      </c>
      <c r="O2171" s="2" t="s">
        <v>96</v>
      </c>
      <c r="P2171" s="2" t="str">
        <f>"2170532010                    "</f>
        <v xml:space="preserve">2170532010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3.32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</v>
      </c>
      <c r="BJ2171" s="2">
        <v>0.2</v>
      </c>
      <c r="BK2171" s="2">
        <v>1</v>
      </c>
      <c r="BL2171" s="2">
        <v>40.76</v>
      </c>
      <c r="BM2171" s="2">
        <v>5.71</v>
      </c>
      <c r="BN2171" s="2">
        <v>46.47</v>
      </c>
      <c r="BO2171" s="2">
        <v>46.47</v>
      </c>
      <c r="BP2171" s="2"/>
      <c r="BQ2171" s="2" t="s">
        <v>537</v>
      </c>
      <c r="BR2171" s="2" t="s">
        <v>83</v>
      </c>
      <c r="BS2171" s="3">
        <v>42668</v>
      </c>
      <c r="BT2171" s="4">
        <v>0.4375</v>
      </c>
      <c r="BU2171" s="2" t="s">
        <v>2195</v>
      </c>
      <c r="BV2171" s="2" t="s">
        <v>85</v>
      </c>
      <c r="BW2171" s="2"/>
      <c r="BX2171" s="2"/>
      <c r="BY2171" s="2">
        <v>1200</v>
      </c>
      <c r="BZ2171" s="2" t="s">
        <v>27</v>
      </c>
      <c r="CA2171" s="2"/>
      <c r="CB2171" s="2"/>
      <c r="CC2171" s="2" t="s">
        <v>94</v>
      </c>
      <c r="CD2171" s="2">
        <v>4300</v>
      </c>
      <c r="CE2171" s="2" t="s">
        <v>108</v>
      </c>
      <c r="CF2171" s="5">
        <v>42669</v>
      </c>
      <c r="CG2171" s="2"/>
      <c r="CH2171" s="2"/>
      <c r="CI2171" s="2">
        <v>1</v>
      </c>
      <c r="CJ2171" s="2">
        <v>1</v>
      </c>
      <c r="CK2171" s="2">
        <v>21</v>
      </c>
      <c r="CL2171" s="2" t="s">
        <v>88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"FES1162508686"</f>
        <v>FES1162508686</v>
      </c>
      <c r="F2172" s="3">
        <v>42667</v>
      </c>
      <c r="G2172" s="2">
        <v>201704</v>
      </c>
      <c r="H2172" s="2" t="s">
        <v>74</v>
      </c>
      <c r="I2172" s="2" t="s">
        <v>75</v>
      </c>
      <c r="J2172" s="2" t="s">
        <v>76</v>
      </c>
      <c r="K2172" s="2" t="s">
        <v>77</v>
      </c>
      <c r="L2172" s="2" t="s">
        <v>160</v>
      </c>
      <c r="M2172" s="2" t="s">
        <v>161</v>
      </c>
      <c r="N2172" s="2" t="s">
        <v>2196</v>
      </c>
      <c r="O2172" s="2" t="s">
        <v>96</v>
      </c>
      <c r="P2172" s="2" t="str">
        <f>"2170529821                    "</f>
        <v xml:space="preserve">2170529821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3.32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</v>
      </c>
      <c r="BJ2172" s="2">
        <v>0.2</v>
      </c>
      <c r="BK2172" s="2">
        <v>1</v>
      </c>
      <c r="BL2172" s="2">
        <v>40.76</v>
      </c>
      <c r="BM2172" s="2">
        <v>5.71</v>
      </c>
      <c r="BN2172" s="2">
        <v>46.47</v>
      </c>
      <c r="BO2172" s="2">
        <v>46.47</v>
      </c>
      <c r="BP2172" s="2"/>
      <c r="BQ2172" s="2" t="s">
        <v>91</v>
      </c>
      <c r="BR2172" s="2" t="s">
        <v>83</v>
      </c>
      <c r="BS2172" s="3">
        <v>42668</v>
      </c>
      <c r="BT2172" s="4">
        <v>0.4152777777777778</v>
      </c>
      <c r="BU2172" s="2" t="s">
        <v>2197</v>
      </c>
      <c r="BV2172" s="2" t="s">
        <v>85</v>
      </c>
      <c r="BW2172" s="2"/>
      <c r="BX2172" s="2"/>
      <c r="BY2172" s="2">
        <v>1200</v>
      </c>
      <c r="BZ2172" s="2" t="s">
        <v>27</v>
      </c>
      <c r="CA2172" s="2" t="s">
        <v>129</v>
      </c>
      <c r="CB2172" s="2"/>
      <c r="CC2172" s="2" t="s">
        <v>161</v>
      </c>
      <c r="CD2172" s="2">
        <v>7530</v>
      </c>
      <c r="CE2172" s="2" t="s">
        <v>108</v>
      </c>
      <c r="CF2172" s="2"/>
      <c r="CG2172" s="2"/>
      <c r="CH2172" s="2"/>
      <c r="CI2172" s="2">
        <v>1</v>
      </c>
      <c r="CJ2172" s="2">
        <v>1</v>
      </c>
      <c r="CK2172" s="2">
        <v>21</v>
      </c>
      <c r="CL2172" s="2" t="s">
        <v>88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"FES1162508808"</f>
        <v>FES1162508808</v>
      </c>
      <c r="F2173" s="3">
        <v>42667</v>
      </c>
      <c r="G2173" s="2">
        <v>201704</v>
      </c>
      <c r="H2173" s="2" t="s">
        <v>74</v>
      </c>
      <c r="I2173" s="2" t="s">
        <v>75</v>
      </c>
      <c r="J2173" s="2" t="s">
        <v>76</v>
      </c>
      <c r="K2173" s="2" t="s">
        <v>77</v>
      </c>
      <c r="L2173" s="2" t="s">
        <v>98</v>
      </c>
      <c r="M2173" s="2" t="s">
        <v>99</v>
      </c>
      <c r="N2173" s="2" t="s">
        <v>239</v>
      </c>
      <c r="O2173" s="2" t="s">
        <v>96</v>
      </c>
      <c r="P2173" s="2" t="str">
        <f>"2170532049                    "</f>
        <v xml:space="preserve">2170532049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3.32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1</v>
      </c>
      <c r="BJ2173" s="2">
        <v>0.2</v>
      </c>
      <c r="BK2173" s="2">
        <v>1</v>
      </c>
      <c r="BL2173" s="2">
        <v>40.76</v>
      </c>
      <c r="BM2173" s="2">
        <v>5.71</v>
      </c>
      <c r="BN2173" s="2">
        <v>46.47</v>
      </c>
      <c r="BO2173" s="2">
        <v>46.47</v>
      </c>
      <c r="BP2173" s="2"/>
      <c r="BQ2173" s="2" t="s">
        <v>240</v>
      </c>
      <c r="BR2173" s="2" t="s">
        <v>83</v>
      </c>
      <c r="BS2173" s="3">
        <v>42668</v>
      </c>
      <c r="BT2173" s="4">
        <v>0.53125</v>
      </c>
      <c r="BU2173" s="2" t="s">
        <v>950</v>
      </c>
      <c r="BV2173" s="2" t="s">
        <v>88</v>
      </c>
      <c r="BW2173" s="2" t="s">
        <v>222</v>
      </c>
      <c r="BX2173" s="2" t="s">
        <v>250</v>
      </c>
      <c r="BY2173" s="2">
        <v>1200</v>
      </c>
      <c r="BZ2173" s="2" t="s">
        <v>27</v>
      </c>
      <c r="CA2173" s="2"/>
      <c r="CB2173" s="2"/>
      <c r="CC2173" s="2" t="s">
        <v>99</v>
      </c>
      <c r="CD2173" s="2">
        <v>6001</v>
      </c>
      <c r="CE2173" s="2" t="s">
        <v>108</v>
      </c>
      <c r="CF2173" s="5">
        <v>42669</v>
      </c>
      <c r="CG2173" s="2"/>
      <c r="CH2173" s="2"/>
      <c r="CI2173" s="2">
        <v>1</v>
      </c>
      <c r="CJ2173" s="2">
        <v>1</v>
      </c>
      <c r="CK2173" s="2">
        <v>21</v>
      </c>
      <c r="CL2173" s="2" t="s">
        <v>88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"FES1162508801"</f>
        <v>FES1162508801</v>
      </c>
      <c r="F2174" s="3">
        <v>42667</v>
      </c>
      <c r="G2174" s="2">
        <v>201704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98</v>
      </c>
      <c r="M2174" s="2" t="s">
        <v>99</v>
      </c>
      <c r="N2174" s="2" t="s">
        <v>350</v>
      </c>
      <c r="O2174" s="2" t="s">
        <v>96</v>
      </c>
      <c r="P2174" s="2" t="str">
        <f>"2170532044                    "</f>
        <v xml:space="preserve">2170532044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3.32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</v>
      </c>
      <c r="BJ2174" s="2">
        <v>0.2</v>
      </c>
      <c r="BK2174" s="2">
        <v>1</v>
      </c>
      <c r="BL2174" s="2">
        <v>40.76</v>
      </c>
      <c r="BM2174" s="2">
        <v>5.71</v>
      </c>
      <c r="BN2174" s="2">
        <v>46.47</v>
      </c>
      <c r="BO2174" s="2">
        <v>46.47</v>
      </c>
      <c r="BP2174" s="2"/>
      <c r="BQ2174" s="2" t="s">
        <v>351</v>
      </c>
      <c r="BR2174" s="2" t="s">
        <v>83</v>
      </c>
      <c r="BS2174" s="3">
        <v>42668</v>
      </c>
      <c r="BT2174" s="4">
        <v>0.54861111111111105</v>
      </c>
      <c r="BU2174" s="2" t="s">
        <v>600</v>
      </c>
      <c r="BV2174" s="2" t="s">
        <v>88</v>
      </c>
      <c r="BW2174" s="2" t="s">
        <v>277</v>
      </c>
      <c r="BX2174" s="2" t="s">
        <v>1683</v>
      </c>
      <c r="BY2174" s="2">
        <v>1200</v>
      </c>
      <c r="BZ2174" s="2" t="s">
        <v>27</v>
      </c>
      <c r="CA2174" s="2"/>
      <c r="CB2174" s="2"/>
      <c r="CC2174" s="2" t="s">
        <v>99</v>
      </c>
      <c r="CD2174" s="2">
        <v>6001</v>
      </c>
      <c r="CE2174" s="2" t="s">
        <v>108</v>
      </c>
      <c r="CF2174" s="5">
        <v>42669</v>
      </c>
      <c r="CG2174" s="2"/>
      <c r="CH2174" s="2"/>
      <c r="CI2174" s="2">
        <v>1</v>
      </c>
      <c r="CJ2174" s="2">
        <v>1</v>
      </c>
      <c r="CK2174" s="2">
        <v>21</v>
      </c>
      <c r="CL2174" s="2" t="s">
        <v>88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"FES1162508789"</f>
        <v>FES1162508789</v>
      </c>
      <c r="F2175" s="3">
        <v>42667</v>
      </c>
      <c r="G2175" s="2">
        <v>201704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98</v>
      </c>
      <c r="M2175" s="2" t="s">
        <v>99</v>
      </c>
      <c r="N2175" s="2" t="s">
        <v>894</v>
      </c>
      <c r="O2175" s="2" t="s">
        <v>96</v>
      </c>
      <c r="P2175" s="2" t="str">
        <f>"2170528965                    "</f>
        <v xml:space="preserve">2170528965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21.56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2</v>
      </c>
      <c r="BI2175" s="2">
        <v>9</v>
      </c>
      <c r="BJ2175" s="2">
        <v>12.6</v>
      </c>
      <c r="BK2175" s="2">
        <v>13</v>
      </c>
      <c r="BL2175" s="2">
        <v>264.92</v>
      </c>
      <c r="BM2175" s="2">
        <v>37.090000000000003</v>
      </c>
      <c r="BN2175" s="2">
        <v>302.01</v>
      </c>
      <c r="BO2175" s="2">
        <v>302.01</v>
      </c>
      <c r="BP2175" s="2"/>
      <c r="BQ2175" s="2" t="s">
        <v>895</v>
      </c>
      <c r="BR2175" s="2" t="s">
        <v>83</v>
      </c>
      <c r="BS2175" s="3">
        <v>42668</v>
      </c>
      <c r="BT2175" s="4">
        <v>0.50555555555555554</v>
      </c>
      <c r="BU2175" s="2" t="s">
        <v>2198</v>
      </c>
      <c r="BV2175" s="2" t="s">
        <v>88</v>
      </c>
      <c r="BW2175" s="2" t="s">
        <v>277</v>
      </c>
      <c r="BX2175" s="2" t="s">
        <v>1683</v>
      </c>
      <c r="BY2175" s="2">
        <v>63216</v>
      </c>
      <c r="BZ2175" s="2" t="s">
        <v>27</v>
      </c>
      <c r="CA2175" s="2"/>
      <c r="CB2175" s="2"/>
      <c r="CC2175" s="2" t="s">
        <v>99</v>
      </c>
      <c r="CD2175" s="2">
        <v>6012</v>
      </c>
      <c r="CE2175" s="2" t="s">
        <v>108</v>
      </c>
      <c r="CF2175" s="5">
        <v>42669</v>
      </c>
      <c r="CG2175" s="2"/>
      <c r="CH2175" s="2"/>
      <c r="CI2175" s="2">
        <v>1</v>
      </c>
      <c r="CJ2175" s="2">
        <v>1</v>
      </c>
      <c r="CK2175" s="2">
        <v>21</v>
      </c>
      <c r="CL2175" s="2" t="s">
        <v>88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"FES1162508786"</f>
        <v>FES1162508786</v>
      </c>
      <c r="F2176" s="3">
        <v>42667</v>
      </c>
      <c r="G2176" s="2">
        <v>201704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98</v>
      </c>
      <c r="M2176" s="2" t="s">
        <v>99</v>
      </c>
      <c r="N2176" s="2" t="s">
        <v>109</v>
      </c>
      <c r="O2176" s="2" t="s">
        <v>96</v>
      </c>
      <c r="P2176" s="2" t="str">
        <f>"2170528016                    "</f>
        <v xml:space="preserve">2170528016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8.2899999999999991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2</v>
      </c>
      <c r="BI2176" s="2">
        <v>2.6</v>
      </c>
      <c r="BJ2176" s="2">
        <v>4.7</v>
      </c>
      <c r="BK2176" s="2">
        <v>5</v>
      </c>
      <c r="BL2176" s="2">
        <v>101.89</v>
      </c>
      <c r="BM2176" s="2">
        <v>14.26</v>
      </c>
      <c r="BN2176" s="2">
        <v>116.15</v>
      </c>
      <c r="BO2176" s="2">
        <v>116.15</v>
      </c>
      <c r="BP2176" s="2"/>
      <c r="BQ2176" s="2" t="s">
        <v>110</v>
      </c>
      <c r="BR2176" s="2" t="s">
        <v>83</v>
      </c>
      <c r="BS2176" s="3">
        <v>42668</v>
      </c>
      <c r="BT2176" s="4">
        <v>0.35416666666666669</v>
      </c>
      <c r="BU2176" s="2" t="s">
        <v>110</v>
      </c>
      <c r="BV2176" s="2" t="s">
        <v>85</v>
      </c>
      <c r="BW2176" s="2"/>
      <c r="BX2176" s="2"/>
      <c r="BY2176" s="2">
        <v>23558.77</v>
      </c>
      <c r="BZ2176" s="2" t="s">
        <v>27</v>
      </c>
      <c r="CA2176" s="2"/>
      <c r="CB2176" s="2"/>
      <c r="CC2176" s="2" t="s">
        <v>99</v>
      </c>
      <c r="CD2176" s="2">
        <v>6001</v>
      </c>
      <c r="CE2176" s="2" t="s">
        <v>108</v>
      </c>
      <c r="CF2176" s="5">
        <v>42669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88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"FES1162508779"</f>
        <v>FES1162508779</v>
      </c>
      <c r="F2177" s="3">
        <v>42667</v>
      </c>
      <c r="G2177" s="2">
        <v>201704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119</v>
      </c>
      <c r="M2177" s="2" t="s">
        <v>120</v>
      </c>
      <c r="N2177" s="2" t="s">
        <v>186</v>
      </c>
      <c r="O2177" s="2" t="s">
        <v>96</v>
      </c>
      <c r="P2177" s="2" t="str">
        <f>"2170529147                    "</f>
        <v xml:space="preserve">2170529147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12.44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4.3</v>
      </c>
      <c r="BJ2177" s="2">
        <v>7.3</v>
      </c>
      <c r="BK2177" s="2">
        <v>7.5</v>
      </c>
      <c r="BL2177" s="2">
        <v>152.84</v>
      </c>
      <c r="BM2177" s="2">
        <v>21.4</v>
      </c>
      <c r="BN2177" s="2">
        <v>174.24</v>
      </c>
      <c r="BO2177" s="2">
        <v>174.24</v>
      </c>
      <c r="BP2177" s="2"/>
      <c r="BQ2177" s="2" t="s">
        <v>187</v>
      </c>
      <c r="BR2177" s="2" t="s">
        <v>83</v>
      </c>
      <c r="BS2177" s="3">
        <v>42668</v>
      </c>
      <c r="BT2177" s="4">
        <v>0.31736111111111115</v>
      </c>
      <c r="BU2177" s="2" t="s">
        <v>1686</v>
      </c>
      <c r="BV2177" s="2" t="s">
        <v>85</v>
      </c>
      <c r="BW2177" s="2"/>
      <c r="BX2177" s="2"/>
      <c r="BY2177" s="2">
        <v>36733.870000000003</v>
      </c>
      <c r="BZ2177" s="2" t="s">
        <v>27</v>
      </c>
      <c r="CA2177" s="2"/>
      <c r="CB2177" s="2"/>
      <c r="CC2177" s="2" t="s">
        <v>120</v>
      </c>
      <c r="CD2177" s="2">
        <v>6229</v>
      </c>
      <c r="CE2177" s="2" t="s">
        <v>86</v>
      </c>
      <c r="CF2177" s="5">
        <v>42669</v>
      </c>
      <c r="CG2177" s="2"/>
      <c r="CH2177" s="2"/>
      <c r="CI2177" s="2">
        <v>1</v>
      </c>
      <c r="CJ2177" s="2">
        <v>1</v>
      </c>
      <c r="CK2177" s="2">
        <v>21</v>
      </c>
      <c r="CL2177" s="2" t="s">
        <v>88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"FES1162508787"</f>
        <v>FES1162508787</v>
      </c>
      <c r="F2178" s="3">
        <v>42667</v>
      </c>
      <c r="G2178" s="2">
        <v>201704</v>
      </c>
      <c r="H2178" s="2" t="s">
        <v>74</v>
      </c>
      <c r="I2178" s="2" t="s">
        <v>75</v>
      </c>
      <c r="J2178" s="2" t="s">
        <v>76</v>
      </c>
      <c r="K2178" s="2" t="s">
        <v>77</v>
      </c>
      <c r="L2178" s="2" t="s">
        <v>98</v>
      </c>
      <c r="M2178" s="2" t="s">
        <v>99</v>
      </c>
      <c r="N2178" s="2" t="s">
        <v>109</v>
      </c>
      <c r="O2178" s="2" t="s">
        <v>96</v>
      </c>
      <c r="P2178" s="2" t="str">
        <f>"2170528068                    "</f>
        <v xml:space="preserve">2170528068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8.2899999999999991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1.7</v>
      </c>
      <c r="BJ2178" s="2">
        <v>4.9000000000000004</v>
      </c>
      <c r="BK2178" s="2">
        <v>5</v>
      </c>
      <c r="BL2178" s="2">
        <v>101.89</v>
      </c>
      <c r="BM2178" s="2">
        <v>14.26</v>
      </c>
      <c r="BN2178" s="2">
        <v>116.15</v>
      </c>
      <c r="BO2178" s="2">
        <v>116.15</v>
      </c>
      <c r="BP2178" s="2"/>
      <c r="BQ2178" s="2" t="s">
        <v>110</v>
      </c>
      <c r="BR2178" s="2" t="s">
        <v>83</v>
      </c>
      <c r="BS2178" s="3">
        <v>42668</v>
      </c>
      <c r="BT2178" s="4">
        <v>0.35416666666666669</v>
      </c>
      <c r="BU2178" s="2" t="s">
        <v>110</v>
      </c>
      <c r="BV2178" s="2" t="s">
        <v>85</v>
      </c>
      <c r="BW2178" s="2"/>
      <c r="BX2178" s="2"/>
      <c r="BY2178" s="2">
        <v>24469.83</v>
      </c>
      <c r="BZ2178" s="2" t="s">
        <v>27</v>
      </c>
      <c r="CA2178" s="2"/>
      <c r="CB2178" s="2"/>
      <c r="CC2178" s="2" t="s">
        <v>99</v>
      </c>
      <c r="CD2178" s="2">
        <v>6001</v>
      </c>
      <c r="CE2178" s="2" t="s">
        <v>86</v>
      </c>
      <c r="CF2178" s="5">
        <v>42669</v>
      </c>
      <c r="CG2178" s="2"/>
      <c r="CH2178" s="2"/>
      <c r="CI2178" s="2">
        <v>1</v>
      </c>
      <c r="CJ2178" s="2">
        <v>1</v>
      </c>
      <c r="CK2178" s="2">
        <v>21</v>
      </c>
      <c r="CL2178" s="2" t="s">
        <v>88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"FES1162508728"</f>
        <v>FES1162508728</v>
      </c>
      <c r="F2179" s="3">
        <v>42667</v>
      </c>
      <c r="G2179" s="2">
        <v>201704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98</v>
      </c>
      <c r="M2179" s="2" t="s">
        <v>99</v>
      </c>
      <c r="N2179" s="2" t="s">
        <v>2199</v>
      </c>
      <c r="O2179" s="2" t="s">
        <v>96</v>
      </c>
      <c r="P2179" s="2" t="str">
        <f>"2170531697                    "</f>
        <v xml:space="preserve">2170531697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4.9800000000000004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2.7</v>
      </c>
      <c r="BJ2179" s="2">
        <v>1.4</v>
      </c>
      <c r="BK2179" s="2">
        <v>3</v>
      </c>
      <c r="BL2179" s="2">
        <v>61.14</v>
      </c>
      <c r="BM2179" s="2">
        <v>8.56</v>
      </c>
      <c r="BN2179" s="2">
        <v>69.7</v>
      </c>
      <c r="BO2179" s="2">
        <v>69.7</v>
      </c>
      <c r="BP2179" s="2"/>
      <c r="BQ2179" s="2" t="s">
        <v>1198</v>
      </c>
      <c r="BR2179" s="2" t="s">
        <v>83</v>
      </c>
      <c r="BS2179" s="3">
        <v>42668</v>
      </c>
      <c r="BT2179" s="4">
        <v>0.43124999999999997</v>
      </c>
      <c r="BU2179" s="2" t="s">
        <v>2200</v>
      </c>
      <c r="BV2179" s="2" t="s">
        <v>85</v>
      </c>
      <c r="BW2179" s="2"/>
      <c r="BX2179" s="2"/>
      <c r="BY2179" s="2">
        <v>6790.61</v>
      </c>
      <c r="BZ2179" s="2" t="s">
        <v>27</v>
      </c>
      <c r="CA2179" s="2" t="s">
        <v>437</v>
      </c>
      <c r="CB2179" s="2"/>
      <c r="CC2179" s="2" t="s">
        <v>99</v>
      </c>
      <c r="CD2179" s="2">
        <v>6001</v>
      </c>
      <c r="CE2179" s="2" t="s">
        <v>86</v>
      </c>
      <c r="CF2179" s="5">
        <v>42668</v>
      </c>
      <c r="CG2179" s="2"/>
      <c r="CH2179" s="2"/>
      <c r="CI2179" s="2">
        <v>1</v>
      </c>
      <c r="CJ2179" s="2">
        <v>1</v>
      </c>
      <c r="CK2179" s="2">
        <v>21</v>
      </c>
      <c r="CL2179" s="2" t="s">
        <v>88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"FES1162508783"</f>
        <v>FES1162508783</v>
      </c>
      <c r="F2180" s="3">
        <v>42667</v>
      </c>
      <c r="G2180" s="2">
        <v>201704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98</v>
      </c>
      <c r="M2180" s="2" t="s">
        <v>99</v>
      </c>
      <c r="N2180" s="2" t="s">
        <v>109</v>
      </c>
      <c r="O2180" s="2" t="s">
        <v>96</v>
      </c>
      <c r="P2180" s="2" t="str">
        <f>"2170527001                    "</f>
        <v xml:space="preserve">2170527001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11.61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4.3</v>
      </c>
      <c r="BJ2180" s="2">
        <v>6.9</v>
      </c>
      <c r="BK2180" s="2">
        <v>7</v>
      </c>
      <c r="BL2180" s="2">
        <v>142.65</v>
      </c>
      <c r="BM2180" s="2">
        <v>19.97</v>
      </c>
      <c r="BN2180" s="2">
        <v>162.62</v>
      </c>
      <c r="BO2180" s="2">
        <v>162.62</v>
      </c>
      <c r="BP2180" s="2"/>
      <c r="BQ2180" s="2" t="s">
        <v>110</v>
      </c>
      <c r="BR2180" s="2" t="s">
        <v>83</v>
      </c>
      <c r="BS2180" s="3">
        <v>42668</v>
      </c>
      <c r="BT2180" s="4">
        <v>0.35416666666666669</v>
      </c>
      <c r="BU2180" s="2" t="s">
        <v>110</v>
      </c>
      <c r="BV2180" s="2" t="s">
        <v>85</v>
      </c>
      <c r="BW2180" s="2"/>
      <c r="BX2180" s="2"/>
      <c r="BY2180" s="2">
        <v>34715.25</v>
      </c>
      <c r="BZ2180" s="2" t="s">
        <v>27</v>
      </c>
      <c r="CA2180" s="2"/>
      <c r="CB2180" s="2"/>
      <c r="CC2180" s="2" t="s">
        <v>99</v>
      </c>
      <c r="CD2180" s="2">
        <v>6001</v>
      </c>
      <c r="CE2180" s="2" t="s">
        <v>86</v>
      </c>
      <c r="CF2180" s="5">
        <v>42669</v>
      </c>
      <c r="CG2180" s="2"/>
      <c r="CH2180" s="2"/>
      <c r="CI2180" s="2">
        <v>1</v>
      </c>
      <c r="CJ2180" s="2">
        <v>1</v>
      </c>
      <c r="CK2180" s="2">
        <v>21</v>
      </c>
      <c r="CL2180" s="2" t="s">
        <v>88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"FES1162508785"</f>
        <v>FES1162508785</v>
      </c>
      <c r="F2181" s="3">
        <v>42667</v>
      </c>
      <c r="G2181" s="2">
        <v>201704</v>
      </c>
      <c r="H2181" s="2" t="s">
        <v>74</v>
      </c>
      <c r="I2181" s="2" t="s">
        <v>75</v>
      </c>
      <c r="J2181" s="2" t="s">
        <v>76</v>
      </c>
      <c r="K2181" s="2" t="s">
        <v>77</v>
      </c>
      <c r="L2181" s="2" t="s">
        <v>503</v>
      </c>
      <c r="M2181" s="2" t="s">
        <v>504</v>
      </c>
      <c r="N2181" s="2" t="s">
        <v>905</v>
      </c>
      <c r="O2181" s="2" t="s">
        <v>96</v>
      </c>
      <c r="P2181" s="2" t="str">
        <f>"2170527153                    "</f>
        <v xml:space="preserve">2170527153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18.04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2</v>
      </c>
      <c r="BI2181" s="2">
        <v>5.6</v>
      </c>
      <c r="BJ2181" s="2">
        <v>3.6</v>
      </c>
      <c r="BK2181" s="2">
        <v>6</v>
      </c>
      <c r="BL2181" s="2">
        <v>221.62</v>
      </c>
      <c r="BM2181" s="2">
        <v>31.03</v>
      </c>
      <c r="BN2181" s="2">
        <v>252.65</v>
      </c>
      <c r="BO2181" s="2">
        <v>252.65</v>
      </c>
      <c r="BP2181" s="2"/>
      <c r="BQ2181" s="2" t="s">
        <v>91</v>
      </c>
      <c r="BR2181" s="2" t="s">
        <v>83</v>
      </c>
      <c r="BS2181" s="3">
        <v>42668</v>
      </c>
      <c r="BT2181" s="4">
        <v>0.41666666666666669</v>
      </c>
      <c r="BU2181" s="2" t="s">
        <v>2201</v>
      </c>
      <c r="BV2181" s="2" t="s">
        <v>85</v>
      </c>
      <c r="BW2181" s="2"/>
      <c r="BX2181" s="2"/>
      <c r="BY2181" s="2">
        <v>17873.86</v>
      </c>
      <c r="BZ2181" s="2" t="s">
        <v>27</v>
      </c>
      <c r="CA2181" s="2" t="s">
        <v>129</v>
      </c>
      <c r="CB2181" s="2"/>
      <c r="CC2181" s="2" t="s">
        <v>504</v>
      </c>
      <c r="CD2181" s="2">
        <v>7349</v>
      </c>
      <c r="CE2181" s="2" t="s">
        <v>86</v>
      </c>
      <c r="CF2181" s="5">
        <v>42669</v>
      </c>
      <c r="CG2181" s="2"/>
      <c r="CH2181" s="2"/>
      <c r="CI2181" s="2">
        <v>1</v>
      </c>
      <c r="CJ2181" s="2">
        <v>1</v>
      </c>
      <c r="CK2181" s="2">
        <v>23</v>
      </c>
      <c r="CL2181" s="2" t="s">
        <v>88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"FES1162508780"</f>
        <v>FES1162508780</v>
      </c>
      <c r="F2182" s="3">
        <v>42667</v>
      </c>
      <c r="G2182" s="2">
        <v>201704</v>
      </c>
      <c r="H2182" s="2" t="s">
        <v>74</v>
      </c>
      <c r="I2182" s="2" t="s">
        <v>75</v>
      </c>
      <c r="J2182" s="2" t="s">
        <v>76</v>
      </c>
      <c r="K2182" s="2" t="s">
        <v>77</v>
      </c>
      <c r="L2182" s="2" t="s">
        <v>160</v>
      </c>
      <c r="M2182" s="2" t="s">
        <v>161</v>
      </c>
      <c r="N2182" s="2" t="s">
        <v>1588</v>
      </c>
      <c r="O2182" s="2" t="s">
        <v>96</v>
      </c>
      <c r="P2182" s="2" t="str">
        <f>"2170529464                    "</f>
        <v xml:space="preserve">2170529464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8.2899999999999991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2.2000000000000002</v>
      </c>
      <c r="BJ2182" s="2">
        <v>4.9000000000000004</v>
      </c>
      <c r="BK2182" s="2">
        <v>5</v>
      </c>
      <c r="BL2182" s="2">
        <v>101.89</v>
      </c>
      <c r="BM2182" s="2">
        <v>14.26</v>
      </c>
      <c r="BN2182" s="2">
        <v>116.15</v>
      </c>
      <c r="BO2182" s="2">
        <v>116.15</v>
      </c>
      <c r="BP2182" s="2"/>
      <c r="BQ2182" s="2" t="s">
        <v>1589</v>
      </c>
      <c r="BR2182" s="2" t="s">
        <v>83</v>
      </c>
      <c r="BS2182" s="3">
        <v>42668</v>
      </c>
      <c r="BT2182" s="4">
        <v>0.4375</v>
      </c>
      <c r="BU2182" s="2" t="s">
        <v>2202</v>
      </c>
      <c r="BV2182" s="2" t="s">
        <v>85</v>
      </c>
      <c r="BW2182" s="2"/>
      <c r="BX2182" s="2"/>
      <c r="BY2182" s="2">
        <v>24447.7</v>
      </c>
      <c r="BZ2182" s="2" t="s">
        <v>27</v>
      </c>
      <c r="CA2182" s="2" t="s">
        <v>129</v>
      </c>
      <c r="CB2182" s="2"/>
      <c r="CC2182" s="2" t="s">
        <v>161</v>
      </c>
      <c r="CD2182" s="2">
        <v>7945</v>
      </c>
      <c r="CE2182" s="2" t="s">
        <v>86</v>
      </c>
      <c r="CF2182" s="5">
        <v>42669</v>
      </c>
      <c r="CG2182" s="2"/>
      <c r="CH2182" s="2"/>
      <c r="CI2182" s="2">
        <v>1</v>
      </c>
      <c r="CJ2182" s="2">
        <v>1</v>
      </c>
      <c r="CK2182" s="2">
        <v>21</v>
      </c>
      <c r="CL2182" s="2" t="s">
        <v>88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"FES1162508782"</f>
        <v>FES1162508782</v>
      </c>
      <c r="F2183" s="3">
        <v>42667</v>
      </c>
      <c r="G2183" s="2">
        <v>201704</v>
      </c>
      <c r="H2183" s="2" t="s">
        <v>74</v>
      </c>
      <c r="I2183" s="2" t="s">
        <v>75</v>
      </c>
      <c r="J2183" s="2" t="s">
        <v>76</v>
      </c>
      <c r="K2183" s="2" t="s">
        <v>77</v>
      </c>
      <c r="L2183" s="2" t="s">
        <v>160</v>
      </c>
      <c r="M2183" s="2" t="s">
        <v>161</v>
      </c>
      <c r="N2183" s="2" t="s">
        <v>244</v>
      </c>
      <c r="O2183" s="2" t="s">
        <v>96</v>
      </c>
      <c r="P2183" s="2" t="str">
        <f>"2170526380                    "</f>
        <v xml:space="preserve">2170526380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7.46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4.0999999999999996</v>
      </c>
      <c r="BJ2183" s="2">
        <v>2.9</v>
      </c>
      <c r="BK2183" s="2">
        <v>4.5</v>
      </c>
      <c r="BL2183" s="2">
        <v>91.7</v>
      </c>
      <c r="BM2183" s="2">
        <v>12.84</v>
      </c>
      <c r="BN2183" s="2">
        <v>104.54</v>
      </c>
      <c r="BO2183" s="2">
        <v>104.54</v>
      </c>
      <c r="BP2183" s="2"/>
      <c r="BQ2183" s="2" t="s">
        <v>117</v>
      </c>
      <c r="BR2183" s="2" t="s">
        <v>83</v>
      </c>
      <c r="BS2183" s="3">
        <v>42668</v>
      </c>
      <c r="BT2183" s="4">
        <v>0.42708333333333331</v>
      </c>
      <c r="BU2183" s="2" t="s">
        <v>709</v>
      </c>
      <c r="BV2183" s="2" t="s">
        <v>85</v>
      </c>
      <c r="BW2183" s="2"/>
      <c r="BX2183" s="2"/>
      <c r="BY2183" s="2">
        <v>14419.48</v>
      </c>
      <c r="BZ2183" s="2" t="s">
        <v>27</v>
      </c>
      <c r="CA2183" s="2"/>
      <c r="CB2183" s="2"/>
      <c r="CC2183" s="2" t="s">
        <v>161</v>
      </c>
      <c r="CD2183" s="2">
        <v>7800</v>
      </c>
      <c r="CE2183" s="2" t="s">
        <v>86</v>
      </c>
      <c r="CF2183" s="5">
        <v>42669</v>
      </c>
      <c r="CG2183" s="2"/>
      <c r="CH2183" s="2"/>
      <c r="CI2183" s="2">
        <v>1</v>
      </c>
      <c r="CJ2183" s="2">
        <v>1</v>
      </c>
      <c r="CK2183" s="2">
        <v>21</v>
      </c>
      <c r="CL2183" s="2" t="s">
        <v>88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"FES1162508798"</f>
        <v>FES1162508798</v>
      </c>
      <c r="F2184" s="3">
        <v>42667</v>
      </c>
      <c r="G2184" s="2">
        <v>201704</v>
      </c>
      <c r="H2184" s="2" t="s">
        <v>74</v>
      </c>
      <c r="I2184" s="2" t="s">
        <v>75</v>
      </c>
      <c r="J2184" s="2" t="s">
        <v>76</v>
      </c>
      <c r="K2184" s="2" t="s">
        <v>77</v>
      </c>
      <c r="L2184" s="2" t="s">
        <v>93</v>
      </c>
      <c r="M2184" s="2" t="s">
        <v>94</v>
      </c>
      <c r="N2184" s="2" t="s">
        <v>130</v>
      </c>
      <c r="O2184" s="2" t="s">
        <v>96</v>
      </c>
      <c r="P2184" s="2" t="str">
        <f>"2170532040                    "</f>
        <v xml:space="preserve">2170532040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3.32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1</v>
      </c>
      <c r="BJ2184" s="2">
        <v>0.2</v>
      </c>
      <c r="BK2184" s="2">
        <v>1</v>
      </c>
      <c r="BL2184" s="2">
        <v>40.76</v>
      </c>
      <c r="BM2184" s="2">
        <v>5.71</v>
      </c>
      <c r="BN2184" s="2">
        <v>46.47</v>
      </c>
      <c r="BO2184" s="2">
        <v>46.47</v>
      </c>
      <c r="BP2184" s="2"/>
      <c r="BQ2184" s="2" t="s">
        <v>131</v>
      </c>
      <c r="BR2184" s="2" t="s">
        <v>83</v>
      </c>
      <c r="BS2184" s="3">
        <v>42668</v>
      </c>
      <c r="BT2184" s="4">
        <v>0.4375</v>
      </c>
      <c r="BU2184" s="2" t="s">
        <v>2001</v>
      </c>
      <c r="BV2184" s="2" t="s">
        <v>85</v>
      </c>
      <c r="BW2184" s="2"/>
      <c r="BX2184" s="2"/>
      <c r="BY2184" s="2">
        <v>1200</v>
      </c>
      <c r="BZ2184" s="2" t="s">
        <v>27</v>
      </c>
      <c r="CA2184" s="2"/>
      <c r="CB2184" s="2"/>
      <c r="CC2184" s="2" t="s">
        <v>94</v>
      </c>
      <c r="CD2184" s="2">
        <v>4302</v>
      </c>
      <c r="CE2184" s="2" t="s">
        <v>108</v>
      </c>
      <c r="CF2184" s="5">
        <v>42669</v>
      </c>
      <c r="CG2184" s="2"/>
      <c r="CH2184" s="2"/>
      <c r="CI2184" s="2">
        <v>1</v>
      </c>
      <c r="CJ2184" s="2">
        <v>1</v>
      </c>
      <c r="CK2184" s="2">
        <v>21</v>
      </c>
      <c r="CL2184" s="2" t="s">
        <v>88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"FES1162508807"</f>
        <v>FES1162508807</v>
      </c>
      <c r="F2185" s="3">
        <v>42667</v>
      </c>
      <c r="G2185" s="2">
        <v>201704</v>
      </c>
      <c r="H2185" s="2" t="s">
        <v>74</v>
      </c>
      <c r="I2185" s="2" t="s">
        <v>75</v>
      </c>
      <c r="J2185" s="2" t="s">
        <v>76</v>
      </c>
      <c r="K2185" s="2" t="s">
        <v>77</v>
      </c>
      <c r="L2185" s="2" t="s">
        <v>148</v>
      </c>
      <c r="M2185" s="2" t="s">
        <v>149</v>
      </c>
      <c r="N2185" s="2" t="s">
        <v>473</v>
      </c>
      <c r="O2185" s="2" t="s">
        <v>96</v>
      </c>
      <c r="P2185" s="2" t="str">
        <f>"2170532048                    "</f>
        <v xml:space="preserve">2170532048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3.32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</v>
      </c>
      <c r="BJ2185" s="2">
        <v>0.2</v>
      </c>
      <c r="BK2185" s="2">
        <v>1</v>
      </c>
      <c r="BL2185" s="2">
        <v>40.76</v>
      </c>
      <c r="BM2185" s="2">
        <v>5.71</v>
      </c>
      <c r="BN2185" s="2">
        <v>46.47</v>
      </c>
      <c r="BO2185" s="2">
        <v>46.47</v>
      </c>
      <c r="BP2185" s="2"/>
      <c r="BQ2185" s="2" t="s">
        <v>117</v>
      </c>
      <c r="BR2185" s="2" t="s">
        <v>83</v>
      </c>
      <c r="BS2185" s="3">
        <v>42668</v>
      </c>
      <c r="BT2185" s="4">
        <v>0.4375</v>
      </c>
      <c r="BU2185" s="2" t="s">
        <v>1254</v>
      </c>
      <c r="BV2185" s="2" t="s">
        <v>85</v>
      </c>
      <c r="BW2185" s="2"/>
      <c r="BX2185" s="2"/>
      <c r="BY2185" s="2">
        <v>1200</v>
      </c>
      <c r="BZ2185" s="2" t="s">
        <v>27</v>
      </c>
      <c r="CA2185" s="2"/>
      <c r="CB2185" s="2"/>
      <c r="CC2185" s="2" t="s">
        <v>149</v>
      </c>
      <c r="CD2185" s="2">
        <v>4052</v>
      </c>
      <c r="CE2185" s="2" t="s">
        <v>108</v>
      </c>
      <c r="CF2185" s="5">
        <v>42669</v>
      </c>
      <c r="CG2185" s="2"/>
      <c r="CH2185" s="2"/>
      <c r="CI2185" s="2">
        <v>1</v>
      </c>
      <c r="CJ2185" s="2">
        <v>1</v>
      </c>
      <c r="CK2185" s="2">
        <v>21</v>
      </c>
      <c r="CL2185" s="2" t="s">
        <v>88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"FES1162508820"</f>
        <v>FES1162508820</v>
      </c>
      <c r="F2186" s="3">
        <v>42667</v>
      </c>
      <c r="G2186" s="2">
        <v>201704</v>
      </c>
      <c r="H2186" s="2" t="s">
        <v>74</v>
      </c>
      <c r="I2186" s="2" t="s">
        <v>75</v>
      </c>
      <c r="J2186" s="2" t="s">
        <v>76</v>
      </c>
      <c r="K2186" s="2" t="s">
        <v>77</v>
      </c>
      <c r="L2186" s="2" t="s">
        <v>153</v>
      </c>
      <c r="M2186" s="2" t="s">
        <v>153</v>
      </c>
      <c r="N2186" s="2" t="s">
        <v>501</v>
      </c>
      <c r="O2186" s="2" t="s">
        <v>96</v>
      </c>
      <c r="P2186" s="2" t="str">
        <f>"2170531983                    "</f>
        <v xml:space="preserve">2170531983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3.32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1</v>
      </c>
      <c r="BJ2186" s="2">
        <v>0.2</v>
      </c>
      <c r="BK2186" s="2">
        <v>1</v>
      </c>
      <c r="BL2186" s="2">
        <v>40.76</v>
      </c>
      <c r="BM2186" s="2">
        <v>5.71</v>
      </c>
      <c r="BN2186" s="2">
        <v>46.47</v>
      </c>
      <c r="BO2186" s="2">
        <v>46.47</v>
      </c>
      <c r="BP2186" s="2"/>
      <c r="BQ2186" s="2" t="s">
        <v>82</v>
      </c>
      <c r="BR2186" s="2" t="s">
        <v>83</v>
      </c>
      <c r="BS2186" s="3">
        <v>42668</v>
      </c>
      <c r="BT2186" s="4">
        <v>0.57986111111111105</v>
      </c>
      <c r="BU2186" s="2" t="s">
        <v>1486</v>
      </c>
      <c r="BV2186" s="2" t="s">
        <v>85</v>
      </c>
      <c r="BW2186" s="2"/>
      <c r="BX2186" s="2"/>
      <c r="BY2186" s="2">
        <v>1200</v>
      </c>
      <c r="BZ2186" s="2" t="s">
        <v>27</v>
      </c>
      <c r="CA2186" s="2"/>
      <c r="CB2186" s="2"/>
      <c r="CC2186" s="2" t="s">
        <v>153</v>
      </c>
      <c r="CD2186" s="2">
        <v>7620</v>
      </c>
      <c r="CE2186" s="2" t="s">
        <v>108</v>
      </c>
      <c r="CF2186" s="5">
        <v>42669</v>
      </c>
      <c r="CG2186" s="2"/>
      <c r="CH2186" s="2"/>
      <c r="CI2186" s="2">
        <v>1</v>
      </c>
      <c r="CJ2186" s="2">
        <v>1</v>
      </c>
      <c r="CK2186" s="2">
        <v>21</v>
      </c>
      <c r="CL2186" s="2" t="s">
        <v>88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"FES1162508809"</f>
        <v>FES1162508809</v>
      </c>
      <c r="F2187" s="3">
        <v>42667</v>
      </c>
      <c r="G2187" s="2">
        <v>201704</v>
      </c>
      <c r="H2187" s="2" t="s">
        <v>74</v>
      </c>
      <c r="I2187" s="2" t="s">
        <v>75</v>
      </c>
      <c r="J2187" s="2" t="s">
        <v>76</v>
      </c>
      <c r="K2187" s="2" t="s">
        <v>77</v>
      </c>
      <c r="L2187" s="2" t="s">
        <v>898</v>
      </c>
      <c r="M2187" s="2" t="s">
        <v>899</v>
      </c>
      <c r="N2187" s="2" t="s">
        <v>2203</v>
      </c>
      <c r="O2187" s="2" t="s">
        <v>96</v>
      </c>
      <c r="P2187" s="2" t="str">
        <f>"2170532053                    "</f>
        <v xml:space="preserve">2170532053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3.32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1</v>
      </c>
      <c r="BJ2187" s="2">
        <v>0.2</v>
      </c>
      <c r="BK2187" s="2">
        <v>1</v>
      </c>
      <c r="BL2187" s="2">
        <v>40.76</v>
      </c>
      <c r="BM2187" s="2">
        <v>5.71</v>
      </c>
      <c r="BN2187" s="2">
        <v>46.47</v>
      </c>
      <c r="BO2187" s="2">
        <v>46.47</v>
      </c>
      <c r="BP2187" s="2"/>
      <c r="BQ2187" s="2" t="s">
        <v>117</v>
      </c>
      <c r="BR2187" s="2" t="s">
        <v>83</v>
      </c>
      <c r="BS2187" s="3">
        <v>42668</v>
      </c>
      <c r="BT2187" s="4">
        <v>0.65</v>
      </c>
      <c r="BU2187" s="2" t="s">
        <v>2204</v>
      </c>
      <c r="BV2187" s="2" t="s">
        <v>88</v>
      </c>
      <c r="BW2187" s="2" t="s">
        <v>277</v>
      </c>
      <c r="BX2187" s="2" t="s">
        <v>356</v>
      </c>
      <c r="BY2187" s="2">
        <v>1200</v>
      </c>
      <c r="BZ2187" s="2" t="s">
        <v>27</v>
      </c>
      <c r="CA2187" s="2"/>
      <c r="CB2187" s="2"/>
      <c r="CC2187" s="2" t="s">
        <v>899</v>
      </c>
      <c r="CD2187" s="2">
        <v>7655</v>
      </c>
      <c r="CE2187" s="2" t="s">
        <v>108</v>
      </c>
      <c r="CF2187" s="5">
        <v>42669</v>
      </c>
      <c r="CG2187" s="2"/>
      <c r="CH2187" s="2"/>
      <c r="CI2187" s="2">
        <v>1</v>
      </c>
      <c r="CJ2187" s="2">
        <v>1</v>
      </c>
      <c r="CK2187" s="2">
        <v>21</v>
      </c>
      <c r="CL2187" s="2" t="s">
        <v>88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"FES1162508836"</f>
        <v>FES1162508836</v>
      </c>
      <c r="F2188" s="3">
        <v>42667</v>
      </c>
      <c r="G2188" s="2">
        <v>201704</v>
      </c>
      <c r="H2188" s="2" t="s">
        <v>74</v>
      </c>
      <c r="I2188" s="2" t="s">
        <v>75</v>
      </c>
      <c r="J2188" s="2" t="s">
        <v>76</v>
      </c>
      <c r="K2188" s="2" t="s">
        <v>77</v>
      </c>
      <c r="L2188" s="2" t="s">
        <v>160</v>
      </c>
      <c r="M2188" s="2" t="s">
        <v>161</v>
      </c>
      <c r="N2188" s="2" t="s">
        <v>411</v>
      </c>
      <c r="O2188" s="2" t="s">
        <v>96</v>
      </c>
      <c r="P2188" s="2" t="str">
        <f>"2170532079                    "</f>
        <v xml:space="preserve">2170532079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3.32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1</v>
      </c>
      <c r="BJ2188" s="2">
        <v>0.2</v>
      </c>
      <c r="BK2188" s="2">
        <v>1</v>
      </c>
      <c r="BL2188" s="2">
        <v>40.76</v>
      </c>
      <c r="BM2188" s="2">
        <v>5.71</v>
      </c>
      <c r="BN2188" s="2">
        <v>46.47</v>
      </c>
      <c r="BO2188" s="2">
        <v>46.47</v>
      </c>
      <c r="BP2188" s="2"/>
      <c r="BQ2188" s="2" t="s">
        <v>412</v>
      </c>
      <c r="BR2188" s="2" t="s">
        <v>83</v>
      </c>
      <c r="BS2188" s="3">
        <v>42668</v>
      </c>
      <c r="BT2188" s="4">
        <v>0.45833333333333331</v>
      </c>
      <c r="BU2188" s="2" t="s">
        <v>2205</v>
      </c>
      <c r="BV2188" s="2" t="s">
        <v>85</v>
      </c>
      <c r="BW2188" s="2"/>
      <c r="BX2188" s="2"/>
      <c r="BY2188" s="2">
        <v>1200</v>
      </c>
      <c r="BZ2188" s="2" t="s">
        <v>27</v>
      </c>
      <c r="CA2188" s="2" t="s">
        <v>129</v>
      </c>
      <c r="CB2188" s="2"/>
      <c r="CC2188" s="2" t="s">
        <v>161</v>
      </c>
      <c r="CD2188" s="2">
        <v>7945</v>
      </c>
      <c r="CE2188" s="2" t="s">
        <v>108</v>
      </c>
      <c r="CF2188" s="5">
        <v>42669</v>
      </c>
      <c r="CG2188" s="2"/>
      <c r="CH2188" s="2"/>
      <c r="CI2188" s="2">
        <v>1</v>
      </c>
      <c r="CJ2188" s="2">
        <v>1</v>
      </c>
      <c r="CK2188" s="2">
        <v>21</v>
      </c>
      <c r="CL2188" s="2" t="s">
        <v>88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"FES1162508799"</f>
        <v>FES1162508799</v>
      </c>
      <c r="F2189" s="3">
        <v>42667</v>
      </c>
      <c r="G2189" s="2">
        <v>201704</v>
      </c>
      <c r="H2189" s="2" t="s">
        <v>74</v>
      </c>
      <c r="I2189" s="2" t="s">
        <v>75</v>
      </c>
      <c r="J2189" s="2" t="s">
        <v>76</v>
      </c>
      <c r="K2189" s="2" t="s">
        <v>77</v>
      </c>
      <c r="L2189" s="2" t="s">
        <v>160</v>
      </c>
      <c r="M2189" s="2" t="s">
        <v>161</v>
      </c>
      <c r="N2189" s="2" t="s">
        <v>2206</v>
      </c>
      <c r="O2189" s="2" t="s">
        <v>96</v>
      </c>
      <c r="P2189" s="2" t="str">
        <f>"2170532041                    "</f>
        <v xml:space="preserve">2170532041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3.32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1</v>
      </c>
      <c r="BJ2189" s="2">
        <v>0.2</v>
      </c>
      <c r="BK2189" s="2">
        <v>1</v>
      </c>
      <c r="BL2189" s="2">
        <v>40.76</v>
      </c>
      <c r="BM2189" s="2">
        <v>5.71</v>
      </c>
      <c r="BN2189" s="2">
        <v>46.47</v>
      </c>
      <c r="BO2189" s="2">
        <v>46.47</v>
      </c>
      <c r="BP2189" s="2"/>
      <c r="BQ2189" s="2" t="s">
        <v>2207</v>
      </c>
      <c r="BR2189" s="2" t="s">
        <v>83</v>
      </c>
      <c r="BS2189" s="3">
        <v>42668</v>
      </c>
      <c r="BT2189" s="4">
        <v>0.41666666666666669</v>
      </c>
      <c r="BU2189" s="2" t="s">
        <v>2208</v>
      </c>
      <c r="BV2189" s="2" t="s">
        <v>85</v>
      </c>
      <c r="BW2189" s="2"/>
      <c r="BX2189" s="2"/>
      <c r="BY2189" s="2">
        <v>1200</v>
      </c>
      <c r="BZ2189" s="2" t="s">
        <v>27</v>
      </c>
      <c r="CA2189" s="2"/>
      <c r="CB2189" s="2"/>
      <c r="CC2189" s="2" t="s">
        <v>161</v>
      </c>
      <c r="CD2189" s="2">
        <v>7441</v>
      </c>
      <c r="CE2189" s="2" t="s">
        <v>108</v>
      </c>
      <c r="CF2189" s="5">
        <v>42669</v>
      </c>
      <c r="CG2189" s="2"/>
      <c r="CH2189" s="2"/>
      <c r="CI2189" s="2">
        <v>1</v>
      </c>
      <c r="CJ2189" s="2">
        <v>1</v>
      </c>
      <c r="CK2189" s="2">
        <v>21</v>
      </c>
      <c r="CL2189" s="2" t="s">
        <v>88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"FES1162508828"</f>
        <v>FES1162508828</v>
      </c>
      <c r="F2190" s="3">
        <v>42667</v>
      </c>
      <c r="G2190" s="2">
        <v>201704</v>
      </c>
      <c r="H2190" s="2" t="s">
        <v>74</v>
      </c>
      <c r="I2190" s="2" t="s">
        <v>75</v>
      </c>
      <c r="J2190" s="2" t="s">
        <v>76</v>
      </c>
      <c r="K2190" s="2" t="s">
        <v>77</v>
      </c>
      <c r="L2190" s="2" t="s">
        <v>98</v>
      </c>
      <c r="M2190" s="2" t="s">
        <v>99</v>
      </c>
      <c r="N2190" s="2" t="s">
        <v>246</v>
      </c>
      <c r="O2190" s="2" t="s">
        <v>96</v>
      </c>
      <c r="P2190" s="2" t="str">
        <f>"2170531767                    "</f>
        <v xml:space="preserve">2170531767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3.32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1</v>
      </c>
      <c r="BJ2190" s="2">
        <v>0.2</v>
      </c>
      <c r="BK2190" s="2">
        <v>1</v>
      </c>
      <c r="BL2190" s="2">
        <v>40.76</v>
      </c>
      <c r="BM2190" s="2">
        <v>5.71</v>
      </c>
      <c r="BN2190" s="2">
        <v>46.47</v>
      </c>
      <c r="BO2190" s="2">
        <v>46.47</v>
      </c>
      <c r="BP2190" s="2"/>
      <c r="BQ2190" s="2" t="s">
        <v>247</v>
      </c>
      <c r="BR2190" s="2" t="s">
        <v>83</v>
      </c>
      <c r="BS2190" s="3">
        <v>42669</v>
      </c>
      <c r="BT2190" s="4">
        <v>0.41666666666666669</v>
      </c>
      <c r="BU2190" s="2" t="s">
        <v>1829</v>
      </c>
      <c r="BV2190" s="2"/>
      <c r="BW2190" s="2" t="s">
        <v>222</v>
      </c>
      <c r="BX2190" s="2" t="s">
        <v>250</v>
      </c>
      <c r="BY2190" s="2">
        <v>1200</v>
      </c>
      <c r="BZ2190" s="2" t="s">
        <v>27</v>
      </c>
      <c r="CA2190" s="2"/>
      <c r="CB2190" s="2"/>
      <c r="CC2190" s="2" t="s">
        <v>99</v>
      </c>
      <c r="CD2190" s="2">
        <v>6001</v>
      </c>
      <c r="CE2190" s="2" t="s">
        <v>108</v>
      </c>
      <c r="CF2190" s="5">
        <v>42670</v>
      </c>
      <c r="CG2190" s="2"/>
      <c r="CH2190" s="2"/>
      <c r="CI2190" s="2">
        <v>0</v>
      </c>
      <c r="CJ2190" s="2">
        <v>0</v>
      </c>
      <c r="CK2190" s="2">
        <v>21</v>
      </c>
      <c r="CL2190" s="2" t="s">
        <v>88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"FES1162508791"</f>
        <v>FES1162508791</v>
      </c>
      <c r="F2191" s="3">
        <v>42667</v>
      </c>
      <c r="G2191" s="2">
        <v>201704</v>
      </c>
      <c r="H2191" s="2" t="s">
        <v>74</v>
      </c>
      <c r="I2191" s="2" t="s">
        <v>75</v>
      </c>
      <c r="J2191" s="2" t="s">
        <v>76</v>
      </c>
      <c r="K2191" s="2" t="s">
        <v>77</v>
      </c>
      <c r="L2191" s="2" t="s">
        <v>98</v>
      </c>
      <c r="M2191" s="2" t="s">
        <v>99</v>
      </c>
      <c r="N2191" s="2" t="s">
        <v>109</v>
      </c>
      <c r="O2191" s="2" t="s">
        <v>96</v>
      </c>
      <c r="P2191" s="2" t="str">
        <f>"2170529337                    "</f>
        <v xml:space="preserve">2170529337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74.64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2</v>
      </c>
      <c r="BI2191" s="2">
        <v>18.100000000000001</v>
      </c>
      <c r="BJ2191" s="2">
        <v>44.8</v>
      </c>
      <c r="BK2191" s="2">
        <v>45</v>
      </c>
      <c r="BL2191" s="2">
        <v>917.04</v>
      </c>
      <c r="BM2191" s="2">
        <v>128.38999999999999</v>
      </c>
      <c r="BN2191" s="2">
        <v>1045.43</v>
      </c>
      <c r="BO2191" s="2">
        <v>1045.43</v>
      </c>
      <c r="BP2191" s="2"/>
      <c r="BQ2191" s="2"/>
      <c r="BR2191" s="2" t="s">
        <v>83</v>
      </c>
      <c r="BS2191" s="3">
        <v>42668</v>
      </c>
      <c r="BT2191" s="4">
        <v>0.53472222222222221</v>
      </c>
      <c r="BU2191" s="2" t="s">
        <v>2209</v>
      </c>
      <c r="BV2191" s="2" t="s">
        <v>88</v>
      </c>
      <c r="BW2191" s="2" t="s">
        <v>277</v>
      </c>
      <c r="BX2191" s="2" t="s">
        <v>1683</v>
      </c>
      <c r="BY2191" s="2">
        <v>223968.82</v>
      </c>
      <c r="BZ2191" s="2" t="s">
        <v>27</v>
      </c>
      <c r="CA2191" s="2"/>
      <c r="CB2191" s="2"/>
      <c r="CC2191" s="2" t="s">
        <v>99</v>
      </c>
      <c r="CD2191" s="2">
        <v>6001</v>
      </c>
      <c r="CE2191" s="2" t="s">
        <v>368</v>
      </c>
      <c r="CF2191" s="5">
        <v>42669</v>
      </c>
      <c r="CG2191" s="2"/>
      <c r="CH2191" s="2"/>
      <c r="CI2191" s="2">
        <v>1</v>
      </c>
      <c r="CJ2191" s="2">
        <v>1</v>
      </c>
      <c r="CK2191" s="2">
        <v>21</v>
      </c>
      <c r="CL2191" s="2" t="s">
        <v>88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"FES1162508802"</f>
        <v>FES1162508802</v>
      </c>
      <c r="F2192" s="3">
        <v>42667</v>
      </c>
      <c r="G2192" s="2">
        <v>201704</v>
      </c>
      <c r="H2192" s="2" t="s">
        <v>74</v>
      </c>
      <c r="I2192" s="2" t="s">
        <v>75</v>
      </c>
      <c r="J2192" s="2" t="s">
        <v>76</v>
      </c>
      <c r="K2192" s="2" t="s">
        <v>77</v>
      </c>
      <c r="L2192" s="2" t="s">
        <v>98</v>
      </c>
      <c r="M2192" s="2" t="s">
        <v>99</v>
      </c>
      <c r="N2192" s="2" t="s">
        <v>109</v>
      </c>
      <c r="O2192" s="2" t="s">
        <v>96</v>
      </c>
      <c r="P2192" s="2" t="str">
        <f>"2170528670                    "</f>
        <v xml:space="preserve">2170528670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73.81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2</v>
      </c>
      <c r="BI2192" s="2">
        <v>18.2</v>
      </c>
      <c r="BJ2192" s="2">
        <v>44.5</v>
      </c>
      <c r="BK2192" s="2">
        <v>44.5</v>
      </c>
      <c r="BL2192" s="2">
        <v>906.85</v>
      </c>
      <c r="BM2192" s="2">
        <v>126.96</v>
      </c>
      <c r="BN2192" s="2">
        <v>1033.81</v>
      </c>
      <c r="BO2192" s="2">
        <v>1033.81</v>
      </c>
      <c r="BP2192" s="2"/>
      <c r="BQ2192" s="2" t="s">
        <v>110</v>
      </c>
      <c r="BR2192" s="2" t="s">
        <v>83</v>
      </c>
      <c r="BS2192" s="3">
        <v>42668</v>
      </c>
      <c r="BT2192" s="4">
        <v>0.53472222222222221</v>
      </c>
      <c r="BU2192" s="2" t="s">
        <v>2209</v>
      </c>
      <c r="BV2192" s="2" t="s">
        <v>88</v>
      </c>
      <c r="BW2192" s="2" t="s">
        <v>277</v>
      </c>
      <c r="BX2192" s="2" t="s">
        <v>1683</v>
      </c>
      <c r="BY2192" s="2">
        <v>222264</v>
      </c>
      <c r="BZ2192" s="2" t="s">
        <v>27</v>
      </c>
      <c r="CA2192" s="2"/>
      <c r="CB2192" s="2"/>
      <c r="CC2192" s="2" t="s">
        <v>99</v>
      </c>
      <c r="CD2192" s="2">
        <v>6001</v>
      </c>
      <c r="CE2192" s="2" t="s">
        <v>368</v>
      </c>
      <c r="CF2192" s="5">
        <v>42669</v>
      </c>
      <c r="CG2192" s="2"/>
      <c r="CH2192" s="2"/>
      <c r="CI2192" s="2">
        <v>1</v>
      </c>
      <c r="CJ2192" s="2">
        <v>1</v>
      </c>
      <c r="CK2192" s="2">
        <v>21</v>
      </c>
      <c r="CL2192" s="2" t="s">
        <v>88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"FES1162508805"</f>
        <v>FES1162508805</v>
      </c>
      <c r="F2193" s="3">
        <v>42667</v>
      </c>
      <c r="G2193" s="2">
        <v>201704</v>
      </c>
      <c r="H2193" s="2" t="s">
        <v>74</v>
      </c>
      <c r="I2193" s="2" t="s">
        <v>75</v>
      </c>
      <c r="J2193" s="2" t="s">
        <v>76</v>
      </c>
      <c r="K2193" s="2" t="s">
        <v>77</v>
      </c>
      <c r="L2193" s="2" t="s">
        <v>93</v>
      </c>
      <c r="M2193" s="2" t="s">
        <v>94</v>
      </c>
      <c r="N2193" s="2" t="s">
        <v>536</v>
      </c>
      <c r="O2193" s="2" t="s">
        <v>96</v>
      </c>
      <c r="P2193" s="2" t="str">
        <f>"2170529078                    "</f>
        <v xml:space="preserve">2170529078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3.32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0.6</v>
      </c>
      <c r="BJ2193" s="2">
        <v>1.3</v>
      </c>
      <c r="BK2193" s="2">
        <v>1.5</v>
      </c>
      <c r="BL2193" s="2">
        <v>40.76</v>
      </c>
      <c r="BM2193" s="2">
        <v>5.71</v>
      </c>
      <c r="BN2193" s="2">
        <v>46.47</v>
      </c>
      <c r="BO2193" s="2">
        <v>46.47</v>
      </c>
      <c r="BP2193" s="2"/>
      <c r="BQ2193" s="2" t="s">
        <v>537</v>
      </c>
      <c r="BR2193" s="2" t="s">
        <v>83</v>
      </c>
      <c r="BS2193" s="3">
        <v>42668</v>
      </c>
      <c r="BT2193" s="4">
        <v>0.4375</v>
      </c>
      <c r="BU2193" s="2" t="s">
        <v>2195</v>
      </c>
      <c r="BV2193" s="2" t="s">
        <v>85</v>
      </c>
      <c r="BW2193" s="2"/>
      <c r="BX2193" s="2"/>
      <c r="BY2193" s="2">
        <v>6329.23</v>
      </c>
      <c r="BZ2193" s="2" t="s">
        <v>27</v>
      </c>
      <c r="CA2193" s="2"/>
      <c r="CB2193" s="2"/>
      <c r="CC2193" s="2" t="s">
        <v>94</v>
      </c>
      <c r="CD2193" s="2">
        <v>4300</v>
      </c>
      <c r="CE2193" s="2" t="s">
        <v>368</v>
      </c>
      <c r="CF2193" s="5">
        <v>42669</v>
      </c>
      <c r="CG2193" s="2"/>
      <c r="CH2193" s="2"/>
      <c r="CI2193" s="2">
        <v>1</v>
      </c>
      <c r="CJ2193" s="2">
        <v>1</v>
      </c>
      <c r="CK2193" s="2">
        <v>21</v>
      </c>
      <c r="CL2193" s="2" t="s">
        <v>88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"FES1162508793"</f>
        <v>FES1162508793</v>
      </c>
      <c r="F2194" s="3">
        <v>42667</v>
      </c>
      <c r="G2194" s="2">
        <v>201704</v>
      </c>
      <c r="H2194" s="2" t="s">
        <v>74</v>
      </c>
      <c r="I2194" s="2" t="s">
        <v>75</v>
      </c>
      <c r="J2194" s="2" t="s">
        <v>76</v>
      </c>
      <c r="K2194" s="2" t="s">
        <v>77</v>
      </c>
      <c r="L2194" s="2" t="s">
        <v>171</v>
      </c>
      <c r="M2194" s="2" t="s">
        <v>172</v>
      </c>
      <c r="N2194" s="2" t="s">
        <v>429</v>
      </c>
      <c r="O2194" s="2" t="s">
        <v>96</v>
      </c>
      <c r="P2194" s="2" t="str">
        <f>"2170529584                    "</f>
        <v xml:space="preserve">2170529584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15.76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9.3000000000000007</v>
      </c>
      <c r="BJ2194" s="2">
        <v>3.7</v>
      </c>
      <c r="BK2194" s="2">
        <v>9.5</v>
      </c>
      <c r="BL2194" s="2">
        <v>193.6</v>
      </c>
      <c r="BM2194" s="2">
        <v>27.1</v>
      </c>
      <c r="BN2194" s="2">
        <v>220.7</v>
      </c>
      <c r="BO2194" s="2">
        <v>220.7</v>
      </c>
      <c r="BP2194" s="2"/>
      <c r="BQ2194" s="2" t="s">
        <v>430</v>
      </c>
      <c r="BR2194" s="2" t="s">
        <v>83</v>
      </c>
      <c r="BS2194" s="3">
        <v>42668</v>
      </c>
      <c r="BT2194" s="4">
        <v>0.4201388888888889</v>
      </c>
      <c r="BU2194" s="2" t="s">
        <v>2210</v>
      </c>
      <c r="BV2194" s="2" t="s">
        <v>85</v>
      </c>
      <c r="BW2194" s="2"/>
      <c r="BX2194" s="2"/>
      <c r="BY2194" s="2">
        <v>18328.32</v>
      </c>
      <c r="BZ2194" s="2" t="s">
        <v>27</v>
      </c>
      <c r="CA2194" s="2"/>
      <c r="CB2194" s="2"/>
      <c r="CC2194" s="2" t="s">
        <v>172</v>
      </c>
      <c r="CD2194" s="2">
        <v>6220</v>
      </c>
      <c r="CE2194" s="2" t="s">
        <v>86</v>
      </c>
      <c r="CF2194" s="5">
        <v>42669</v>
      </c>
      <c r="CG2194" s="2"/>
      <c r="CH2194" s="2"/>
      <c r="CI2194" s="2">
        <v>1</v>
      </c>
      <c r="CJ2194" s="2">
        <v>1</v>
      </c>
      <c r="CK2194" s="2">
        <v>21</v>
      </c>
      <c r="CL2194" s="2" t="s">
        <v>88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"FES1162508810"</f>
        <v>FES1162508810</v>
      </c>
      <c r="F2195" s="3">
        <v>42667</v>
      </c>
      <c r="G2195" s="2">
        <v>201704</v>
      </c>
      <c r="H2195" s="2" t="s">
        <v>74</v>
      </c>
      <c r="I2195" s="2" t="s">
        <v>75</v>
      </c>
      <c r="J2195" s="2" t="s">
        <v>76</v>
      </c>
      <c r="K2195" s="2" t="s">
        <v>77</v>
      </c>
      <c r="L2195" s="2" t="s">
        <v>269</v>
      </c>
      <c r="M2195" s="2" t="s">
        <v>270</v>
      </c>
      <c r="N2195" s="2" t="s">
        <v>2211</v>
      </c>
      <c r="O2195" s="2" t="s">
        <v>96</v>
      </c>
      <c r="P2195" s="2" t="str">
        <f>"2170532056                    "</f>
        <v xml:space="preserve">2170532056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5.81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1.9</v>
      </c>
      <c r="BJ2195" s="2">
        <v>3.1</v>
      </c>
      <c r="BK2195" s="2">
        <v>3.5</v>
      </c>
      <c r="BL2195" s="2">
        <v>71.33</v>
      </c>
      <c r="BM2195" s="2">
        <v>9.99</v>
      </c>
      <c r="BN2195" s="2">
        <v>81.319999999999993</v>
      </c>
      <c r="BO2195" s="2">
        <v>81.319999999999993</v>
      </c>
      <c r="BP2195" s="2"/>
      <c r="BQ2195" s="2" t="s">
        <v>91</v>
      </c>
      <c r="BR2195" s="2" t="s">
        <v>83</v>
      </c>
      <c r="BS2195" s="3">
        <v>42668</v>
      </c>
      <c r="BT2195" s="4">
        <v>0.40486111111111112</v>
      </c>
      <c r="BU2195" s="2" t="s">
        <v>2212</v>
      </c>
      <c r="BV2195" s="2" t="s">
        <v>85</v>
      </c>
      <c r="BW2195" s="2"/>
      <c r="BX2195" s="2"/>
      <c r="BY2195" s="2">
        <v>15346.65</v>
      </c>
      <c r="BZ2195" s="2" t="s">
        <v>27</v>
      </c>
      <c r="CA2195" s="2"/>
      <c r="CB2195" s="2"/>
      <c r="CC2195" s="2" t="s">
        <v>270</v>
      </c>
      <c r="CD2195" s="2">
        <v>3610</v>
      </c>
      <c r="CE2195" s="2" t="s">
        <v>368</v>
      </c>
      <c r="CF2195" s="5">
        <v>42669</v>
      </c>
      <c r="CG2195" s="2"/>
      <c r="CH2195" s="2"/>
      <c r="CI2195" s="2">
        <v>1</v>
      </c>
      <c r="CJ2195" s="2">
        <v>1</v>
      </c>
      <c r="CK2195" s="2">
        <v>21</v>
      </c>
      <c r="CL2195" s="2" t="s">
        <v>88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"FES1162508772"</f>
        <v>FES1162508772</v>
      </c>
      <c r="F2196" s="3">
        <v>42667</v>
      </c>
      <c r="G2196" s="2">
        <v>201704</v>
      </c>
      <c r="H2196" s="2" t="s">
        <v>74</v>
      </c>
      <c r="I2196" s="2" t="s">
        <v>75</v>
      </c>
      <c r="J2196" s="2" t="s">
        <v>76</v>
      </c>
      <c r="K2196" s="2" t="s">
        <v>77</v>
      </c>
      <c r="L2196" s="2" t="s">
        <v>160</v>
      </c>
      <c r="M2196" s="2" t="s">
        <v>161</v>
      </c>
      <c r="N2196" s="2" t="s">
        <v>357</v>
      </c>
      <c r="O2196" s="2" t="s">
        <v>96</v>
      </c>
      <c r="P2196" s="2" t="str">
        <f>"2170530829                    "</f>
        <v xml:space="preserve">2170530829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29.85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15.2</v>
      </c>
      <c r="BJ2196" s="2">
        <v>17.899999999999999</v>
      </c>
      <c r="BK2196" s="2">
        <v>18</v>
      </c>
      <c r="BL2196" s="2">
        <v>366.81</v>
      </c>
      <c r="BM2196" s="2">
        <v>51.35</v>
      </c>
      <c r="BN2196" s="2">
        <v>418.16</v>
      </c>
      <c r="BO2196" s="2">
        <v>418.16</v>
      </c>
      <c r="BP2196" s="2"/>
      <c r="BQ2196" s="2" t="s">
        <v>358</v>
      </c>
      <c r="BR2196" s="2" t="s">
        <v>83</v>
      </c>
      <c r="BS2196" s="3">
        <v>42668</v>
      </c>
      <c r="BT2196" s="4">
        <v>0.41666666666666669</v>
      </c>
      <c r="BU2196" s="2" t="s">
        <v>1167</v>
      </c>
      <c r="BV2196" s="2" t="s">
        <v>85</v>
      </c>
      <c r="BW2196" s="2"/>
      <c r="BX2196" s="2"/>
      <c r="BY2196" s="2">
        <v>89582.11</v>
      </c>
      <c r="BZ2196" s="2" t="s">
        <v>27</v>
      </c>
      <c r="CA2196" s="2"/>
      <c r="CB2196" s="2"/>
      <c r="CC2196" s="2" t="s">
        <v>161</v>
      </c>
      <c r="CD2196" s="2">
        <v>7441</v>
      </c>
      <c r="CE2196" s="2" t="s">
        <v>86</v>
      </c>
      <c r="CF2196" s="5">
        <v>42669</v>
      </c>
      <c r="CG2196" s="2"/>
      <c r="CH2196" s="2"/>
      <c r="CI2196" s="2">
        <v>1</v>
      </c>
      <c r="CJ2196" s="2">
        <v>1</v>
      </c>
      <c r="CK2196" s="2">
        <v>21</v>
      </c>
      <c r="CL2196" s="2" t="s">
        <v>88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"FES1162508863"</f>
        <v>FES1162508863</v>
      </c>
      <c r="F2197" s="3">
        <v>42667</v>
      </c>
      <c r="G2197" s="2">
        <v>201704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143</v>
      </c>
      <c r="M2197" s="2" t="s">
        <v>144</v>
      </c>
      <c r="N2197" s="2" t="s">
        <v>369</v>
      </c>
      <c r="O2197" s="2" t="s">
        <v>96</v>
      </c>
      <c r="P2197" s="2" t="str">
        <f>"2170532118                    "</f>
        <v xml:space="preserve">2170532118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5.81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1.8</v>
      </c>
      <c r="BJ2197" s="2">
        <v>3.4</v>
      </c>
      <c r="BK2197" s="2">
        <v>3.5</v>
      </c>
      <c r="BL2197" s="2">
        <v>71.33</v>
      </c>
      <c r="BM2197" s="2">
        <v>9.99</v>
      </c>
      <c r="BN2197" s="2">
        <v>81.319999999999993</v>
      </c>
      <c r="BO2197" s="2">
        <v>81.319999999999993</v>
      </c>
      <c r="BP2197" s="2"/>
      <c r="BQ2197" s="2" t="s">
        <v>91</v>
      </c>
      <c r="BR2197" s="2" t="s">
        <v>83</v>
      </c>
      <c r="BS2197" s="3">
        <v>42668</v>
      </c>
      <c r="BT2197" s="4">
        <v>0.4375</v>
      </c>
      <c r="BU2197" s="2" t="s">
        <v>2013</v>
      </c>
      <c r="BV2197" s="2"/>
      <c r="BW2197" s="2"/>
      <c r="BX2197" s="2"/>
      <c r="BY2197" s="2">
        <v>16802.099999999999</v>
      </c>
      <c r="BZ2197" s="2" t="s">
        <v>27</v>
      </c>
      <c r="CA2197" s="2"/>
      <c r="CB2197" s="2"/>
      <c r="CC2197" s="2" t="s">
        <v>144</v>
      </c>
      <c r="CD2197" s="2">
        <v>5201</v>
      </c>
      <c r="CE2197" s="2" t="s">
        <v>86</v>
      </c>
      <c r="CF2197" s="5">
        <v>42670</v>
      </c>
      <c r="CG2197" s="2"/>
      <c r="CH2197" s="2"/>
      <c r="CI2197" s="2">
        <v>0</v>
      </c>
      <c r="CJ2197" s="2">
        <v>0</v>
      </c>
      <c r="CK2197" s="2">
        <v>21</v>
      </c>
      <c r="CL2197" s="2" t="s">
        <v>88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"FES1162508778"</f>
        <v>FES1162508778</v>
      </c>
      <c r="F2198" s="3">
        <v>42667</v>
      </c>
      <c r="G2198" s="2">
        <v>201704</v>
      </c>
      <c r="H2198" s="2" t="s">
        <v>74</v>
      </c>
      <c r="I2198" s="2" t="s">
        <v>75</v>
      </c>
      <c r="J2198" s="2" t="s">
        <v>76</v>
      </c>
      <c r="K2198" s="2" t="s">
        <v>77</v>
      </c>
      <c r="L2198" s="2" t="s">
        <v>148</v>
      </c>
      <c r="M2198" s="2" t="s">
        <v>149</v>
      </c>
      <c r="N2198" s="2" t="s">
        <v>312</v>
      </c>
      <c r="O2198" s="2" t="s">
        <v>96</v>
      </c>
      <c r="P2198" s="2" t="str">
        <f>"2170528872                    "</f>
        <v xml:space="preserve">2170528872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46.44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27.6</v>
      </c>
      <c r="BJ2198" s="2">
        <v>11.4</v>
      </c>
      <c r="BK2198" s="2">
        <v>28</v>
      </c>
      <c r="BL2198" s="2">
        <v>570.6</v>
      </c>
      <c r="BM2198" s="2">
        <v>79.88</v>
      </c>
      <c r="BN2198" s="2">
        <v>650.48</v>
      </c>
      <c r="BO2198" s="2">
        <v>650.48</v>
      </c>
      <c r="BP2198" s="2"/>
      <c r="BQ2198" s="2" t="s">
        <v>117</v>
      </c>
      <c r="BR2198" s="2" t="s">
        <v>83</v>
      </c>
      <c r="BS2198" s="3">
        <v>42668</v>
      </c>
      <c r="BT2198" s="4">
        <v>0.4375</v>
      </c>
      <c r="BU2198" s="2" t="s">
        <v>2213</v>
      </c>
      <c r="BV2198" s="2"/>
      <c r="BW2198" s="2"/>
      <c r="BX2198" s="2"/>
      <c r="BY2198" s="2">
        <v>56798.83</v>
      </c>
      <c r="BZ2198" s="2" t="s">
        <v>27</v>
      </c>
      <c r="CA2198" s="2"/>
      <c r="CB2198" s="2"/>
      <c r="CC2198" s="2" t="s">
        <v>149</v>
      </c>
      <c r="CD2198" s="2">
        <v>4001</v>
      </c>
      <c r="CE2198" s="2" t="s">
        <v>368</v>
      </c>
      <c r="CF2198" s="5">
        <v>42670</v>
      </c>
      <c r="CG2198" s="2"/>
      <c r="CH2198" s="2"/>
      <c r="CI2198" s="2">
        <v>0</v>
      </c>
      <c r="CJ2198" s="2">
        <v>0</v>
      </c>
      <c r="CK2198" s="2">
        <v>21</v>
      </c>
      <c r="CL2198" s="2" t="s">
        <v>88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"FES1162508865"</f>
        <v>FES1162508865</v>
      </c>
      <c r="F2199" s="3">
        <v>42667</v>
      </c>
      <c r="G2199" s="2">
        <v>201704</v>
      </c>
      <c r="H2199" s="2" t="s">
        <v>74</v>
      </c>
      <c r="I2199" s="2" t="s">
        <v>75</v>
      </c>
      <c r="J2199" s="2" t="s">
        <v>76</v>
      </c>
      <c r="K2199" s="2" t="s">
        <v>77</v>
      </c>
      <c r="L2199" s="2" t="s">
        <v>98</v>
      </c>
      <c r="M2199" s="2" t="s">
        <v>99</v>
      </c>
      <c r="N2199" s="2" t="s">
        <v>1011</v>
      </c>
      <c r="O2199" s="2" t="s">
        <v>96</v>
      </c>
      <c r="P2199" s="2" t="str">
        <f>"2170531128                    "</f>
        <v xml:space="preserve">2170531128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46.44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2</v>
      </c>
      <c r="BI2199" s="2">
        <v>27.9</v>
      </c>
      <c r="BJ2199" s="2">
        <v>20</v>
      </c>
      <c r="BK2199" s="2">
        <v>28</v>
      </c>
      <c r="BL2199" s="2">
        <v>570.6</v>
      </c>
      <c r="BM2199" s="2">
        <v>79.88</v>
      </c>
      <c r="BN2199" s="2">
        <v>650.48</v>
      </c>
      <c r="BO2199" s="2">
        <v>650.48</v>
      </c>
      <c r="BP2199" s="2"/>
      <c r="BQ2199" s="2" t="s">
        <v>117</v>
      </c>
      <c r="BR2199" s="2" t="s">
        <v>83</v>
      </c>
      <c r="BS2199" s="3">
        <v>42668</v>
      </c>
      <c r="BT2199" s="4">
        <v>0.41597222222222219</v>
      </c>
      <c r="BU2199" s="2" t="s">
        <v>1275</v>
      </c>
      <c r="BV2199" s="2" t="s">
        <v>85</v>
      </c>
      <c r="BW2199" s="2"/>
      <c r="BX2199" s="2"/>
      <c r="BY2199" s="2">
        <v>100071.67999999999</v>
      </c>
      <c r="BZ2199" s="2" t="s">
        <v>27</v>
      </c>
      <c r="CA2199" s="2"/>
      <c r="CB2199" s="2"/>
      <c r="CC2199" s="2" t="s">
        <v>99</v>
      </c>
      <c r="CD2199" s="2">
        <v>6001</v>
      </c>
      <c r="CE2199" s="2" t="s">
        <v>368</v>
      </c>
      <c r="CF2199" s="5">
        <v>42669</v>
      </c>
      <c r="CG2199" s="2"/>
      <c r="CH2199" s="2"/>
      <c r="CI2199" s="2">
        <v>1</v>
      </c>
      <c r="CJ2199" s="2">
        <v>1</v>
      </c>
      <c r="CK2199" s="2">
        <v>21</v>
      </c>
      <c r="CL2199" s="2" t="s">
        <v>88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"FES1162508858"</f>
        <v>FES1162508858</v>
      </c>
      <c r="F2200" s="3">
        <v>42667</v>
      </c>
      <c r="G2200" s="2">
        <v>201704</v>
      </c>
      <c r="H2200" s="2" t="s">
        <v>74</v>
      </c>
      <c r="I2200" s="2" t="s">
        <v>75</v>
      </c>
      <c r="J2200" s="2" t="s">
        <v>76</v>
      </c>
      <c r="K2200" s="2" t="s">
        <v>77</v>
      </c>
      <c r="L2200" s="2" t="s">
        <v>98</v>
      </c>
      <c r="M2200" s="2" t="s">
        <v>99</v>
      </c>
      <c r="N2200" s="2" t="s">
        <v>369</v>
      </c>
      <c r="O2200" s="2" t="s">
        <v>96</v>
      </c>
      <c r="P2200" s="2" t="str">
        <f>"2170532098                    "</f>
        <v xml:space="preserve">2170532098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3.32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1</v>
      </c>
      <c r="BJ2200" s="2">
        <v>0.2</v>
      </c>
      <c r="BK2200" s="2">
        <v>1</v>
      </c>
      <c r="BL2200" s="2">
        <v>40.76</v>
      </c>
      <c r="BM2200" s="2">
        <v>5.71</v>
      </c>
      <c r="BN2200" s="2">
        <v>46.47</v>
      </c>
      <c r="BO2200" s="2">
        <v>46.47</v>
      </c>
      <c r="BP2200" s="2"/>
      <c r="BQ2200" s="2" t="s">
        <v>370</v>
      </c>
      <c r="BR2200" s="2" t="s">
        <v>83</v>
      </c>
      <c r="BS2200" s="3">
        <v>42668</v>
      </c>
      <c r="BT2200" s="4">
        <v>0.54166666666666663</v>
      </c>
      <c r="BU2200" s="2" t="s">
        <v>2214</v>
      </c>
      <c r="BV2200" s="2" t="s">
        <v>88</v>
      </c>
      <c r="BW2200" s="2" t="s">
        <v>277</v>
      </c>
      <c r="BX2200" s="2" t="s">
        <v>1683</v>
      </c>
      <c r="BY2200" s="2">
        <v>1200</v>
      </c>
      <c r="BZ2200" s="2" t="s">
        <v>27</v>
      </c>
      <c r="CA2200" s="2"/>
      <c r="CB2200" s="2"/>
      <c r="CC2200" s="2" t="s">
        <v>99</v>
      </c>
      <c r="CD2200" s="2">
        <v>6001</v>
      </c>
      <c r="CE2200" s="2" t="s">
        <v>108</v>
      </c>
      <c r="CF2200" s="5">
        <v>42669</v>
      </c>
      <c r="CG2200" s="2"/>
      <c r="CH2200" s="2"/>
      <c r="CI2200" s="2">
        <v>1</v>
      </c>
      <c r="CJ2200" s="2">
        <v>1</v>
      </c>
      <c r="CK2200" s="2">
        <v>21</v>
      </c>
      <c r="CL2200" s="2" t="s">
        <v>88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"FES1162508846"</f>
        <v>FES1162508846</v>
      </c>
      <c r="F2201" s="3">
        <v>42667</v>
      </c>
      <c r="G2201" s="2">
        <v>201704</v>
      </c>
      <c r="H2201" s="2" t="s">
        <v>74</v>
      </c>
      <c r="I2201" s="2" t="s">
        <v>75</v>
      </c>
      <c r="J2201" s="2" t="s">
        <v>76</v>
      </c>
      <c r="K2201" s="2" t="s">
        <v>77</v>
      </c>
      <c r="L2201" s="2" t="s">
        <v>207</v>
      </c>
      <c r="M2201" s="2" t="s">
        <v>208</v>
      </c>
      <c r="N2201" s="2" t="s">
        <v>2144</v>
      </c>
      <c r="O2201" s="2" t="s">
        <v>96</v>
      </c>
      <c r="P2201" s="2" t="str">
        <f>"2170532090                    "</f>
        <v xml:space="preserve">2170532090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3.32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1</v>
      </c>
      <c r="BJ2201" s="2">
        <v>0.2</v>
      </c>
      <c r="BK2201" s="2">
        <v>1</v>
      </c>
      <c r="BL2201" s="2">
        <v>40.76</v>
      </c>
      <c r="BM2201" s="2">
        <v>5.71</v>
      </c>
      <c r="BN2201" s="2">
        <v>46.47</v>
      </c>
      <c r="BO2201" s="2">
        <v>46.47</v>
      </c>
      <c r="BP2201" s="2"/>
      <c r="BQ2201" s="2"/>
      <c r="BR2201" s="2" t="s">
        <v>83</v>
      </c>
      <c r="BS2201" s="3">
        <v>42668</v>
      </c>
      <c r="BT2201" s="4">
        <v>0.4375</v>
      </c>
      <c r="BU2201" s="2" t="s">
        <v>2215</v>
      </c>
      <c r="BV2201" s="2" t="s">
        <v>85</v>
      </c>
      <c r="BW2201" s="2"/>
      <c r="BX2201" s="2"/>
      <c r="BY2201" s="2">
        <v>1200</v>
      </c>
      <c r="BZ2201" s="2" t="s">
        <v>27</v>
      </c>
      <c r="CA2201" s="2"/>
      <c r="CB2201" s="2"/>
      <c r="CC2201" s="2" t="s">
        <v>208</v>
      </c>
      <c r="CD2201" s="2">
        <v>4133</v>
      </c>
      <c r="CE2201" s="2" t="s">
        <v>108</v>
      </c>
      <c r="CF2201" s="5">
        <v>42669</v>
      </c>
      <c r="CG2201" s="2"/>
      <c r="CH2201" s="2"/>
      <c r="CI2201" s="2">
        <v>1</v>
      </c>
      <c r="CJ2201" s="2">
        <v>1</v>
      </c>
      <c r="CK2201" s="2">
        <v>21</v>
      </c>
      <c r="CL2201" s="2" t="s">
        <v>88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"FES1162508813"</f>
        <v>FES1162508813</v>
      </c>
      <c r="F2202" s="3">
        <v>42667</v>
      </c>
      <c r="G2202" s="2">
        <v>201704</v>
      </c>
      <c r="H2202" s="2" t="s">
        <v>74</v>
      </c>
      <c r="I2202" s="2" t="s">
        <v>75</v>
      </c>
      <c r="J2202" s="2" t="s">
        <v>76</v>
      </c>
      <c r="K2202" s="2" t="s">
        <v>77</v>
      </c>
      <c r="L2202" s="2" t="s">
        <v>137</v>
      </c>
      <c r="M2202" s="2" t="s">
        <v>138</v>
      </c>
      <c r="N2202" s="2" t="s">
        <v>526</v>
      </c>
      <c r="O2202" s="2" t="s">
        <v>96</v>
      </c>
      <c r="P2202" s="2" t="str">
        <f>"2170532033                    "</f>
        <v xml:space="preserve">2170532033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3.32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</v>
      </c>
      <c r="BJ2202" s="2">
        <v>0.2</v>
      </c>
      <c r="BK2202" s="2">
        <v>1</v>
      </c>
      <c r="BL2202" s="2">
        <v>40.76</v>
      </c>
      <c r="BM2202" s="2">
        <v>5.71</v>
      </c>
      <c r="BN2202" s="2">
        <v>46.47</v>
      </c>
      <c r="BO2202" s="2">
        <v>46.47</v>
      </c>
      <c r="BP2202" s="2"/>
      <c r="BQ2202" s="2" t="s">
        <v>117</v>
      </c>
      <c r="BR2202" s="2" t="s">
        <v>83</v>
      </c>
      <c r="BS2202" s="3">
        <v>42668</v>
      </c>
      <c r="BT2202" s="4">
        <v>0.4236111111111111</v>
      </c>
      <c r="BU2202" s="2" t="s">
        <v>1090</v>
      </c>
      <c r="BV2202" s="2"/>
      <c r="BW2202" s="2"/>
      <c r="BX2202" s="2"/>
      <c r="BY2202" s="2">
        <v>1200</v>
      </c>
      <c r="BZ2202" s="2" t="s">
        <v>27</v>
      </c>
      <c r="CA2202" s="2" t="s">
        <v>1091</v>
      </c>
      <c r="CB2202" s="2"/>
      <c r="CC2202" s="2" t="s">
        <v>138</v>
      </c>
      <c r="CD2202" s="2">
        <v>3201</v>
      </c>
      <c r="CE2202" s="2" t="s">
        <v>108</v>
      </c>
      <c r="CF2202" s="5">
        <v>42668</v>
      </c>
      <c r="CG2202" s="2"/>
      <c r="CH2202" s="2"/>
      <c r="CI2202" s="2">
        <v>0</v>
      </c>
      <c r="CJ2202" s="2">
        <v>0</v>
      </c>
      <c r="CK2202" s="2">
        <v>21</v>
      </c>
      <c r="CL2202" s="2" t="s">
        <v>88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"FES1162508816"</f>
        <v>FES1162508816</v>
      </c>
      <c r="F2203" s="3">
        <v>42667</v>
      </c>
      <c r="G2203" s="2">
        <v>201704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148</v>
      </c>
      <c r="M2203" s="2" t="s">
        <v>149</v>
      </c>
      <c r="N2203" s="2" t="s">
        <v>473</v>
      </c>
      <c r="O2203" s="2" t="s">
        <v>96</v>
      </c>
      <c r="P2203" s="2" t="str">
        <f>"2170532064                    "</f>
        <v xml:space="preserve">2170532064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3.32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1</v>
      </c>
      <c r="BJ2203" s="2">
        <v>0.2</v>
      </c>
      <c r="BK2203" s="2">
        <v>1</v>
      </c>
      <c r="BL2203" s="2">
        <v>40.76</v>
      </c>
      <c r="BM2203" s="2">
        <v>5.71</v>
      </c>
      <c r="BN2203" s="2">
        <v>46.47</v>
      </c>
      <c r="BO2203" s="2">
        <v>46.47</v>
      </c>
      <c r="BP2203" s="2"/>
      <c r="BQ2203" s="2" t="s">
        <v>117</v>
      </c>
      <c r="BR2203" s="2" t="s">
        <v>83</v>
      </c>
      <c r="BS2203" s="3">
        <v>42668</v>
      </c>
      <c r="BT2203" s="4">
        <v>0.4375</v>
      </c>
      <c r="BU2203" s="2" t="s">
        <v>2216</v>
      </c>
      <c r="BV2203" s="2" t="s">
        <v>85</v>
      </c>
      <c r="BW2203" s="2"/>
      <c r="BX2203" s="2"/>
      <c r="BY2203" s="2">
        <v>1200</v>
      </c>
      <c r="BZ2203" s="2" t="s">
        <v>27</v>
      </c>
      <c r="CA2203" s="2"/>
      <c r="CB2203" s="2"/>
      <c r="CC2203" s="2" t="s">
        <v>149</v>
      </c>
      <c r="CD2203" s="2">
        <v>4052</v>
      </c>
      <c r="CE2203" s="2" t="s">
        <v>108</v>
      </c>
      <c r="CF2203" s="5">
        <v>42669</v>
      </c>
      <c r="CG2203" s="2"/>
      <c r="CH2203" s="2"/>
      <c r="CI2203" s="2">
        <v>1</v>
      </c>
      <c r="CJ2203" s="2">
        <v>1</v>
      </c>
      <c r="CK2203" s="2">
        <v>21</v>
      </c>
      <c r="CL2203" s="2" t="s">
        <v>88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"FES1162508842"</f>
        <v>FES1162508842</v>
      </c>
      <c r="F2204" s="3">
        <v>42667</v>
      </c>
      <c r="G2204" s="2">
        <v>201704</v>
      </c>
      <c r="H2204" s="2" t="s">
        <v>74</v>
      </c>
      <c r="I2204" s="2" t="s">
        <v>75</v>
      </c>
      <c r="J2204" s="2" t="s">
        <v>76</v>
      </c>
      <c r="K2204" s="2" t="s">
        <v>77</v>
      </c>
      <c r="L2204" s="2" t="s">
        <v>137</v>
      </c>
      <c r="M2204" s="2" t="s">
        <v>138</v>
      </c>
      <c r="N2204" s="2" t="s">
        <v>291</v>
      </c>
      <c r="O2204" s="2" t="s">
        <v>96</v>
      </c>
      <c r="P2204" s="2" t="str">
        <f>"2170532060                    "</f>
        <v xml:space="preserve">2170532060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3.32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0.8</v>
      </c>
      <c r="BJ2204" s="2">
        <v>1</v>
      </c>
      <c r="BK2204" s="2">
        <v>1</v>
      </c>
      <c r="BL2204" s="2">
        <v>40.76</v>
      </c>
      <c r="BM2204" s="2">
        <v>5.71</v>
      </c>
      <c r="BN2204" s="2">
        <v>46.47</v>
      </c>
      <c r="BO2204" s="2">
        <v>46.47</v>
      </c>
      <c r="BP2204" s="2"/>
      <c r="BQ2204" s="2" t="s">
        <v>117</v>
      </c>
      <c r="BR2204" s="2" t="s">
        <v>83</v>
      </c>
      <c r="BS2204" s="3">
        <v>42668</v>
      </c>
      <c r="BT2204" s="4">
        <v>0.4145833333333333</v>
      </c>
      <c r="BU2204" s="2" t="s">
        <v>2217</v>
      </c>
      <c r="BV2204" s="2"/>
      <c r="BW2204" s="2"/>
      <c r="BX2204" s="2"/>
      <c r="BY2204" s="2">
        <v>4963.2</v>
      </c>
      <c r="BZ2204" s="2" t="s">
        <v>27</v>
      </c>
      <c r="CA2204" s="2" t="s">
        <v>205</v>
      </c>
      <c r="CB2204" s="2"/>
      <c r="CC2204" s="2" t="s">
        <v>138</v>
      </c>
      <c r="CD2204" s="2">
        <v>3201</v>
      </c>
      <c r="CE2204" s="2" t="s">
        <v>86</v>
      </c>
      <c r="CF2204" s="5">
        <v>42668</v>
      </c>
      <c r="CG2204" s="2"/>
      <c r="CH2204" s="2"/>
      <c r="CI2204" s="2">
        <v>0</v>
      </c>
      <c r="CJ2204" s="2">
        <v>0</v>
      </c>
      <c r="CK2204" s="2">
        <v>21</v>
      </c>
      <c r="CL2204" s="2" t="s">
        <v>88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"FES1162508881"</f>
        <v>FES1162508881</v>
      </c>
      <c r="F2205" s="3">
        <v>42667</v>
      </c>
      <c r="G2205" s="2">
        <v>201704</v>
      </c>
      <c r="H2205" s="2" t="s">
        <v>74</v>
      </c>
      <c r="I2205" s="2" t="s">
        <v>75</v>
      </c>
      <c r="J2205" s="2" t="s">
        <v>76</v>
      </c>
      <c r="K2205" s="2" t="s">
        <v>77</v>
      </c>
      <c r="L2205" s="2" t="s">
        <v>171</v>
      </c>
      <c r="M2205" s="2" t="s">
        <v>172</v>
      </c>
      <c r="N2205" s="2" t="s">
        <v>429</v>
      </c>
      <c r="O2205" s="2" t="s">
        <v>96</v>
      </c>
      <c r="P2205" s="2" t="str">
        <f>"2170532119                    "</f>
        <v xml:space="preserve">2170532119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3.32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</v>
      </c>
      <c r="BJ2205" s="2">
        <v>0.2</v>
      </c>
      <c r="BK2205" s="2">
        <v>1</v>
      </c>
      <c r="BL2205" s="2">
        <v>40.76</v>
      </c>
      <c r="BM2205" s="2">
        <v>5.71</v>
      </c>
      <c r="BN2205" s="2">
        <v>46.47</v>
      </c>
      <c r="BO2205" s="2">
        <v>46.47</v>
      </c>
      <c r="BP2205" s="2"/>
      <c r="BQ2205" s="2" t="s">
        <v>430</v>
      </c>
      <c r="BR2205" s="2" t="s">
        <v>83</v>
      </c>
      <c r="BS2205" s="3">
        <v>42668</v>
      </c>
      <c r="BT2205" s="4">
        <v>0.5395833333333333</v>
      </c>
      <c r="BU2205" s="2" t="s">
        <v>431</v>
      </c>
      <c r="BV2205" s="2" t="s">
        <v>88</v>
      </c>
      <c r="BW2205" s="2" t="s">
        <v>222</v>
      </c>
      <c r="BX2205" s="2" t="s">
        <v>250</v>
      </c>
      <c r="BY2205" s="2">
        <v>1200</v>
      </c>
      <c r="BZ2205" s="2" t="s">
        <v>27</v>
      </c>
      <c r="CA2205" s="2"/>
      <c r="CB2205" s="2"/>
      <c r="CC2205" s="2" t="s">
        <v>172</v>
      </c>
      <c r="CD2205" s="2">
        <v>6220</v>
      </c>
      <c r="CE2205" s="2" t="s">
        <v>108</v>
      </c>
      <c r="CF2205" s="5">
        <v>42669</v>
      </c>
      <c r="CG2205" s="2"/>
      <c r="CH2205" s="2"/>
      <c r="CI2205" s="2">
        <v>1</v>
      </c>
      <c r="CJ2205" s="2">
        <v>1</v>
      </c>
      <c r="CK2205" s="2">
        <v>21</v>
      </c>
      <c r="CL2205" s="2" t="s">
        <v>88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"FES1162508833"</f>
        <v>FES1162508833</v>
      </c>
      <c r="F2206" s="3">
        <v>42667</v>
      </c>
      <c r="G2206" s="2">
        <v>201704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137</v>
      </c>
      <c r="M2206" s="2" t="s">
        <v>138</v>
      </c>
      <c r="N2206" s="2" t="s">
        <v>420</v>
      </c>
      <c r="O2206" s="2" t="s">
        <v>96</v>
      </c>
      <c r="P2206" s="2" t="str">
        <f>"2170532065                    "</f>
        <v xml:space="preserve">2170532065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4.1500000000000004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1.2</v>
      </c>
      <c r="BJ2206" s="2">
        <v>2.4</v>
      </c>
      <c r="BK2206" s="2">
        <v>2.5</v>
      </c>
      <c r="BL2206" s="2">
        <v>50.95</v>
      </c>
      <c r="BM2206" s="2">
        <v>7.13</v>
      </c>
      <c r="BN2206" s="2">
        <v>58.08</v>
      </c>
      <c r="BO2206" s="2">
        <v>58.08</v>
      </c>
      <c r="BP2206" s="2"/>
      <c r="BQ2206" s="2" t="s">
        <v>117</v>
      </c>
      <c r="BR2206" s="2" t="s">
        <v>83</v>
      </c>
      <c r="BS2206" s="3">
        <v>42668</v>
      </c>
      <c r="BT2206" s="4">
        <v>0.38819444444444445</v>
      </c>
      <c r="BU2206" s="2" t="s">
        <v>720</v>
      </c>
      <c r="BV2206" s="2" t="s">
        <v>85</v>
      </c>
      <c r="BW2206" s="2"/>
      <c r="BX2206" s="2"/>
      <c r="BY2206" s="2">
        <v>11939.75</v>
      </c>
      <c r="BZ2206" s="2" t="s">
        <v>27</v>
      </c>
      <c r="CA2206" s="2" t="s">
        <v>613</v>
      </c>
      <c r="CB2206" s="2"/>
      <c r="CC2206" s="2" t="s">
        <v>138</v>
      </c>
      <c r="CD2206" s="2">
        <v>3201</v>
      </c>
      <c r="CE2206" s="2" t="s">
        <v>368</v>
      </c>
      <c r="CF2206" s="5">
        <v>42668</v>
      </c>
      <c r="CG2206" s="2"/>
      <c r="CH2206" s="2"/>
      <c r="CI2206" s="2">
        <v>1</v>
      </c>
      <c r="CJ2206" s="2">
        <v>1</v>
      </c>
      <c r="CK2206" s="2">
        <v>21</v>
      </c>
      <c r="CL2206" s="2" t="s">
        <v>88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"FES1162508852"</f>
        <v>FES1162508852</v>
      </c>
      <c r="F2207" s="3">
        <v>42667</v>
      </c>
      <c r="G2207" s="2">
        <v>201704</v>
      </c>
      <c r="H2207" s="2" t="s">
        <v>74</v>
      </c>
      <c r="I2207" s="2" t="s">
        <v>75</v>
      </c>
      <c r="J2207" s="2" t="s">
        <v>76</v>
      </c>
      <c r="K2207" s="2" t="s">
        <v>77</v>
      </c>
      <c r="L2207" s="2" t="s">
        <v>1954</v>
      </c>
      <c r="M2207" s="2" t="s">
        <v>1955</v>
      </c>
      <c r="N2207" s="2" t="s">
        <v>1296</v>
      </c>
      <c r="O2207" s="2" t="s">
        <v>96</v>
      </c>
      <c r="P2207" s="2" t="str">
        <f>"2170532102                    "</f>
        <v xml:space="preserve">2170532102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7.88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2.2999999999999998</v>
      </c>
      <c r="BJ2207" s="2">
        <v>0.9</v>
      </c>
      <c r="BK2207" s="2">
        <v>2.5</v>
      </c>
      <c r="BL2207" s="2">
        <v>96.8</v>
      </c>
      <c r="BM2207" s="2">
        <v>13.55</v>
      </c>
      <c r="BN2207" s="2">
        <v>110.35</v>
      </c>
      <c r="BO2207" s="2">
        <v>110.35</v>
      </c>
      <c r="BP2207" s="2"/>
      <c r="BQ2207" s="2" t="s">
        <v>117</v>
      </c>
      <c r="BR2207" s="2" t="s">
        <v>83</v>
      </c>
      <c r="BS2207" s="3">
        <v>42668</v>
      </c>
      <c r="BT2207" s="4">
        <v>0.54166666666666663</v>
      </c>
      <c r="BU2207" s="2" t="s">
        <v>2218</v>
      </c>
      <c r="BV2207" s="2" t="s">
        <v>85</v>
      </c>
      <c r="BW2207" s="2"/>
      <c r="BX2207" s="2"/>
      <c r="BY2207" s="2">
        <v>4491.01</v>
      </c>
      <c r="BZ2207" s="2" t="s">
        <v>27</v>
      </c>
      <c r="CA2207" s="2"/>
      <c r="CB2207" s="2"/>
      <c r="CC2207" s="2" t="s">
        <v>1955</v>
      </c>
      <c r="CD2207" s="2">
        <v>4240</v>
      </c>
      <c r="CE2207" s="2" t="s">
        <v>368</v>
      </c>
      <c r="CF2207" s="5">
        <v>42670</v>
      </c>
      <c r="CG2207" s="2"/>
      <c r="CH2207" s="2"/>
      <c r="CI2207" s="2">
        <v>1</v>
      </c>
      <c r="CJ2207" s="2">
        <v>1</v>
      </c>
      <c r="CK2207" s="2">
        <v>23</v>
      </c>
      <c r="CL2207" s="2" t="s">
        <v>88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"FES1162508675"</f>
        <v>FES1162508675</v>
      </c>
      <c r="F2208" s="3">
        <v>42667</v>
      </c>
      <c r="G2208" s="2">
        <v>201704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98</v>
      </c>
      <c r="M2208" s="2" t="s">
        <v>99</v>
      </c>
      <c r="N2208" s="2" t="s">
        <v>894</v>
      </c>
      <c r="O2208" s="2" t="s">
        <v>96</v>
      </c>
      <c r="P2208" s="2" t="str">
        <f>"2170529614                    "</f>
        <v xml:space="preserve">2170529614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3.32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1</v>
      </c>
      <c r="BJ2208" s="2">
        <v>0.2</v>
      </c>
      <c r="BK2208" s="2">
        <v>1</v>
      </c>
      <c r="BL2208" s="2">
        <v>40.76</v>
      </c>
      <c r="BM2208" s="2">
        <v>5.71</v>
      </c>
      <c r="BN2208" s="2">
        <v>46.47</v>
      </c>
      <c r="BO2208" s="2">
        <v>46.47</v>
      </c>
      <c r="BP2208" s="2"/>
      <c r="BQ2208" s="2" t="s">
        <v>895</v>
      </c>
      <c r="BR2208" s="2" t="s">
        <v>83</v>
      </c>
      <c r="BS2208" s="3">
        <v>42668</v>
      </c>
      <c r="BT2208" s="4">
        <v>0.30624999999999997</v>
      </c>
      <c r="BU2208" s="2" t="s">
        <v>2198</v>
      </c>
      <c r="BV2208" s="2" t="s">
        <v>85</v>
      </c>
      <c r="BW2208" s="2"/>
      <c r="BX2208" s="2"/>
      <c r="BY2208" s="2">
        <v>1200</v>
      </c>
      <c r="BZ2208" s="2" t="s">
        <v>27</v>
      </c>
      <c r="CA2208" s="2"/>
      <c r="CB2208" s="2"/>
      <c r="CC2208" s="2" t="s">
        <v>99</v>
      </c>
      <c r="CD2208" s="2">
        <v>6012</v>
      </c>
      <c r="CE2208" s="2" t="s">
        <v>108</v>
      </c>
      <c r="CF2208" s="5">
        <v>42669</v>
      </c>
      <c r="CG2208" s="2"/>
      <c r="CH2208" s="2"/>
      <c r="CI2208" s="2">
        <v>1</v>
      </c>
      <c r="CJ2208" s="2">
        <v>1</v>
      </c>
      <c r="CK2208" s="2">
        <v>21</v>
      </c>
      <c r="CL2208" s="2" t="s">
        <v>88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"FES1162508656"</f>
        <v>FES1162508656</v>
      </c>
      <c r="F2209" s="3">
        <v>42667</v>
      </c>
      <c r="G2209" s="2">
        <v>201704</v>
      </c>
      <c r="H2209" s="2" t="s">
        <v>74</v>
      </c>
      <c r="I2209" s="2" t="s">
        <v>75</v>
      </c>
      <c r="J2209" s="2" t="s">
        <v>76</v>
      </c>
      <c r="K2209" s="2" t="s">
        <v>77</v>
      </c>
      <c r="L2209" s="2" t="s">
        <v>143</v>
      </c>
      <c r="M2209" s="2" t="s">
        <v>144</v>
      </c>
      <c r="N2209" s="2" t="s">
        <v>216</v>
      </c>
      <c r="O2209" s="2" t="s">
        <v>96</v>
      </c>
      <c r="P2209" s="2" t="str">
        <f>"2170531807                    "</f>
        <v xml:space="preserve">2170531807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3.32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1</v>
      </c>
      <c r="BJ2209" s="2">
        <v>0.2</v>
      </c>
      <c r="BK2209" s="2">
        <v>1</v>
      </c>
      <c r="BL2209" s="2">
        <v>40.76</v>
      </c>
      <c r="BM2209" s="2">
        <v>5.71</v>
      </c>
      <c r="BN2209" s="2">
        <v>46.47</v>
      </c>
      <c r="BO2209" s="2">
        <v>46.47</v>
      </c>
      <c r="BP2209" s="2"/>
      <c r="BQ2209" s="2" t="s">
        <v>91</v>
      </c>
      <c r="BR2209" s="2" t="s">
        <v>83</v>
      </c>
      <c r="BS2209" s="3">
        <v>42669</v>
      </c>
      <c r="BT2209" s="4">
        <v>0.41666666666666669</v>
      </c>
      <c r="BU2209" s="2" t="s">
        <v>706</v>
      </c>
      <c r="BV2209" s="2" t="s">
        <v>88</v>
      </c>
      <c r="BW2209" s="2" t="s">
        <v>277</v>
      </c>
      <c r="BX2209" s="2" t="s">
        <v>278</v>
      </c>
      <c r="BY2209" s="2">
        <v>1200</v>
      </c>
      <c r="BZ2209" s="2" t="s">
        <v>27</v>
      </c>
      <c r="CA2209" s="2"/>
      <c r="CB2209" s="2"/>
      <c r="CC2209" s="2" t="s">
        <v>144</v>
      </c>
      <c r="CD2209" s="2">
        <v>5201</v>
      </c>
      <c r="CE2209" s="2" t="s">
        <v>108</v>
      </c>
      <c r="CF2209" s="5">
        <v>42671</v>
      </c>
      <c r="CG2209" s="2"/>
      <c r="CH2209" s="2"/>
      <c r="CI2209" s="2">
        <v>1</v>
      </c>
      <c r="CJ2209" s="2">
        <v>2</v>
      </c>
      <c r="CK2209" s="2">
        <v>21</v>
      </c>
      <c r="CL2209" s="2" t="s">
        <v>88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"FES1162508685"</f>
        <v>FES1162508685</v>
      </c>
      <c r="F2210" s="3">
        <v>42667</v>
      </c>
      <c r="G2210" s="2">
        <v>201704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98</v>
      </c>
      <c r="M2210" s="2" t="s">
        <v>99</v>
      </c>
      <c r="N2210" s="2" t="s">
        <v>104</v>
      </c>
      <c r="O2210" s="2" t="s">
        <v>96</v>
      </c>
      <c r="P2210" s="2" t="str">
        <f>"2170529806                    "</f>
        <v xml:space="preserve">2170529806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3.32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</v>
      </c>
      <c r="BJ2210" s="2">
        <v>0.2</v>
      </c>
      <c r="BK2210" s="2">
        <v>1</v>
      </c>
      <c r="BL2210" s="2">
        <v>40.76</v>
      </c>
      <c r="BM2210" s="2">
        <v>5.71</v>
      </c>
      <c r="BN2210" s="2">
        <v>46.47</v>
      </c>
      <c r="BO2210" s="2">
        <v>46.47</v>
      </c>
      <c r="BP2210" s="2"/>
      <c r="BQ2210" s="2" t="s">
        <v>105</v>
      </c>
      <c r="BR2210" s="2" t="s">
        <v>83</v>
      </c>
      <c r="BS2210" s="3">
        <v>42668</v>
      </c>
      <c r="BT2210" s="4">
        <v>0.58194444444444449</v>
      </c>
      <c r="BU2210" s="2" t="s">
        <v>105</v>
      </c>
      <c r="BV2210" s="2" t="s">
        <v>88</v>
      </c>
      <c r="BW2210" s="2" t="s">
        <v>277</v>
      </c>
      <c r="BX2210" s="2" t="s">
        <v>1683</v>
      </c>
      <c r="BY2210" s="2">
        <v>1200</v>
      </c>
      <c r="BZ2210" s="2" t="s">
        <v>27</v>
      </c>
      <c r="CA2210" s="2"/>
      <c r="CB2210" s="2"/>
      <c r="CC2210" s="2" t="s">
        <v>99</v>
      </c>
      <c r="CD2210" s="2">
        <v>6001</v>
      </c>
      <c r="CE2210" s="2" t="s">
        <v>108</v>
      </c>
      <c r="CF2210" s="5">
        <v>42669</v>
      </c>
      <c r="CG2210" s="2"/>
      <c r="CH2210" s="2"/>
      <c r="CI2210" s="2">
        <v>1</v>
      </c>
      <c r="CJ2210" s="2">
        <v>1</v>
      </c>
      <c r="CK2210" s="2">
        <v>21</v>
      </c>
      <c r="CL2210" s="2" t="s">
        <v>88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"FES1162508676"</f>
        <v>FES1162508676</v>
      </c>
      <c r="F2211" s="3">
        <v>42667</v>
      </c>
      <c r="G2211" s="2">
        <v>201704</v>
      </c>
      <c r="H2211" s="2" t="s">
        <v>74</v>
      </c>
      <c r="I2211" s="2" t="s">
        <v>75</v>
      </c>
      <c r="J2211" s="2" t="s">
        <v>76</v>
      </c>
      <c r="K2211" s="2" t="s">
        <v>77</v>
      </c>
      <c r="L2211" s="2" t="s">
        <v>98</v>
      </c>
      <c r="M2211" s="2" t="s">
        <v>99</v>
      </c>
      <c r="N2211" s="2" t="s">
        <v>1043</v>
      </c>
      <c r="O2211" s="2" t="s">
        <v>96</v>
      </c>
      <c r="P2211" s="2" t="str">
        <f>"2170529658                    "</f>
        <v xml:space="preserve">2170529658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3.32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1</v>
      </c>
      <c r="BJ2211" s="2">
        <v>0.2</v>
      </c>
      <c r="BK2211" s="2">
        <v>1</v>
      </c>
      <c r="BL2211" s="2">
        <v>40.76</v>
      </c>
      <c r="BM2211" s="2">
        <v>5.71</v>
      </c>
      <c r="BN2211" s="2">
        <v>46.47</v>
      </c>
      <c r="BO2211" s="2">
        <v>46.47</v>
      </c>
      <c r="BP2211" s="2"/>
      <c r="BQ2211" s="2" t="s">
        <v>1777</v>
      </c>
      <c r="BR2211" s="2" t="s">
        <v>83</v>
      </c>
      <c r="BS2211" s="3">
        <v>42668</v>
      </c>
      <c r="BT2211" s="4">
        <v>0.52083333333333337</v>
      </c>
      <c r="BU2211" s="2" t="s">
        <v>1778</v>
      </c>
      <c r="BV2211" s="2" t="s">
        <v>88</v>
      </c>
      <c r="BW2211" s="2" t="s">
        <v>222</v>
      </c>
      <c r="BX2211" s="2" t="s">
        <v>250</v>
      </c>
      <c r="BY2211" s="2">
        <v>1200</v>
      </c>
      <c r="BZ2211" s="2" t="s">
        <v>27</v>
      </c>
      <c r="CA2211" s="2"/>
      <c r="CB2211" s="2"/>
      <c r="CC2211" s="2" t="s">
        <v>99</v>
      </c>
      <c r="CD2211" s="2">
        <v>6001</v>
      </c>
      <c r="CE2211" s="2" t="s">
        <v>108</v>
      </c>
      <c r="CF2211" s="5">
        <v>42669</v>
      </c>
      <c r="CG2211" s="2"/>
      <c r="CH2211" s="2"/>
      <c r="CI2211" s="2">
        <v>1</v>
      </c>
      <c r="CJ2211" s="2">
        <v>1</v>
      </c>
      <c r="CK2211" s="2">
        <v>21</v>
      </c>
      <c r="CL2211" s="2" t="s">
        <v>88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"FES1162508732"</f>
        <v>FES1162508732</v>
      </c>
      <c r="F2212" s="3">
        <v>42667</v>
      </c>
      <c r="G2212" s="2">
        <v>201704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143</v>
      </c>
      <c r="M2212" s="2" t="s">
        <v>144</v>
      </c>
      <c r="N2212" s="2" t="s">
        <v>145</v>
      </c>
      <c r="O2212" s="2" t="s">
        <v>96</v>
      </c>
      <c r="P2212" s="2" t="str">
        <f>"2170531985                    "</f>
        <v xml:space="preserve">2170531985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3.32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</v>
      </c>
      <c r="BJ2212" s="2">
        <v>0.2</v>
      </c>
      <c r="BK2212" s="2">
        <v>1</v>
      </c>
      <c r="BL2212" s="2">
        <v>40.76</v>
      </c>
      <c r="BM2212" s="2">
        <v>5.71</v>
      </c>
      <c r="BN2212" s="2">
        <v>46.47</v>
      </c>
      <c r="BO2212" s="2">
        <v>46.47</v>
      </c>
      <c r="BP2212" s="2"/>
      <c r="BQ2212" s="2" t="s">
        <v>91</v>
      </c>
      <c r="BR2212" s="2" t="s">
        <v>83</v>
      </c>
      <c r="BS2212" s="3">
        <v>42668</v>
      </c>
      <c r="BT2212" s="4">
        <v>0.60486111111111118</v>
      </c>
      <c r="BU2212" s="2" t="s">
        <v>1572</v>
      </c>
      <c r="BV2212" s="2" t="s">
        <v>85</v>
      </c>
      <c r="BW2212" s="2"/>
      <c r="BX2212" s="2"/>
      <c r="BY2212" s="2">
        <v>1200</v>
      </c>
      <c r="BZ2212" s="2" t="s">
        <v>27</v>
      </c>
      <c r="CA2212" s="2"/>
      <c r="CB2212" s="2"/>
      <c r="CC2212" s="2" t="s">
        <v>144</v>
      </c>
      <c r="CD2212" s="2">
        <v>5201</v>
      </c>
      <c r="CE2212" s="2" t="s">
        <v>108</v>
      </c>
      <c r="CF2212" s="5">
        <v>42670</v>
      </c>
      <c r="CG2212" s="2"/>
      <c r="CH2212" s="2"/>
      <c r="CI2212" s="2">
        <v>1</v>
      </c>
      <c r="CJ2212" s="2">
        <v>1</v>
      </c>
      <c r="CK2212" s="2">
        <v>21</v>
      </c>
      <c r="CL2212" s="2" t="s">
        <v>88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"FES1162508705"</f>
        <v>FES1162508705</v>
      </c>
      <c r="F2213" s="3">
        <v>42667</v>
      </c>
      <c r="G2213" s="2">
        <v>201704</v>
      </c>
      <c r="H2213" s="2" t="s">
        <v>74</v>
      </c>
      <c r="I2213" s="2" t="s">
        <v>75</v>
      </c>
      <c r="J2213" s="2" t="s">
        <v>76</v>
      </c>
      <c r="K2213" s="2" t="s">
        <v>77</v>
      </c>
      <c r="L2213" s="2" t="s">
        <v>143</v>
      </c>
      <c r="M2213" s="2" t="s">
        <v>144</v>
      </c>
      <c r="N2213" s="2" t="s">
        <v>909</v>
      </c>
      <c r="O2213" s="2" t="s">
        <v>96</v>
      </c>
      <c r="P2213" s="2" t="str">
        <f>"2170531940                    "</f>
        <v xml:space="preserve">2170531940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3.32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1</v>
      </c>
      <c r="BJ2213" s="2">
        <v>0.2</v>
      </c>
      <c r="BK2213" s="2">
        <v>1</v>
      </c>
      <c r="BL2213" s="2">
        <v>40.76</v>
      </c>
      <c r="BM2213" s="2">
        <v>5.71</v>
      </c>
      <c r="BN2213" s="2">
        <v>46.47</v>
      </c>
      <c r="BO2213" s="2">
        <v>46.47</v>
      </c>
      <c r="BP2213" s="2"/>
      <c r="BQ2213" s="2" t="s">
        <v>117</v>
      </c>
      <c r="BR2213" s="2" t="s">
        <v>83</v>
      </c>
      <c r="BS2213" s="3">
        <v>42668</v>
      </c>
      <c r="BT2213" s="4">
        <v>0.60763888888888895</v>
      </c>
      <c r="BU2213" s="2" t="s">
        <v>1926</v>
      </c>
      <c r="BV2213" s="2"/>
      <c r="BW2213" s="2" t="s">
        <v>2219</v>
      </c>
      <c r="BX2213" s="2" t="s">
        <v>278</v>
      </c>
      <c r="BY2213" s="2">
        <v>1200</v>
      </c>
      <c r="BZ2213" s="2" t="s">
        <v>27</v>
      </c>
      <c r="CA2213" s="2"/>
      <c r="CB2213" s="2"/>
      <c r="CC2213" s="2" t="s">
        <v>144</v>
      </c>
      <c r="CD2213" s="2">
        <v>5201</v>
      </c>
      <c r="CE2213" s="2" t="s">
        <v>108</v>
      </c>
      <c r="CF2213" s="5">
        <v>42670</v>
      </c>
      <c r="CG2213" s="2"/>
      <c r="CH2213" s="2"/>
      <c r="CI2213" s="2">
        <v>0</v>
      </c>
      <c r="CJ2213" s="2">
        <v>0</v>
      </c>
      <c r="CK2213" s="2">
        <v>21</v>
      </c>
      <c r="CL2213" s="2" t="s">
        <v>88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"FES1162508655"</f>
        <v>FES1162508655</v>
      </c>
      <c r="F2214" s="3">
        <v>42667</v>
      </c>
      <c r="G2214" s="2">
        <v>201704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148</v>
      </c>
      <c r="M2214" s="2" t="s">
        <v>149</v>
      </c>
      <c r="N2214" s="2" t="s">
        <v>1724</v>
      </c>
      <c r="O2214" s="2" t="s">
        <v>96</v>
      </c>
      <c r="P2214" s="2" t="str">
        <f>"2170531805                    "</f>
        <v xml:space="preserve">2170531805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3.32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40.76</v>
      </c>
      <c r="BM2214" s="2">
        <v>5.71</v>
      </c>
      <c r="BN2214" s="2">
        <v>46.47</v>
      </c>
      <c r="BO2214" s="2">
        <v>46.47</v>
      </c>
      <c r="BP2214" s="2"/>
      <c r="BQ2214" s="2" t="s">
        <v>1725</v>
      </c>
      <c r="BR2214" s="2" t="s">
        <v>83</v>
      </c>
      <c r="BS2214" s="3">
        <v>42668</v>
      </c>
      <c r="BT2214" s="4">
        <v>0.4375</v>
      </c>
      <c r="BU2214" s="2" t="s">
        <v>2184</v>
      </c>
      <c r="BV2214" s="2" t="s">
        <v>85</v>
      </c>
      <c r="BW2214" s="2"/>
      <c r="BX2214" s="2"/>
      <c r="BY2214" s="2">
        <v>1200</v>
      </c>
      <c r="BZ2214" s="2" t="s">
        <v>27</v>
      </c>
      <c r="CA2214" s="2"/>
      <c r="CB2214" s="2"/>
      <c r="CC2214" s="2" t="s">
        <v>149</v>
      </c>
      <c r="CD2214" s="2">
        <v>4052</v>
      </c>
      <c r="CE2214" s="2" t="s">
        <v>108</v>
      </c>
      <c r="CF2214" s="5">
        <v>42669</v>
      </c>
      <c r="CG2214" s="2"/>
      <c r="CH2214" s="2"/>
      <c r="CI2214" s="2">
        <v>1</v>
      </c>
      <c r="CJ2214" s="2">
        <v>1</v>
      </c>
      <c r="CK2214" s="2">
        <v>21</v>
      </c>
      <c r="CL2214" s="2" t="s">
        <v>88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"FES1162508670"</f>
        <v>FES1162508670</v>
      </c>
      <c r="F2215" s="3">
        <v>42667</v>
      </c>
      <c r="G2215" s="2">
        <v>201704</v>
      </c>
      <c r="H2215" s="2" t="s">
        <v>74</v>
      </c>
      <c r="I2215" s="2" t="s">
        <v>75</v>
      </c>
      <c r="J2215" s="2" t="s">
        <v>76</v>
      </c>
      <c r="K2215" s="2" t="s">
        <v>77</v>
      </c>
      <c r="L2215" s="2" t="s">
        <v>98</v>
      </c>
      <c r="M2215" s="2" t="s">
        <v>99</v>
      </c>
      <c r="N2215" s="2" t="s">
        <v>104</v>
      </c>
      <c r="O2215" s="2" t="s">
        <v>96</v>
      </c>
      <c r="P2215" s="2" t="str">
        <f>"2170531928                    "</f>
        <v xml:space="preserve">2170531928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9.1199999999999992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5.4</v>
      </c>
      <c r="BJ2215" s="2">
        <v>3.4</v>
      </c>
      <c r="BK2215" s="2">
        <v>5.5</v>
      </c>
      <c r="BL2215" s="2">
        <v>112.08</v>
      </c>
      <c r="BM2215" s="2">
        <v>15.69</v>
      </c>
      <c r="BN2215" s="2">
        <v>127.77</v>
      </c>
      <c r="BO2215" s="2">
        <v>127.77</v>
      </c>
      <c r="BP2215" s="2"/>
      <c r="BQ2215" s="2" t="s">
        <v>105</v>
      </c>
      <c r="BR2215" s="2" t="s">
        <v>83</v>
      </c>
      <c r="BS2215" s="3">
        <v>42668</v>
      </c>
      <c r="BT2215" s="4">
        <v>0.41388888888888892</v>
      </c>
      <c r="BU2215" s="2" t="s">
        <v>105</v>
      </c>
      <c r="BV2215" s="2" t="s">
        <v>85</v>
      </c>
      <c r="BW2215" s="2"/>
      <c r="BX2215" s="2"/>
      <c r="BY2215" s="2">
        <v>17163.759999999998</v>
      </c>
      <c r="BZ2215" s="2" t="s">
        <v>27</v>
      </c>
      <c r="CA2215" s="2"/>
      <c r="CB2215" s="2"/>
      <c r="CC2215" s="2" t="s">
        <v>99</v>
      </c>
      <c r="CD2215" s="2">
        <v>6001</v>
      </c>
      <c r="CE2215" s="2" t="s">
        <v>86</v>
      </c>
      <c r="CF2215" s="5">
        <v>42669</v>
      </c>
      <c r="CG2215" s="2"/>
      <c r="CH2215" s="2"/>
      <c r="CI2215" s="2">
        <v>1</v>
      </c>
      <c r="CJ2215" s="2">
        <v>1</v>
      </c>
      <c r="CK2215" s="2">
        <v>21</v>
      </c>
      <c r="CL2215" s="2" t="s">
        <v>88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"FES1162508663"</f>
        <v>FES1162508663</v>
      </c>
      <c r="F2216" s="3">
        <v>42667</v>
      </c>
      <c r="G2216" s="2">
        <v>201704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98</v>
      </c>
      <c r="M2216" s="2" t="s">
        <v>99</v>
      </c>
      <c r="N2216" s="2" t="s">
        <v>133</v>
      </c>
      <c r="O2216" s="2" t="s">
        <v>96</v>
      </c>
      <c r="P2216" s="2" t="str">
        <f>"2170531917                    "</f>
        <v xml:space="preserve">2170531917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8.2899999999999991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5</v>
      </c>
      <c r="BJ2216" s="2">
        <v>3.4</v>
      </c>
      <c r="BK2216" s="2">
        <v>5</v>
      </c>
      <c r="BL2216" s="2">
        <v>101.89</v>
      </c>
      <c r="BM2216" s="2">
        <v>14.26</v>
      </c>
      <c r="BN2216" s="2">
        <v>116.15</v>
      </c>
      <c r="BO2216" s="2">
        <v>116.15</v>
      </c>
      <c r="BP2216" s="2"/>
      <c r="BQ2216" s="2" t="s">
        <v>134</v>
      </c>
      <c r="BR2216" s="2" t="s">
        <v>83</v>
      </c>
      <c r="BS2216" s="3">
        <v>42668</v>
      </c>
      <c r="BT2216" s="4">
        <v>0.43194444444444446</v>
      </c>
      <c r="BU2216" s="2" t="s">
        <v>562</v>
      </c>
      <c r="BV2216" s="2" t="s">
        <v>85</v>
      </c>
      <c r="BW2216" s="2"/>
      <c r="BX2216" s="2"/>
      <c r="BY2216" s="2">
        <v>16926.169999999998</v>
      </c>
      <c r="BZ2216" s="2" t="s">
        <v>27</v>
      </c>
      <c r="CA2216" s="2" t="s">
        <v>437</v>
      </c>
      <c r="CB2216" s="2"/>
      <c r="CC2216" s="2" t="s">
        <v>99</v>
      </c>
      <c r="CD2216" s="2">
        <v>6001</v>
      </c>
      <c r="CE2216" s="2" t="s">
        <v>86</v>
      </c>
      <c r="CF2216" s="5">
        <v>42668</v>
      </c>
      <c r="CG2216" s="2"/>
      <c r="CH2216" s="2"/>
      <c r="CI2216" s="2">
        <v>1</v>
      </c>
      <c r="CJ2216" s="2">
        <v>1</v>
      </c>
      <c r="CK2216" s="2">
        <v>21</v>
      </c>
      <c r="CL2216" s="2" t="s">
        <v>88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"FES1162508855"</f>
        <v>FES1162508855</v>
      </c>
      <c r="F2217" s="3">
        <v>42667</v>
      </c>
      <c r="G2217" s="2">
        <v>201704</v>
      </c>
      <c r="H2217" s="2" t="s">
        <v>74</v>
      </c>
      <c r="I2217" s="2" t="s">
        <v>75</v>
      </c>
      <c r="J2217" s="2" t="s">
        <v>76</v>
      </c>
      <c r="K2217" s="2" t="s">
        <v>77</v>
      </c>
      <c r="L2217" s="2" t="s">
        <v>160</v>
      </c>
      <c r="M2217" s="2" t="s">
        <v>161</v>
      </c>
      <c r="N2217" s="2" t="s">
        <v>179</v>
      </c>
      <c r="O2217" s="2" t="s">
        <v>96</v>
      </c>
      <c r="P2217" s="2" t="str">
        <f>"2170532105                    "</f>
        <v xml:space="preserve">2170532105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3.32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2</v>
      </c>
      <c r="BJ2217" s="2">
        <v>1.8</v>
      </c>
      <c r="BK2217" s="2">
        <v>2</v>
      </c>
      <c r="BL2217" s="2">
        <v>40.76</v>
      </c>
      <c r="BM2217" s="2">
        <v>5.71</v>
      </c>
      <c r="BN2217" s="2">
        <v>46.47</v>
      </c>
      <c r="BO2217" s="2">
        <v>46.47</v>
      </c>
      <c r="BP2217" s="2"/>
      <c r="BQ2217" s="2" t="s">
        <v>180</v>
      </c>
      <c r="BR2217" s="2" t="s">
        <v>83</v>
      </c>
      <c r="BS2217" s="3">
        <v>42668</v>
      </c>
      <c r="BT2217" s="4">
        <v>0.41666666666666669</v>
      </c>
      <c r="BU2217" s="2" t="s">
        <v>2220</v>
      </c>
      <c r="BV2217" s="2" t="s">
        <v>85</v>
      </c>
      <c r="BW2217" s="2"/>
      <c r="BX2217" s="2"/>
      <c r="BY2217" s="2">
        <v>9108</v>
      </c>
      <c r="BZ2217" s="2"/>
      <c r="CA2217" s="2" t="s">
        <v>129</v>
      </c>
      <c r="CB2217" s="2"/>
      <c r="CC2217" s="2" t="s">
        <v>161</v>
      </c>
      <c r="CD2217" s="2">
        <v>7405</v>
      </c>
      <c r="CE2217" s="2" t="s">
        <v>86</v>
      </c>
      <c r="CF2217" s="5">
        <v>42669</v>
      </c>
      <c r="CG2217" s="2"/>
      <c r="CH2217" s="2"/>
      <c r="CI2217" s="2">
        <v>1</v>
      </c>
      <c r="CJ2217" s="2">
        <v>1</v>
      </c>
      <c r="CK2217" s="2">
        <v>21</v>
      </c>
      <c r="CL2217" s="2" t="s">
        <v>88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"FES1162508834"</f>
        <v>FES1162508834</v>
      </c>
      <c r="F2218" s="3">
        <v>42667</v>
      </c>
      <c r="G2218" s="2">
        <v>201704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253</v>
      </c>
      <c r="M2218" s="2" t="s">
        <v>254</v>
      </c>
      <c r="N2218" s="2" t="s">
        <v>255</v>
      </c>
      <c r="O2218" s="2" t="s">
        <v>96</v>
      </c>
      <c r="P2218" s="2" t="str">
        <f>"2170532076                    "</f>
        <v xml:space="preserve">2170532076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6.43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1</v>
      </c>
      <c r="BJ2218" s="2">
        <v>1.1000000000000001</v>
      </c>
      <c r="BK2218" s="2">
        <v>1.5</v>
      </c>
      <c r="BL2218" s="2">
        <v>78.97</v>
      </c>
      <c r="BM2218" s="2">
        <v>11.06</v>
      </c>
      <c r="BN2218" s="2">
        <v>90.03</v>
      </c>
      <c r="BO2218" s="2">
        <v>90.03</v>
      </c>
      <c r="BP2218" s="2"/>
      <c r="BQ2218" s="2" t="s">
        <v>117</v>
      </c>
      <c r="BR2218" s="2" t="s">
        <v>83</v>
      </c>
      <c r="BS2218" s="3">
        <v>42668</v>
      </c>
      <c r="BT2218" s="4">
        <v>0.52083333333333337</v>
      </c>
      <c r="BU2218" s="2" t="s">
        <v>457</v>
      </c>
      <c r="BV2218" s="2" t="s">
        <v>85</v>
      </c>
      <c r="BW2218" s="2"/>
      <c r="BX2218" s="2"/>
      <c r="BY2218" s="2">
        <v>5320</v>
      </c>
      <c r="BZ2218" s="2"/>
      <c r="CA2218" s="2"/>
      <c r="CB2218" s="2"/>
      <c r="CC2218" s="2" t="s">
        <v>254</v>
      </c>
      <c r="CD2218" s="2">
        <v>3370</v>
      </c>
      <c r="CE2218" s="2" t="s">
        <v>86</v>
      </c>
      <c r="CF2218" s="5">
        <v>42670</v>
      </c>
      <c r="CG2218" s="2"/>
      <c r="CH2218" s="2"/>
      <c r="CI2218" s="2">
        <v>3</v>
      </c>
      <c r="CJ2218" s="2">
        <v>1</v>
      </c>
      <c r="CK2218" s="2">
        <v>23</v>
      </c>
      <c r="CL2218" s="2" t="s">
        <v>88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"FES1162508830"</f>
        <v>FES1162508830</v>
      </c>
      <c r="F2219" s="3">
        <v>42667</v>
      </c>
      <c r="G2219" s="2">
        <v>201704</v>
      </c>
      <c r="H2219" s="2" t="s">
        <v>74</v>
      </c>
      <c r="I2219" s="2" t="s">
        <v>75</v>
      </c>
      <c r="J2219" s="2" t="s">
        <v>76</v>
      </c>
      <c r="K2219" s="2" t="s">
        <v>77</v>
      </c>
      <c r="L2219" s="2" t="s">
        <v>98</v>
      </c>
      <c r="M2219" s="2" t="s">
        <v>99</v>
      </c>
      <c r="N2219" s="2" t="s">
        <v>133</v>
      </c>
      <c r="O2219" s="2" t="s">
        <v>96</v>
      </c>
      <c r="P2219" s="2" t="str">
        <f>"2170531875                    "</f>
        <v xml:space="preserve">2170531875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6.63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4</v>
      </c>
      <c r="BJ2219" s="2">
        <v>2.2000000000000002</v>
      </c>
      <c r="BK2219" s="2">
        <v>4</v>
      </c>
      <c r="BL2219" s="2">
        <v>81.510000000000005</v>
      </c>
      <c r="BM2219" s="2">
        <v>11.41</v>
      </c>
      <c r="BN2219" s="2">
        <v>92.92</v>
      </c>
      <c r="BO2219" s="2">
        <v>92.92</v>
      </c>
      <c r="BP2219" s="2"/>
      <c r="BQ2219" s="2" t="s">
        <v>134</v>
      </c>
      <c r="BR2219" s="2" t="s">
        <v>83</v>
      </c>
      <c r="BS2219" s="3">
        <v>42668</v>
      </c>
      <c r="BT2219" s="4">
        <v>0.27708333333333335</v>
      </c>
      <c r="BU2219" s="2" t="s">
        <v>2221</v>
      </c>
      <c r="BV2219" s="2" t="s">
        <v>85</v>
      </c>
      <c r="BW2219" s="2"/>
      <c r="BX2219" s="2"/>
      <c r="BY2219" s="2">
        <v>10880</v>
      </c>
      <c r="BZ2219" s="2"/>
      <c r="CA2219" s="2"/>
      <c r="CB2219" s="2"/>
      <c r="CC2219" s="2" t="s">
        <v>99</v>
      </c>
      <c r="CD2219" s="2">
        <v>6001</v>
      </c>
      <c r="CE2219" s="2" t="s">
        <v>86</v>
      </c>
      <c r="CF2219" s="5">
        <v>42669</v>
      </c>
      <c r="CG2219" s="2"/>
      <c r="CH2219" s="2"/>
      <c r="CI2219" s="2">
        <v>1</v>
      </c>
      <c r="CJ2219" s="2">
        <v>1</v>
      </c>
      <c r="CK2219" s="2">
        <v>21</v>
      </c>
      <c r="CL2219" s="2" t="s">
        <v>88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"FES1162508889"</f>
        <v>FES1162508889</v>
      </c>
      <c r="F2220" s="3">
        <v>42667</v>
      </c>
      <c r="G2220" s="2">
        <v>201704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160</v>
      </c>
      <c r="M2220" s="2" t="s">
        <v>161</v>
      </c>
      <c r="N2220" s="2" t="s">
        <v>859</v>
      </c>
      <c r="O2220" s="2" t="s">
        <v>96</v>
      </c>
      <c r="P2220" s="2" t="str">
        <f>"2170532142                    "</f>
        <v xml:space="preserve">2170532142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3.32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0.5</v>
      </c>
      <c r="BJ2220" s="2">
        <v>0.2</v>
      </c>
      <c r="BK2220" s="2">
        <v>0.5</v>
      </c>
      <c r="BL2220" s="2">
        <v>40.76</v>
      </c>
      <c r="BM2220" s="2">
        <v>5.71</v>
      </c>
      <c r="BN2220" s="2">
        <v>46.47</v>
      </c>
      <c r="BO2220" s="2">
        <v>46.47</v>
      </c>
      <c r="BP2220" s="2"/>
      <c r="BQ2220" s="2" t="s">
        <v>82</v>
      </c>
      <c r="BR2220" s="2" t="s">
        <v>83</v>
      </c>
      <c r="BS2220" s="3">
        <v>42668</v>
      </c>
      <c r="BT2220" s="4">
        <v>0.4236111111111111</v>
      </c>
      <c r="BU2220" s="2" t="s">
        <v>2222</v>
      </c>
      <c r="BV2220" s="2" t="s">
        <v>85</v>
      </c>
      <c r="BW2220" s="2"/>
      <c r="BX2220" s="2"/>
      <c r="BY2220" s="2">
        <v>1200</v>
      </c>
      <c r="BZ2220" s="2"/>
      <c r="CA2220" s="2"/>
      <c r="CB2220" s="2"/>
      <c r="CC2220" s="2" t="s">
        <v>161</v>
      </c>
      <c r="CD2220" s="2">
        <v>7780</v>
      </c>
      <c r="CE2220" s="2" t="s">
        <v>108</v>
      </c>
      <c r="CF2220" s="5">
        <v>42669</v>
      </c>
      <c r="CG2220" s="2"/>
      <c r="CH2220" s="2"/>
      <c r="CI2220" s="2">
        <v>1</v>
      </c>
      <c r="CJ2220" s="2">
        <v>1</v>
      </c>
      <c r="CK2220" s="2">
        <v>21</v>
      </c>
      <c r="CL2220" s="2" t="s">
        <v>88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"FES1162508927"</f>
        <v>FES1162508927</v>
      </c>
      <c r="F2221" s="3">
        <v>42667</v>
      </c>
      <c r="G2221" s="2">
        <v>201704</v>
      </c>
      <c r="H2221" s="2" t="s">
        <v>74</v>
      </c>
      <c r="I2221" s="2" t="s">
        <v>75</v>
      </c>
      <c r="J2221" s="2" t="s">
        <v>76</v>
      </c>
      <c r="K2221" s="2" t="s">
        <v>77</v>
      </c>
      <c r="L2221" s="2" t="s">
        <v>2223</v>
      </c>
      <c r="M2221" s="2" t="s">
        <v>2224</v>
      </c>
      <c r="N2221" s="2" t="s">
        <v>2225</v>
      </c>
      <c r="O2221" s="2" t="s">
        <v>96</v>
      </c>
      <c r="P2221" s="2" t="str">
        <f>"21705312175                   "</f>
        <v xml:space="preserve">21705312175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4.1500000000000004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0.4</v>
      </c>
      <c r="BJ2221" s="2">
        <v>2.2999999999999998</v>
      </c>
      <c r="BK2221" s="2">
        <v>2.5</v>
      </c>
      <c r="BL2221" s="2">
        <v>50.95</v>
      </c>
      <c r="BM2221" s="2">
        <v>7.13</v>
      </c>
      <c r="BN2221" s="2">
        <v>58.08</v>
      </c>
      <c r="BO2221" s="2">
        <v>58.08</v>
      </c>
      <c r="BP2221" s="2"/>
      <c r="BQ2221" s="2" t="s">
        <v>82</v>
      </c>
      <c r="BR2221" s="2" t="s">
        <v>83</v>
      </c>
      <c r="BS2221" s="3">
        <v>42668</v>
      </c>
      <c r="BT2221" s="4">
        <v>0.33611111111111108</v>
      </c>
      <c r="BU2221" s="2" t="s">
        <v>2226</v>
      </c>
      <c r="BV2221" s="2" t="s">
        <v>85</v>
      </c>
      <c r="BW2221" s="2"/>
      <c r="BX2221" s="2"/>
      <c r="BY2221" s="2">
        <v>11421.03</v>
      </c>
      <c r="BZ2221" s="2"/>
      <c r="CA2221" s="2"/>
      <c r="CB2221" s="2"/>
      <c r="CC2221" s="2" t="s">
        <v>2224</v>
      </c>
      <c r="CD2221" s="2">
        <v>4125</v>
      </c>
      <c r="CE2221" s="2" t="s">
        <v>108</v>
      </c>
      <c r="CF2221" s="2"/>
      <c r="CG2221" s="2"/>
      <c r="CH2221" s="2"/>
      <c r="CI2221" s="2">
        <v>1</v>
      </c>
      <c r="CJ2221" s="2">
        <v>1</v>
      </c>
      <c r="CK2221" s="2">
        <v>21</v>
      </c>
      <c r="CL2221" s="2" t="s">
        <v>88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"FES1162508910"</f>
        <v>FES1162508910</v>
      </c>
      <c r="F2222" s="3">
        <v>42667</v>
      </c>
      <c r="G2222" s="2">
        <v>201704</v>
      </c>
      <c r="H2222" s="2" t="s">
        <v>74</v>
      </c>
      <c r="I2222" s="2" t="s">
        <v>75</v>
      </c>
      <c r="J2222" s="2" t="s">
        <v>76</v>
      </c>
      <c r="K2222" s="2" t="s">
        <v>77</v>
      </c>
      <c r="L2222" s="2" t="s">
        <v>143</v>
      </c>
      <c r="M2222" s="2" t="s">
        <v>144</v>
      </c>
      <c r="N2222" s="2" t="s">
        <v>909</v>
      </c>
      <c r="O2222" s="2" t="s">
        <v>96</v>
      </c>
      <c r="P2222" s="2" t="str">
        <f>"2170531940                    "</f>
        <v xml:space="preserve">2170531940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3.32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</v>
      </c>
      <c r="BJ2222" s="2">
        <v>0.2</v>
      </c>
      <c r="BK2222" s="2">
        <v>1</v>
      </c>
      <c r="BL2222" s="2">
        <v>40.76</v>
      </c>
      <c r="BM2222" s="2">
        <v>5.71</v>
      </c>
      <c r="BN2222" s="2">
        <v>46.47</v>
      </c>
      <c r="BO2222" s="2">
        <v>46.47</v>
      </c>
      <c r="BP2222" s="2"/>
      <c r="BQ2222" s="2" t="s">
        <v>117</v>
      </c>
      <c r="BR2222" s="2" t="s">
        <v>83</v>
      </c>
      <c r="BS2222" s="3">
        <v>42668</v>
      </c>
      <c r="BT2222" s="4">
        <v>0.41666666666666669</v>
      </c>
      <c r="BU2222" s="2" t="s">
        <v>2227</v>
      </c>
      <c r="BV2222" s="2"/>
      <c r="BW2222" s="2"/>
      <c r="BX2222" s="2"/>
      <c r="BY2222" s="2">
        <v>1200</v>
      </c>
      <c r="BZ2222" s="2"/>
      <c r="CA2222" s="2"/>
      <c r="CB2222" s="2"/>
      <c r="CC2222" s="2" t="s">
        <v>144</v>
      </c>
      <c r="CD2222" s="2">
        <v>5201</v>
      </c>
      <c r="CE2222" s="2" t="s">
        <v>108</v>
      </c>
      <c r="CF2222" s="5">
        <v>42670</v>
      </c>
      <c r="CG2222" s="2"/>
      <c r="CH2222" s="2"/>
      <c r="CI2222" s="2">
        <v>0</v>
      </c>
      <c r="CJ2222" s="2">
        <v>0</v>
      </c>
      <c r="CK2222" s="2">
        <v>21</v>
      </c>
      <c r="CL2222" s="2" t="s">
        <v>88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"FES1162508950"</f>
        <v>FES1162508950</v>
      </c>
      <c r="F2223" s="3">
        <v>42667</v>
      </c>
      <c r="G2223" s="2">
        <v>201704</v>
      </c>
      <c r="H2223" s="2" t="s">
        <v>74</v>
      </c>
      <c r="I2223" s="2" t="s">
        <v>75</v>
      </c>
      <c r="J2223" s="2" t="s">
        <v>76</v>
      </c>
      <c r="K2223" s="2" t="s">
        <v>77</v>
      </c>
      <c r="L2223" s="2" t="s">
        <v>614</v>
      </c>
      <c r="M2223" s="2" t="s">
        <v>615</v>
      </c>
      <c r="N2223" s="2" t="s">
        <v>1946</v>
      </c>
      <c r="O2223" s="2" t="s">
        <v>96</v>
      </c>
      <c r="P2223" s="2" t="str">
        <f>"2170532230                    "</f>
        <v xml:space="preserve">2170532230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3.32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1</v>
      </c>
      <c r="BJ2223" s="2">
        <v>0.2</v>
      </c>
      <c r="BK2223" s="2">
        <v>1</v>
      </c>
      <c r="BL2223" s="2">
        <v>40.76</v>
      </c>
      <c r="BM2223" s="2">
        <v>5.71</v>
      </c>
      <c r="BN2223" s="2">
        <v>46.47</v>
      </c>
      <c r="BO2223" s="2">
        <v>46.47</v>
      </c>
      <c r="BP2223" s="2"/>
      <c r="BQ2223" s="2" t="s">
        <v>1947</v>
      </c>
      <c r="BR2223" s="2" t="s">
        <v>83</v>
      </c>
      <c r="BS2223" s="3">
        <v>42668</v>
      </c>
      <c r="BT2223" s="4">
        <v>0.4375</v>
      </c>
      <c r="BU2223" s="2" t="s">
        <v>2228</v>
      </c>
      <c r="BV2223" s="2" t="s">
        <v>85</v>
      </c>
      <c r="BW2223" s="2"/>
      <c r="BX2223" s="2"/>
      <c r="BY2223" s="2">
        <v>1200</v>
      </c>
      <c r="BZ2223" s="2"/>
      <c r="CA2223" s="2"/>
      <c r="CB2223" s="2"/>
      <c r="CC2223" s="2" t="s">
        <v>615</v>
      </c>
      <c r="CD2223" s="2">
        <v>4026</v>
      </c>
      <c r="CE2223" s="2" t="s">
        <v>108</v>
      </c>
      <c r="CF2223" s="5">
        <v>42669</v>
      </c>
      <c r="CG2223" s="2"/>
      <c r="CH2223" s="2"/>
      <c r="CI2223" s="2">
        <v>1</v>
      </c>
      <c r="CJ2223" s="2">
        <v>1</v>
      </c>
      <c r="CK2223" s="2">
        <v>21</v>
      </c>
      <c r="CL2223" s="2" t="s">
        <v>88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"FES1162508824"</f>
        <v>FES1162508824</v>
      </c>
      <c r="F2224" s="3">
        <v>42667</v>
      </c>
      <c r="G2224" s="2">
        <v>201704</v>
      </c>
      <c r="H2224" s="2" t="s">
        <v>74</v>
      </c>
      <c r="I2224" s="2" t="s">
        <v>75</v>
      </c>
      <c r="J2224" s="2" t="s">
        <v>76</v>
      </c>
      <c r="K2224" s="2" t="s">
        <v>77</v>
      </c>
      <c r="L2224" s="2" t="s">
        <v>898</v>
      </c>
      <c r="M2224" s="2" t="s">
        <v>899</v>
      </c>
      <c r="N2224" s="2" t="s">
        <v>2027</v>
      </c>
      <c r="O2224" s="2" t="s">
        <v>96</v>
      </c>
      <c r="P2224" s="2" t="str">
        <f>"2170531341                    "</f>
        <v xml:space="preserve">2170531341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9.9499999999999993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2</v>
      </c>
      <c r="BI2224" s="2">
        <v>6</v>
      </c>
      <c r="BJ2224" s="2">
        <v>3.5</v>
      </c>
      <c r="BK2224" s="2">
        <v>6</v>
      </c>
      <c r="BL2224" s="2">
        <v>122.27</v>
      </c>
      <c r="BM2224" s="2">
        <v>17.12</v>
      </c>
      <c r="BN2224" s="2">
        <v>139.38999999999999</v>
      </c>
      <c r="BO2224" s="2">
        <v>139.38999999999999</v>
      </c>
      <c r="BP2224" s="2"/>
      <c r="BQ2224" s="2" t="s">
        <v>2028</v>
      </c>
      <c r="BR2224" s="2" t="s">
        <v>83</v>
      </c>
      <c r="BS2224" s="6" t="s">
        <v>679</v>
      </c>
      <c r="BT2224" s="2"/>
      <c r="BU2224" s="2"/>
      <c r="BV2224" s="2"/>
      <c r="BW2224" s="2"/>
      <c r="BX2224" s="2"/>
      <c r="BY2224" s="2">
        <v>17700</v>
      </c>
      <c r="BZ2224" s="2"/>
      <c r="CA2224" s="2"/>
      <c r="CB2224" s="2"/>
      <c r="CC2224" s="2" t="s">
        <v>899</v>
      </c>
      <c r="CD2224" s="2">
        <v>7655</v>
      </c>
      <c r="CE2224" s="2" t="s">
        <v>368</v>
      </c>
      <c r="CF2224" s="2"/>
      <c r="CG2224" s="2"/>
      <c r="CH2224" s="2"/>
      <c r="CI2224" s="2">
        <v>1</v>
      </c>
      <c r="CJ2224" s="2" t="s">
        <v>679</v>
      </c>
      <c r="CK2224" s="2">
        <v>21</v>
      </c>
      <c r="CL2224" s="2" t="s">
        <v>88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"FES1162508870"</f>
        <v>FES1162508870</v>
      </c>
      <c r="F2225" s="3">
        <v>42667</v>
      </c>
      <c r="G2225" s="2">
        <v>201704</v>
      </c>
      <c r="H2225" s="2" t="s">
        <v>74</v>
      </c>
      <c r="I2225" s="2" t="s">
        <v>75</v>
      </c>
      <c r="J2225" s="2" t="s">
        <v>76</v>
      </c>
      <c r="K2225" s="2" t="s">
        <v>77</v>
      </c>
      <c r="L2225" s="2" t="s">
        <v>148</v>
      </c>
      <c r="M2225" s="2" t="s">
        <v>149</v>
      </c>
      <c r="N2225" s="2" t="s">
        <v>815</v>
      </c>
      <c r="O2225" s="2" t="s">
        <v>96</v>
      </c>
      <c r="P2225" s="2" t="str">
        <f>"2170532125                    "</f>
        <v xml:space="preserve">2170532125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3.32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1</v>
      </c>
      <c r="BJ2225" s="2">
        <v>0.2</v>
      </c>
      <c r="BK2225" s="2">
        <v>1</v>
      </c>
      <c r="BL2225" s="2">
        <v>40.76</v>
      </c>
      <c r="BM2225" s="2">
        <v>5.71</v>
      </c>
      <c r="BN2225" s="2">
        <v>46.47</v>
      </c>
      <c r="BO2225" s="2">
        <v>46.47</v>
      </c>
      <c r="BP2225" s="2"/>
      <c r="BQ2225" s="2" t="s">
        <v>91</v>
      </c>
      <c r="BR2225" s="2" t="s">
        <v>83</v>
      </c>
      <c r="BS2225" s="3">
        <v>42668</v>
      </c>
      <c r="BT2225" s="4">
        <v>0.4375</v>
      </c>
      <c r="BU2225" s="2" t="s">
        <v>816</v>
      </c>
      <c r="BV2225" s="2" t="s">
        <v>85</v>
      </c>
      <c r="BW2225" s="2"/>
      <c r="BX2225" s="2"/>
      <c r="BY2225" s="2">
        <v>1200</v>
      </c>
      <c r="BZ2225" s="2"/>
      <c r="CA2225" s="2"/>
      <c r="CB2225" s="2"/>
      <c r="CC2225" s="2" t="s">
        <v>149</v>
      </c>
      <c r="CD2225" s="2">
        <v>4068</v>
      </c>
      <c r="CE2225" s="2" t="s">
        <v>108</v>
      </c>
      <c r="CF2225" s="5">
        <v>42669</v>
      </c>
      <c r="CG2225" s="2"/>
      <c r="CH2225" s="2"/>
      <c r="CI2225" s="2">
        <v>1</v>
      </c>
      <c r="CJ2225" s="2">
        <v>1</v>
      </c>
      <c r="CK2225" s="2">
        <v>21</v>
      </c>
      <c r="CL2225" s="2" t="s">
        <v>88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"FES1162508871"</f>
        <v>FES1162508871</v>
      </c>
      <c r="F2226" s="3">
        <v>42667</v>
      </c>
      <c r="G2226" s="2">
        <v>201704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269</v>
      </c>
      <c r="M2226" s="2" t="s">
        <v>270</v>
      </c>
      <c r="N2226" s="2" t="s">
        <v>2229</v>
      </c>
      <c r="O2226" s="2" t="s">
        <v>96</v>
      </c>
      <c r="P2226" s="2" t="str">
        <f>"2170532126                    "</f>
        <v xml:space="preserve">2170532126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8.2899999999999991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5</v>
      </c>
      <c r="BJ2226" s="2">
        <v>2</v>
      </c>
      <c r="BK2226" s="2">
        <v>5</v>
      </c>
      <c r="BL2226" s="2">
        <v>101.89</v>
      </c>
      <c r="BM2226" s="2">
        <v>14.26</v>
      </c>
      <c r="BN2226" s="2">
        <v>116.15</v>
      </c>
      <c r="BO2226" s="2">
        <v>116.15</v>
      </c>
      <c r="BP2226" s="2"/>
      <c r="BQ2226" s="2" t="s">
        <v>2230</v>
      </c>
      <c r="BR2226" s="2" t="s">
        <v>83</v>
      </c>
      <c r="BS2226" s="3">
        <v>42668</v>
      </c>
      <c r="BT2226" s="4">
        <v>0.36458333333333331</v>
      </c>
      <c r="BU2226" s="2" t="s">
        <v>2231</v>
      </c>
      <c r="BV2226" s="2" t="s">
        <v>85</v>
      </c>
      <c r="BW2226" s="2"/>
      <c r="BX2226" s="2"/>
      <c r="BY2226" s="2">
        <v>9900</v>
      </c>
      <c r="BZ2226" s="2"/>
      <c r="CA2226" s="2"/>
      <c r="CB2226" s="2"/>
      <c r="CC2226" s="2" t="s">
        <v>270</v>
      </c>
      <c r="CD2226" s="2">
        <v>3600</v>
      </c>
      <c r="CE2226" s="2" t="s">
        <v>86</v>
      </c>
      <c r="CF2226" s="5">
        <v>42669</v>
      </c>
      <c r="CG2226" s="2"/>
      <c r="CH2226" s="2"/>
      <c r="CI2226" s="2">
        <v>1</v>
      </c>
      <c r="CJ2226" s="2">
        <v>1</v>
      </c>
      <c r="CK2226" s="2">
        <v>21</v>
      </c>
      <c r="CL2226" s="2" t="s">
        <v>88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"FES1162508886"</f>
        <v>FES1162508886</v>
      </c>
      <c r="F2227" s="3">
        <v>42667</v>
      </c>
      <c r="G2227" s="2">
        <v>201704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269</v>
      </c>
      <c r="M2227" s="2" t="s">
        <v>270</v>
      </c>
      <c r="N2227" s="2" t="s">
        <v>778</v>
      </c>
      <c r="O2227" s="2" t="s">
        <v>96</v>
      </c>
      <c r="P2227" s="2" t="str">
        <f>"2170532137                    "</f>
        <v xml:space="preserve">2170532137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9.1199999999999992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2</v>
      </c>
      <c r="BI2227" s="2">
        <v>5.0999999999999996</v>
      </c>
      <c r="BJ2227" s="2">
        <v>2</v>
      </c>
      <c r="BK2227" s="2">
        <v>5.5</v>
      </c>
      <c r="BL2227" s="2">
        <v>112.08</v>
      </c>
      <c r="BM2227" s="2">
        <v>15.69</v>
      </c>
      <c r="BN2227" s="2">
        <v>127.77</v>
      </c>
      <c r="BO2227" s="2">
        <v>127.77</v>
      </c>
      <c r="BP2227" s="2"/>
      <c r="BQ2227" s="2" t="s">
        <v>117</v>
      </c>
      <c r="BR2227" s="2" t="s">
        <v>83</v>
      </c>
      <c r="BS2227" s="3">
        <v>42668</v>
      </c>
      <c r="BT2227" s="4">
        <v>0.4375</v>
      </c>
      <c r="BU2227" s="2" t="s">
        <v>1248</v>
      </c>
      <c r="BV2227" s="2" t="s">
        <v>85</v>
      </c>
      <c r="BW2227" s="2"/>
      <c r="BX2227" s="2"/>
      <c r="BY2227" s="2">
        <v>10084.86</v>
      </c>
      <c r="BZ2227" s="2"/>
      <c r="CA2227" s="2" t="s">
        <v>129</v>
      </c>
      <c r="CB2227" s="2"/>
      <c r="CC2227" s="2" t="s">
        <v>270</v>
      </c>
      <c r="CD2227" s="2">
        <v>3600</v>
      </c>
      <c r="CE2227" s="2" t="s">
        <v>86</v>
      </c>
      <c r="CF2227" s="5">
        <v>42669</v>
      </c>
      <c r="CG2227" s="2"/>
      <c r="CH2227" s="2"/>
      <c r="CI2227" s="2">
        <v>1</v>
      </c>
      <c r="CJ2227" s="2">
        <v>1</v>
      </c>
      <c r="CK2227" s="2">
        <v>21</v>
      </c>
      <c r="CL2227" s="2" t="s">
        <v>88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"FES1162508873"</f>
        <v>FES1162508873</v>
      </c>
      <c r="F2228" s="3">
        <v>42667</v>
      </c>
      <c r="G2228" s="2">
        <v>201704</v>
      </c>
      <c r="H2228" s="2" t="s">
        <v>74</v>
      </c>
      <c r="I2228" s="2" t="s">
        <v>75</v>
      </c>
      <c r="J2228" s="2" t="s">
        <v>76</v>
      </c>
      <c r="K2228" s="2" t="s">
        <v>77</v>
      </c>
      <c r="L2228" s="2" t="s">
        <v>872</v>
      </c>
      <c r="M2228" s="2" t="s">
        <v>873</v>
      </c>
      <c r="N2228" s="2" t="s">
        <v>1342</v>
      </c>
      <c r="O2228" s="2" t="s">
        <v>96</v>
      </c>
      <c r="P2228" s="2" t="str">
        <f>"2170532128                    "</f>
        <v xml:space="preserve">2170532128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9.9499999999999993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5.8</v>
      </c>
      <c r="BJ2228" s="2">
        <v>3.5</v>
      </c>
      <c r="BK2228" s="2">
        <v>6</v>
      </c>
      <c r="BL2228" s="2">
        <v>122.27</v>
      </c>
      <c r="BM2228" s="2">
        <v>17.12</v>
      </c>
      <c r="BN2228" s="2">
        <v>139.38999999999999</v>
      </c>
      <c r="BO2228" s="2">
        <v>139.38999999999999</v>
      </c>
      <c r="BP2228" s="2"/>
      <c r="BQ2228" s="2" t="s">
        <v>1343</v>
      </c>
      <c r="BR2228" s="2" t="s">
        <v>83</v>
      </c>
      <c r="BS2228" s="3">
        <v>42668</v>
      </c>
      <c r="BT2228" s="4">
        <v>0.33680555555555558</v>
      </c>
      <c r="BU2228" s="2" t="s">
        <v>2232</v>
      </c>
      <c r="BV2228" s="2" t="s">
        <v>85</v>
      </c>
      <c r="BW2228" s="2"/>
      <c r="BX2228" s="2"/>
      <c r="BY2228" s="2">
        <v>17481.169999999998</v>
      </c>
      <c r="BZ2228" s="2"/>
      <c r="CA2228" s="2"/>
      <c r="CB2228" s="2"/>
      <c r="CC2228" s="2" t="s">
        <v>873</v>
      </c>
      <c r="CD2228" s="2">
        <v>4126</v>
      </c>
      <c r="CE2228" s="2" t="s">
        <v>86</v>
      </c>
      <c r="CF2228" s="2"/>
      <c r="CG2228" s="2"/>
      <c r="CH2228" s="2"/>
      <c r="CI2228" s="2">
        <v>1</v>
      </c>
      <c r="CJ2228" s="2">
        <v>1</v>
      </c>
      <c r="CK2228" s="2">
        <v>21</v>
      </c>
      <c r="CL2228" s="2" t="s">
        <v>88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"FES1162508864"</f>
        <v>FES1162508864</v>
      </c>
      <c r="F2229" s="3">
        <v>42667</v>
      </c>
      <c r="G2229" s="2">
        <v>201704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148</v>
      </c>
      <c r="M2229" s="2" t="s">
        <v>149</v>
      </c>
      <c r="N2229" s="2" t="s">
        <v>473</v>
      </c>
      <c r="O2229" s="2" t="s">
        <v>96</v>
      </c>
      <c r="P2229" s="2" t="str">
        <f>"2170529831                    "</f>
        <v xml:space="preserve">2170529831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29.85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8.1</v>
      </c>
      <c r="BJ2229" s="2">
        <v>17.899999999999999</v>
      </c>
      <c r="BK2229" s="2">
        <v>18</v>
      </c>
      <c r="BL2229" s="2">
        <v>366.81</v>
      </c>
      <c r="BM2229" s="2">
        <v>51.35</v>
      </c>
      <c r="BN2229" s="2">
        <v>418.16</v>
      </c>
      <c r="BO2229" s="2">
        <v>418.16</v>
      </c>
      <c r="BP2229" s="2"/>
      <c r="BQ2229" s="2" t="s">
        <v>117</v>
      </c>
      <c r="BR2229" s="2" t="s">
        <v>83</v>
      </c>
      <c r="BS2229" s="3">
        <v>42668</v>
      </c>
      <c r="BT2229" s="4">
        <v>0.4375</v>
      </c>
      <c r="BU2229" s="2" t="s">
        <v>1254</v>
      </c>
      <c r="BV2229" s="2" t="s">
        <v>85</v>
      </c>
      <c r="BW2229" s="2"/>
      <c r="BX2229" s="2"/>
      <c r="BY2229" s="2">
        <v>89327.98</v>
      </c>
      <c r="BZ2229" s="2"/>
      <c r="CA2229" s="2"/>
      <c r="CB2229" s="2"/>
      <c r="CC2229" s="2" t="s">
        <v>149</v>
      </c>
      <c r="CD2229" s="2">
        <v>4052</v>
      </c>
      <c r="CE2229" s="2" t="s">
        <v>86</v>
      </c>
      <c r="CF2229" s="5">
        <v>42669</v>
      </c>
      <c r="CG2229" s="2"/>
      <c r="CH2229" s="2"/>
      <c r="CI2229" s="2">
        <v>1</v>
      </c>
      <c r="CJ2229" s="2">
        <v>1</v>
      </c>
      <c r="CK2229" s="2">
        <v>21</v>
      </c>
      <c r="CL2229" s="2" t="s">
        <v>88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"FES1162508923"</f>
        <v>FES1162508923</v>
      </c>
      <c r="F2230" s="3">
        <v>42667</v>
      </c>
      <c r="G2230" s="2">
        <v>201704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269</v>
      </c>
      <c r="M2230" s="2" t="s">
        <v>270</v>
      </c>
      <c r="N2230" s="2" t="s">
        <v>299</v>
      </c>
      <c r="O2230" s="2" t="s">
        <v>96</v>
      </c>
      <c r="P2230" s="2" t="str">
        <f>"2170532186                    "</f>
        <v xml:space="preserve">2170532186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3.32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0.5</v>
      </c>
      <c r="BJ2230" s="2">
        <v>1</v>
      </c>
      <c r="BK2230" s="2">
        <v>1</v>
      </c>
      <c r="BL2230" s="2">
        <v>40.76</v>
      </c>
      <c r="BM2230" s="2">
        <v>5.71</v>
      </c>
      <c r="BN2230" s="2">
        <v>46.47</v>
      </c>
      <c r="BO2230" s="2">
        <v>46.47</v>
      </c>
      <c r="BP2230" s="2"/>
      <c r="BQ2230" s="2" t="s">
        <v>300</v>
      </c>
      <c r="BR2230" s="2" t="s">
        <v>83</v>
      </c>
      <c r="BS2230" s="3">
        <v>42668</v>
      </c>
      <c r="BT2230" s="4">
        <v>0.4375</v>
      </c>
      <c r="BU2230" s="2" t="s">
        <v>2233</v>
      </c>
      <c r="BV2230" s="2" t="s">
        <v>85</v>
      </c>
      <c r="BW2230" s="2"/>
      <c r="BX2230" s="2"/>
      <c r="BY2230" s="2">
        <v>4753.6099999999997</v>
      </c>
      <c r="BZ2230" s="2"/>
      <c r="CA2230" s="2"/>
      <c r="CB2230" s="2"/>
      <c r="CC2230" s="2" t="s">
        <v>270</v>
      </c>
      <c r="CD2230" s="2">
        <v>3610</v>
      </c>
      <c r="CE2230" s="2" t="s">
        <v>108</v>
      </c>
      <c r="CF2230" s="5">
        <v>42669</v>
      </c>
      <c r="CG2230" s="2"/>
      <c r="CH2230" s="2"/>
      <c r="CI2230" s="2">
        <v>1</v>
      </c>
      <c r="CJ2230" s="2">
        <v>1</v>
      </c>
      <c r="CK2230" s="2">
        <v>21</v>
      </c>
      <c r="CL2230" s="2" t="s">
        <v>88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"FES1162508914"</f>
        <v>FES1162508914</v>
      </c>
      <c r="F2231" s="3">
        <v>42667</v>
      </c>
      <c r="G2231" s="2">
        <v>201704</v>
      </c>
      <c r="H2231" s="2" t="s">
        <v>74</v>
      </c>
      <c r="I2231" s="2" t="s">
        <v>75</v>
      </c>
      <c r="J2231" s="2" t="s">
        <v>76</v>
      </c>
      <c r="K2231" s="2" t="s">
        <v>77</v>
      </c>
      <c r="L2231" s="2" t="s">
        <v>93</v>
      </c>
      <c r="M2231" s="2" t="s">
        <v>94</v>
      </c>
      <c r="N2231" s="2" t="s">
        <v>536</v>
      </c>
      <c r="O2231" s="2" t="s">
        <v>96</v>
      </c>
      <c r="P2231" s="2" t="str">
        <f>"2170532170                    "</f>
        <v xml:space="preserve">2170532170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3.32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0.5</v>
      </c>
      <c r="BJ2231" s="2">
        <v>0.2</v>
      </c>
      <c r="BK2231" s="2">
        <v>0.5</v>
      </c>
      <c r="BL2231" s="2">
        <v>40.76</v>
      </c>
      <c r="BM2231" s="2">
        <v>5.71</v>
      </c>
      <c r="BN2231" s="2">
        <v>46.47</v>
      </c>
      <c r="BO2231" s="2">
        <v>46.47</v>
      </c>
      <c r="BP2231" s="2"/>
      <c r="BQ2231" s="2" t="s">
        <v>537</v>
      </c>
      <c r="BR2231" s="2" t="s">
        <v>83</v>
      </c>
      <c r="BS2231" s="3">
        <v>42668</v>
      </c>
      <c r="BT2231" s="4">
        <v>0.4375</v>
      </c>
      <c r="BU2231" s="2" t="s">
        <v>2195</v>
      </c>
      <c r="BV2231" s="2" t="s">
        <v>85</v>
      </c>
      <c r="BW2231" s="2"/>
      <c r="BX2231" s="2"/>
      <c r="BY2231" s="2">
        <v>1200</v>
      </c>
      <c r="BZ2231" s="2"/>
      <c r="CA2231" s="2"/>
      <c r="CB2231" s="2"/>
      <c r="CC2231" s="2" t="s">
        <v>94</v>
      </c>
      <c r="CD2231" s="2">
        <v>4300</v>
      </c>
      <c r="CE2231" s="2" t="s">
        <v>108</v>
      </c>
      <c r="CF2231" s="5">
        <v>42669</v>
      </c>
      <c r="CG2231" s="2"/>
      <c r="CH2231" s="2"/>
      <c r="CI2231" s="2">
        <v>1</v>
      </c>
      <c r="CJ2231" s="2">
        <v>1</v>
      </c>
      <c r="CK2231" s="2">
        <v>21</v>
      </c>
      <c r="CL2231" s="2" t="s">
        <v>88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"FES1162508893"</f>
        <v>FES1162508893</v>
      </c>
      <c r="F2232" s="3">
        <v>42667</v>
      </c>
      <c r="G2232" s="2">
        <v>201704</v>
      </c>
      <c r="H2232" s="2" t="s">
        <v>74</v>
      </c>
      <c r="I2232" s="2" t="s">
        <v>75</v>
      </c>
      <c r="J2232" s="2" t="s">
        <v>76</v>
      </c>
      <c r="K2232" s="2" t="s">
        <v>77</v>
      </c>
      <c r="L2232" s="2" t="s">
        <v>269</v>
      </c>
      <c r="M2232" s="2" t="s">
        <v>270</v>
      </c>
      <c r="N2232" s="2" t="s">
        <v>2234</v>
      </c>
      <c r="O2232" s="2" t="s">
        <v>96</v>
      </c>
      <c r="P2232" s="2" t="str">
        <f>"2170532147                    "</f>
        <v xml:space="preserve">2170532147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3.32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0.5</v>
      </c>
      <c r="BJ2232" s="2">
        <v>0.2</v>
      </c>
      <c r="BK2232" s="2">
        <v>0.5</v>
      </c>
      <c r="BL2232" s="2">
        <v>40.76</v>
      </c>
      <c r="BM2232" s="2">
        <v>5.71</v>
      </c>
      <c r="BN2232" s="2">
        <v>46.47</v>
      </c>
      <c r="BO2232" s="2">
        <v>46.47</v>
      </c>
      <c r="BP2232" s="2"/>
      <c r="BQ2232" s="2" t="s">
        <v>91</v>
      </c>
      <c r="BR2232" s="2" t="s">
        <v>83</v>
      </c>
      <c r="BS2232" s="3">
        <v>42668</v>
      </c>
      <c r="BT2232" s="4">
        <v>0.4375</v>
      </c>
      <c r="BU2232" s="2" t="s">
        <v>2235</v>
      </c>
      <c r="BV2232" s="2" t="s">
        <v>85</v>
      </c>
      <c r="BW2232" s="2"/>
      <c r="BX2232" s="2"/>
      <c r="BY2232" s="2">
        <v>1200</v>
      </c>
      <c r="BZ2232" s="2"/>
      <c r="CA2232" s="2" t="s">
        <v>129</v>
      </c>
      <c r="CB2232" s="2"/>
      <c r="CC2232" s="2" t="s">
        <v>270</v>
      </c>
      <c r="CD2232" s="2">
        <v>3610</v>
      </c>
      <c r="CE2232" s="2" t="s">
        <v>108</v>
      </c>
      <c r="CF2232" s="5">
        <v>42669</v>
      </c>
      <c r="CG2232" s="2"/>
      <c r="CH2232" s="2"/>
      <c r="CI2232" s="2">
        <v>1</v>
      </c>
      <c r="CJ2232" s="2">
        <v>1</v>
      </c>
      <c r="CK2232" s="2">
        <v>21</v>
      </c>
      <c r="CL2232" s="2" t="s">
        <v>88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"FES1162508905"</f>
        <v>FES1162508905</v>
      </c>
      <c r="F2233" s="3">
        <v>42667</v>
      </c>
      <c r="G2233" s="2">
        <v>201704</v>
      </c>
      <c r="H2233" s="2" t="s">
        <v>74</v>
      </c>
      <c r="I2233" s="2" t="s">
        <v>75</v>
      </c>
      <c r="J2233" s="2" t="s">
        <v>76</v>
      </c>
      <c r="K2233" s="2" t="s">
        <v>77</v>
      </c>
      <c r="L2233" s="2" t="s">
        <v>148</v>
      </c>
      <c r="M2233" s="2" t="s">
        <v>149</v>
      </c>
      <c r="N2233" s="2" t="s">
        <v>726</v>
      </c>
      <c r="O2233" s="2" t="s">
        <v>96</v>
      </c>
      <c r="P2233" s="2" t="str">
        <f>"2170532156                    "</f>
        <v xml:space="preserve">2170532156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3.32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0.2</v>
      </c>
      <c r="BJ2233" s="2">
        <v>2</v>
      </c>
      <c r="BK2233" s="2">
        <v>2</v>
      </c>
      <c r="BL2233" s="2">
        <v>40.76</v>
      </c>
      <c r="BM2233" s="2">
        <v>5.71</v>
      </c>
      <c r="BN2233" s="2">
        <v>46.47</v>
      </c>
      <c r="BO2233" s="2">
        <v>46.47</v>
      </c>
      <c r="BP2233" s="2"/>
      <c r="BQ2233" s="2" t="s">
        <v>117</v>
      </c>
      <c r="BR2233" s="2" t="s">
        <v>83</v>
      </c>
      <c r="BS2233" s="3">
        <v>42668</v>
      </c>
      <c r="BT2233" s="4">
        <v>0.4375</v>
      </c>
      <c r="BU2233" s="2" t="s">
        <v>2236</v>
      </c>
      <c r="BV2233" s="2" t="s">
        <v>85</v>
      </c>
      <c r="BW2233" s="2"/>
      <c r="BX2233" s="2"/>
      <c r="BY2233" s="2">
        <v>9778.1299999999992</v>
      </c>
      <c r="BZ2233" s="2"/>
      <c r="CA2233" s="2" t="s">
        <v>129</v>
      </c>
      <c r="CB2233" s="2"/>
      <c r="CC2233" s="2" t="s">
        <v>149</v>
      </c>
      <c r="CD2233" s="2">
        <v>4070</v>
      </c>
      <c r="CE2233" s="2" t="s">
        <v>108</v>
      </c>
      <c r="CF2233" s="5">
        <v>42669</v>
      </c>
      <c r="CG2233" s="2"/>
      <c r="CH2233" s="2"/>
      <c r="CI2233" s="2">
        <v>1</v>
      </c>
      <c r="CJ2233" s="2">
        <v>1</v>
      </c>
      <c r="CK2233" s="2">
        <v>21</v>
      </c>
      <c r="CL2233" s="2" t="s">
        <v>88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"FES1162508912"</f>
        <v>FES1162508912</v>
      </c>
      <c r="F2234" s="3">
        <v>42667</v>
      </c>
      <c r="G2234" s="2">
        <v>201704</v>
      </c>
      <c r="H2234" s="2" t="s">
        <v>74</v>
      </c>
      <c r="I2234" s="2" t="s">
        <v>75</v>
      </c>
      <c r="J2234" s="2" t="s">
        <v>76</v>
      </c>
      <c r="K2234" s="2" t="s">
        <v>77</v>
      </c>
      <c r="L2234" s="2" t="s">
        <v>98</v>
      </c>
      <c r="M2234" s="2" t="s">
        <v>99</v>
      </c>
      <c r="N2234" s="2" t="s">
        <v>1318</v>
      </c>
      <c r="O2234" s="2" t="s">
        <v>96</v>
      </c>
      <c r="P2234" s="2" t="str">
        <f>"2170532165                    "</f>
        <v xml:space="preserve">2170532165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3.32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0.7</v>
      </c>
      <c r="BJ2234" s="2">
        <v>1.3</v>
      </c>
      <c r="BK2234" s="2">
        <v>1.5</v>
      </c>
      <c r="BL2234" s="2">
        <v>40.76</v>
      </c>
      <c r="BM2234" s="2">
        <v>5.71</v>
      </c>
      <c r="BN2234" s="2">
        <v>46.47</v>
      </c>
      <c r="BO2234" s="2">
        <v>46.47</v>
      </c>
      <c r="BP2234" s="2"/>
      <c r="BQ2234" s="2" t="s">
        <v>1555</v>
      </c>
      <c r="BR2234" s="2" t="s">
        <v>83</v>
      </c>
      <c r="BS2234" s="3">
        <v>42668</v>
      </c>
      <c r="BT2234" s="4">
        <v>0.30902777777777779</v>
      </c>
      <c r="BU2234" s="2" t="s">
        <v>2237</v>
      </c>
      <c r="BV2234" s="2" t="s">
        <v>85</v>
      </c>
      <c r="BW2234" s="2"/>
      <c r="BX2234" s="2"/>
      <c r="BY2234" s="2">
        <v>6292.97</v>
      </c>
      <c r="BZ2234" s="2"/>
      <c r="CA2234" s="2"/>
      <c r="CB2234" s="2"/>
      <c r="CC2234" s="2" t="s">
        <v>99</v>
      </c>
      <c r="CD2234" s="2">
        <v>6012</v>
      </c>
      <c r="CE2234" s="2" t="s">
        <v>108</v>
      </c>
      <c r="CF2234" s="5">
        <v>42669</v>
      </c>
      <c r="CG2234" s="2"/>
      <c r="CH2234" s="2"/>
      <c r="CI2234" s="2">
        <v>1</v>
      </c>
      <c r="CJ2234" s="2">
        <v>1</v>
      </c>
      <c r="CK2234" s="2">
        <v>21</v>
      </c>
      <c r="CL2234" s="2" t="s">
        <v>88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"FES1162508884"</f>
        <v>FES1162508884</v>
      </c>
      <c r="F2235" s="3">
        <v>42667</v>
      </c>
      <c r="G2235" s="2">
        <v>201704</v>
      </c>
      <c r="H2235" s="2" t="s">
        <v>74</v>
      </c>
      <c r="I2235" s="2" t="s">
        <v>75</v>
      </c>
      <c r="J2235" s="2" t="s">
        <v>76</v>
      </c>
      <c r="K2235" s="2" t="s">
        <v>77</v>
      </c>
      <c r="L2235" s="2" t="s">
        <v>898</v>
      </c>
      <c r="M2235" s="2" t="s">
        <v>899</v>
      </c>
      <c r="N2235" s="2" t="s">
        <v>900</v>
      </c>
      <c r="O2235" s="2" t="s">
        <v>96</v>
      </c>
      <c r="P2235" s="2" t="str">
        <f>"2170532133                    "</f>
        <v xml:space="preserve">2170532133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3.32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0.5</v>
      </c>
      <c r="BJ2235" s="2">
        <v>0.2</v>
      </c>
      <c r="BK2235" s="2">
        <v>0.5</v>
      </c>
      <c r="BL2235" s="2">
        <v>40.76</v>
      </c>
      <c r="BM2235" s="2">
        <v>5.71</v>
      </c>
      <c r="BN2235" s="2">
        <v>46.47</v>
      </c>
      <c r="BO2235" s="2">
        <v>46.47</v>
      </c>
      <c r="BP2235" s="2"/>
      <c r="BQ2235" s="2" t="s">
        <v>901</v>
      </c>
      <c r="BR2235" s="2" t="s">
        <v>83</v>
      </c>
      <c r="BS2235" s="3">
        <v>42668</v>
      </c>
      <c r="BT2235" s="4">
        <v>0.41666666666666669</v>
      </c>
      <c r="BU2235" s="2" t="s">
        <v>2238</v>
      </c>
      <c r="BV2235" s="2" t="s">
        <v>85</v>
      </c>
      <c r="BW2235" s="2"/>
      <c r="BX2235" s="2"/>
      <c r="BY2235" s="2">
        <v>1200</v>
      </c>
      <c r="BZ2235" s="2"/>
      <c r="CA2235" s="2"/>
      <c r="CB2235" s="2"/>
      <c r="CC2235" s="2" t="s">
        <v>899</v>
      </c>
      <c r="CD2235" s="2">
        <v>7654</v>
      </c>
      <c r="CE2235" s="2" t="s">
        <v>108</v>
      </c>
      <c r="CF2235" s="5">
        <v>42669</v>
      </c>
      <c r="CG2235" s="2"/>
      <c r="CH2235" s="2"/>
      <c r="CI2235" s="2">
        <v>1</v>
      </c>
      <c r="CJ2235" s="2">
        <v>1</v>
      </c>
      <c r="CK2235" s="2">
        <v>21</v>
      </c>
      <c r="CL2235" s="2" t="s">
        <v>88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"FES1162508913"</f>
        <v>FES1162508913</v>
      </c>
      <c r="F2236" s="3">
        <v>42667</v>
      </c>
      <c r="G2236" s="2">
        <v>201704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98</v>
      </c>
      <c r="M2236" s="2" t="s">
        <v>99</v>
      </c>
      <c r="N2236" s="2" t="s">
        <v>1318</v>
      </c>
      <c r="O2236" s="2" t="s">
        <v>96</v>
      </c>
      <c r="P2236" s="2" t="str">
        <f>"2170532168                    "</f>
        <v xml:space="preserve">2170532168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3.32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1</v>
      </c>
      <c r="BJ2236" s="2">
        <v>0.2</v>
      </c>
      <c r="BK2236" s="2">
        <v>1</v>
      </c>
      <c r="BL2236" s="2">
        <v>40.76</v>
      </c>
      <c r="BM2236" s="2">
        <v>5.71</v>
      </c>
      <c r="BN2236" s="2">
        <v>46.47</v>
      </c>
      <c r="BO2236" s="2">
        <v>46.47</v>
      </c>
      <c r="BP2236" s="2"/>
      <c r="BQ2236" s="2" t="s">
        <v>1555</v>
      </c>
      <c r="BR2236" s="2" t="s">
        <v>83</v>
      </c>
      <c r="BS2236" s="3">
        <v>42668</v>
      </c>
      <c r="BT2236" s="4">
        <v>0.30902777777777779</v>
      </c>
      <c r="BU2236" s="2" t="s">
        <v>2237</v>
      </c>
      <c r="BV2236" s="2" t="s">
        <v>85</v>
      </c>
      <c r="BW2236" s="2"/>
      <c r="BX2236" s="2"/>
      <c r="BY2236" s="2">
        <v>1200</v>
      </c>
      <c r="BZ2236" s="2"/>
      <c r="CA2236" s="2"/>
      <c r="CB2236" s="2"/>
      <c r="CC2236" s="2" t="s">
        <v>99</v>
      </c>
      <c r="CD2236" s="2">
        <v>6012</v>
      </c>
      <c r="CE2236" s="2" t="s">
        <v>108</v>
      </c>
      <c r="CF2236" s="5">
        <v>42669</v>
      </c>
      <c r="CG2236" s="2"/>
      <c r="CH2236" s="2"/>
      <c r="CI2236" s="2">
        <v>1</v>
      </c>
      <c r="CJ2236" s="2">
        <v>1</v>
      </c>
      <c r="CK2236" s="2">
        <v>21</v>
      </c>
      <c r="CL2236" s="2" t="s">
        <v>88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"FES1162508897"</f>
        <v>FES1162508897</v>
      </c>
      <c r="F2237" s="3">
        <v>42667</v>
      </c>
      <c r="G2237" s="2">
        <v>201704</v>
      </c>
      <c r="H2237" s="2" t="s">
        <v>74</v>
      </c>
      <c r="I2237" s="2" t="s">
        <v>75</v>
      </c>
      <c r="J2237" s="2" t="s">
        <v>76</v>
      </c>
      <c r="K2237" s="2" t="s">
        <v>77</v>
      </c>
      <c r="L2237" s="2" t="s">
        <v>153</v>
      </c>
      <c r="M2237" s="2" t="s">
        <v>153</v>
      </c>
      <c r="N2237" s="2" t="s">
        <v>757</v>
      </c>
      <c r="O2237" s="2" t="s">
        <v>96</v>
      </c>
      <c r="P2237" s="2" t="str">
        <f>"2170532153                    "</f>
        <v xml:space="preserve">2170532153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3.32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0.5</v>
      </c>
      <c r="BJ2237" s="2">
        <v>0.2</v>
      </c>
      <c r="BK2237" s="2">
        <v>0.5</v>
      </c>
      <c r="BL2237" s="2">
        <v>40.76</v>
      </c>
      <c r="BM2237" s="2">
        <v>5.71</v>
      </c>
      <c r="BN2237" s="2">
        <v>46.47</v>
      </c>
      <c r="BO2237" s="2">
        <v>46.47</v>
      </c>
      <c r="BP2237" s="2"/>
      <c r="BQ2237" s="2" t="s">
        <v>91</v>
      </c>
      <c r="BR2237" s="2" t="s">
        <v>83</v>
      </c>
      <c r="BS2237" s="3">
        <v>42668</v>
      </c>
      <c r="BT2237" s="4">
        <v>0.55972222222222223</v>
      </c>
      <c r="BU2237" s="2" t="s">
        <v>2239</v>
      </c>
      <c r="BV2237" s="2" t="s">
        <v>85</v>
      </c>
      <c r="BW2237" s="2"/>
      <c r="BX2237" s="2"/>
      <c r="BY2237" s="2">
        <v>1200</v>
      </c>
      <c r="BZ2237" s="2"/>
      <c r="CA2237" s="2"/>
      <c r="CB2237" s="2"/>
      <c r="CC2237" s="2" t="s">
        <v>153</v>
      </c>
      <c r="CD2237" s="2">
        <v>7646</v>
      </c>
      <c r="CE2237" s="2" t="s">
        <v>108</v>
      </c>
      <c r="CF2237" s="5">
        <v>42669</v>
      </c>
      <c r="CG2237" s="2"/>
      <c r="CH2237" s="2"/>
      <c r="CI2237" s="2">
        <v>1</v>
      </c>
      <c r="CJ2237" s="2">
        <v>1</v>
      </c>
      <c r="CK2237" s="2">
        <v>21</v>
      </c>
      <c r="CL2237" s="2" t="s">
        <v>88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"FES1162508952"</f>
        <v>FES1162508952</v>
      </c>
      <c r="F2238" s="3">
        <v>42667</v>
      </c>
      <c r="G2238" s="2">
        <v>201704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93</v>
      </c>
      <c r="M2238" s="2" t="s">
        <v>94</v>
      </c>
      <c r="N2238" s="2" t="s">
        <v>536</v>
      </c>
      <c r="O2238" s="2" t="s">
        <v>96</v>
      </c>
      <c r="P2238" s="2" t="str">
        <f>"2170532231                    "</f>
        <v xml:space="preserve">2170532231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3.32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0.4</v>
      </c>
      <c r="BJ2238" s="2">
        <v>1</v>
      </c>
      <c r="BK2238" s="2">
        <v>1</v>
      </c>
      <c r="BL2238" s="2">
        <v>40.76</v>
      </c>
      <c r="BM2238" s="2">
        <v>5.71</v>
      </c>
      <c r="BN2238" s="2">
        <v>46.47</v>
      </c>
      <c r="BO2238" s="2">
        <v>46.47</v>
      </c>
      <c r="BP2238" s="2"/>
      <c r="BQ2238" s="2" t="s">
        <v>537</v>
      </c>
      <c r="BR2238" s="2" t="s">
        <v>83</v>
      </c>
      <c r="BS2238" s="3">
        <v>42668</v>
      </c>
      <c r="BT2238" s="4">
        <v>0.4375</v>
      </c>
      <c r="BU2238" s="2" t="s">
        <v>2195</v>
      </c>
      <c r="BV2238" s="2" t="s">
        <v>85</v>
      </c>
      <c r="BW2238" s="2"/>
      <c r="BX2238" s="2"/>
      <c r="BY2238" s="2">
        <v>5090.16</v>
      </c>
      <c r="BZ2238" s="2"/>
      <c r="CA2238" s="2"/>
      <c r="CB2238" s="2"/>
      <c r="CC2238" s="2" t="s">
        <v>94</v>
      </c>
      <c r="CD2238" s="2">
        <v>4300</v>
      </c>
      <c r="CE2238" s="2" t="s">
        <v>108</v>
      </c>
      <c r="CF2238" s="5">
        <v>42669</v>
      </c>
      <c r="CG2238" s="2"/>
      <c r="CH2238" s="2"/>
      <c r="CI2238" s="2">
        <v>1</v>
      </c>
      <c r="CJ2238" s="2">
        <v>1</v>
      </c>
      <c r="CK2238" s="2">
        <v>21</v>
      </c>
      <c r="CL2238" s="2" t="s">
        <v>88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"FES1162508953"</f>
        <v>FES1162508953</v>
      </c>
      <c r="F2239" s="3">
        <v>42667</v>
      </c>
      <c r="G2239" s="2">
        <v>201704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93</v>
      </c>
      <c r="M2239" s="2" t="s">
        <v>94</v>
      </c>
      <c r="N2239" s="2" t="s">
        <v>536</v>
      </c>
      <c r="O2239" s="2" t="s">
        <v>96</v>
      </c>
      <c r="P2239" s="2" t="str">
        <f>"2170532207                    "</f>
        <v xml:space="preserve">2170532207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3.32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40.76</v>
      </c>
      <c r="BM2239" s="2">
        <v>5.71</v>
      </c>
      <c r="BN2239" s="2">
        <v>46.47</v>
      </c>
      <c r="BO2239" s="2">
        <v>46.47</v>
      </c>
      <c r="BP2239" s="2"/>
      <c r="BQ2239" s="2" t="s">
        <v>537</v>
      </c>
      <c r="BR2239" s="2" t="s">
        <v>83</v>
      </c>
      <c r="BS2239" s="3">
        <v>42668</v>
      </c>
      <c r="BT2239" s="4">
        <v>0.4375</v>
      </c>
      <c r="BU2239" s="2" t="s">
        <v>2195</v>
      </c>
      <c r="BV2239" s="2" t="s">
        <v>85</v>
      </c>
      <c r="BW2239" s="2"/>
      <c r="BX2239" s="2"/>
      <c r="BY2239" s="2">
        <v>1200</v>
      </c>
      <c r="BZ2239" s="2"/>
      <c r="CA2239" s="2"/>
      <c r="CB2239" s="2"/>
      <c r="CC2239" s="2" t="s">
        <v>94</v>
      </c>
      <c r="CD2239" s="2">
        <v>4300</v>
      </c>
      <c r="CE2239" s="2" t="s">
        <v>108</v>
      </c>
      <c r="CF2239" s="5">
        <v>42669</v>
      </c>
      <c r="CG2239" s="2"/>
      <c r="CH2239" s="2"/>
      <c r="CI2239" s="2">
        <v>1</v>
      </c>
      <c r="CJ2239" s="2">
        <v>1</v>
      </c>
      <c r="CK2239" s="2">
        <v>21</v>
      </c>
      <c r="CL2239" s="2" t="s">
        <v>88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"FES1162508954"</f>
        <v>FES1162508954</v>
      </c>
      <c r="F2240" s="3">
        <v>42667</v>
      </c>
      <c r="G2240" s="2">
        <v>201704</v>
      </c>
      <c r="H2240" s="2" t="s">
        <v>74</v>
      </c>
      <c r="I2240" s="2" t="s">
        <v>75</v>
      </c>
      <c r="J2240" s="2" t="s">
        <v>76</v>
      </c>
      <c r="K2240" s="2" t="s">
        <v>77</v>
      </c>
      <c r="L2240" s="2" t="s">
        <v>119</v>
      </c>
      <c r="M2240" s="2" t="s">
        <v>120</v>
      </c>
      <c r="N2240" s="2" t="s">
        <v>1517</v>
      </c>
      <c r="O2240" s="2" t="s">
        <v>96</v>
      </c>
      <c r="P2240" s="2" t="str">
        <f>"2170532237                    "</f>
        <v xml:space="preserve">2170532237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3.32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1</v>
      </c>
      <c r="BJ2240" s="2">
        <v>0.2</v>
      </c>
      <c r="BK2240" s="2">
        <v>1</v>
      </c>
      <c r="BL2240" s="2">
        <v>40.76</v>
      </c>
      <c r="BM2240" s="2">
        <v>5.71</v>
      </c>
      <c r="BN2240" s="2">
        <v>46.47</v>
      </c>
      <c r="BO2240" s="2">
        <v>46.47</v>
      </c>
      <c r="BP2240" s="2"/>
      <c r="BQ2240" s="2" t="s">
        <v>1518</v>
      </c>
      <c r="BR2240" s="2" t="s">
        <v>83</v>
      </c>
      <c r="BS2240" s="3">
        <v>42668</v>
      </c>
      <c r="BT2240" s="4">
        <v>0.40763888888888888</v>
      </c>
      <c r="BU2240" s="2" t="s">
        <v>2240</v>
      </c>
      <c r="BV2240" s="2" t="s">
        <v>85</v>
      </c>
      <c r="BW2240" s="2"/>
      <c r="BX2240" s="2"/>
      <c r="BY2240" s="2">
        <v>1200</v>
      </c>
      <c r="BZ2240" s="2"/>
      <c r="CA2240" s="2"/>
      <c r="CB2240" s="2"/>
      <c r="CC2240" s="2" t="s">
        <v>120</v>
      </c>
      <c r="CD2240" s="2">
        <v>6229</v>
      </c>
      <c r="CE2240" s="2" t="s">
        <v>108</v>
      </c>
      <c r="CF2240" s="5">
        <v>42669</v>
      </c>
      <c r="CG2240" s="2"/>
      <c r="CH2240" s="2"/>
      <c r="CI2240" s="2">
        <v>1</v>
      </c>
      <c r="CJ2240" s="2">
        <v>1</v>
      </c>
      <c r="CK2240" s="2">
        <v>21</v>
      </c>
      <c r="CL2240" s="2" t="s">
        <v>88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"FES1162508890"</f>
        <v>FES1162508890</v>
      </c>
      <c r="F2241" s="3">
        <v>42667</v>
      </c>
      <c r="G2241" s="2">
        <v>201704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269</v>
      </c>
      <c r="M2241" s="2" t="s">
        <v>270</v>
      </c>
      <c r="N2241" s="2" t="s">
        <v>299</v>
      </c>
      <c r="O2241" s="2" t="s">
        <v>96</v>
      </c>
      <c r="P2241" s="2" t="str">
        <f>"2170532144                    "</f>
        <v xml:space="preserve">2170532144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3.32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0.5</v>
      </c>
      <c r="BJ2241" s="2">
        <v>0.2</v>
      </c>
      <c r="BK2241" s="2">
        <v>0.5</v>
      </c>
      <c r="BL2241" s="2">
        <v>40.76</v>
      </c>
      <c r="BM2241" s="2">
        <v>5.71</v>
      </c>
      <c r="BN2241" s="2">
        <v>46.47</v>
      </c>
      <c r="BO2241" s="2">
        <v>46.47</v>
      </c>
      <c r="BP2241" s="2"/>
      <c r="BQ2241" s="2" t="s">
        <v>300</v>
      </c>
      <c r="BR2241" s="2" t="s">
        <v>83</v>
      </c>
      <c r="BS2241" s="3">
        <v>42668</v>
      </c>
      <c r="BT2241" s="4">
        <v>0.4375</v>
      </c>
      <c r="BU2241" s="2" t="s">
        <v>2241</v>
      </c>
      <c r="BV2241" s="2" t="s">
        <v>85</v>
      </c>
      <c r="BW2241" s="2"/>
      <c r="BX2241" s="2"/>
      <c r="BY2241" s="2">
        <v>1200</v>
      </c>
      <c r="BZ2241" s="2"/>
      <c r="CA2241" s="2"/>
      <c r="CB2241" s="2"/>
      <c r="CC2241" s="2" t="s">
        <v>270</v>
      </c>
      <c r="CD2241" s="2">
        <v>3610</v>
      </c>
      <c r="CE2241" s="2" t="s">
        <v>108</v>
      </c>
      <c r="CF2241" s="5">
        <v>42669</v>
      </c>
      <c r="CG2241" s="2"/>
      <c r="CH2241" s="2"/>
      <c r="CI2241" s="2">
        <v>1</v>
      </c>
      <c r="CJ2241" s="2">
        <v>1</v>
      </c>
      <c r="CK2241" s="2">
        <v>21</v>
      </c>
      <c r="CL2241" s="2" t="s">
        <v>88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"FES1162508795"</f>
        <v>FES1162508795</v>
      </c>
      <c r="F2242" s="3">
        <v>42667</v>
      </c>
      <c r="G2242" s="2">
        <v>201704</v>
      </c>
      <c r="H2242" s="2" t="s">
        <v>74</v>
      </c>
      <c r="I2242" s="2" t="s">
        <v>75</v>
      </c>
      <c r="J2242" s="2" t="s">
        <v>76</v>
      </c>
      <c r="K2242" s="2" t="s">
        <v>77</v>
      </c>
      <c r="L2242" s="2" t="s">
        <v>78</v>
      </c>
      <c r="M2242" s="2" t="s">
        <v>79</v>
      </c>
      <c r="N2242" s="2" t="s">
        <v>89</v>
      </c>
      <c r="O2242" s="2" t="s">
        <v>96</v>
      </c>
      <c r="P2242" s="2" t="str">
        <f>"2170531944                    "</f>
        <v xml:space="preserve">2170531944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3.32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0.5</v>
      </c>
      <c r="BJ2242" s="2">
        <v>0.2</v>
      </c>
      <c r="BK2242" s="2">
        <v>0.5</v>
      </c>
      <c r="BL2242" s="2">
        <v>40.76</v>
      </c>
      <c r="BM2242" s="2">
        <v>5.71</v>
      </c>
      <c r="BN2242" s="2">
        <v>46.47</v>
      </c>
      <c r="BO2242" s="2">
        <v>46.47</v>
      </c>
      <c r="BP2242" s="2"/>
      <c r="BQ2242" s="2" t="s">
        <v>2242</v>
      </c>
      <c r="BR2242" s="2" t="s">
        <v>83</v>
      </c>
      <c r="BS2242" s="3">
        <v>42668</v>
      </c>
      <c r="BT2242" s="4">
        <v>0.41666666666666669</v>
      </c>
      <c r="BU2242" s="2" t="s">
        <v>1145</v>
      </c>
      <c r="BV2242" s="2" t="s">
        <v>85</v>
      </c>
      <c r="BW2242" s="2"/>
      <c r="BX2242" s="2"/>
      <c r="BY2242" s="2">
        <v>1200</v>
      </c>
      <c r="BZ2242" s="2"/>
      <c r="CA2242" s="2"/>
      <c r="CB2242" s="2"/>
      <c r="CC2242" s="2" t="s">
        <v>79</v>
      </c>
      <c r="CD2242" s="2">
        <v>1873</v>
      </c>
      <c r="CE2242" s="2" t="s">
        <v>108</v>
      </c>
      <c r="CF2242" s="5">
        <v>42670</v>
      </c>
      <c r="CG2242" s="2"/>
      <c r="CH2242" s="2"/>
      <c r="CI2242" s="2">
        <v>1</v>
      </c>
      <c r="CJ2242" s="2">
        <v>1</v>
      </c>
      <c r="CK2242" s="2">
        <v>21</v>
      </c>
      <c r="CL2242" s="2" t="s">
        <v>88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"FES1162508947"</f>
        <v>FES1162508947</v>
      </c>
      <c r="F2243" s="3">
        <v>42667</v>
      </c>
      <c r="G2243" s="2">
        <v>201704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137</v>
      </c>
      <c r="M2243" s="2" t="s">
        <v>138</v>
      </c>
      <c r="N2243" s="2" t="s">
        <v>203</v>
      </c>
      <c r="O2243" s="2" t="s">
        <v>96</v>
      </c>
      <c r="P2243" s="2" t="str">
        <f>"2170532221                    "</f>
        <v xml:space="preserve">2170532221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7.46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4.4000000000000004</v>
      </c>
      <c r="BJ2243" s="2">
        <v>1.8</v>
      </c>
      <c r="BK2243" s="2">
        <v>4.5</v>
      </c>
      <c r="BL2243" s="2">
        <v>91.7</v>
      </c>
      <c r="BM2243" s="2">
        <v>12.84</v>
      </c>
      <c r="BN2243" s="2">
        <v>104.54</v>
      </c>
      <c r="BO2243" s="2">
        <v>104.54</v>
      </c>
      <c r="BP2243" s="2"/>
      <c r="BQ2243" s="2" t="s">
        <v>168</v>
      </c>
      <c r="BR2243" s="2" t="s">
        <v>83</v>
      </c>
      <c r="BS2243" s="3">
        <v>42668</v>
      </c>
      <c r="BT2243" s="4">
        <v>0.41388888888888892</v>
      </c>
      <c r="BU2243" s="2" t="s">
        <v>204</v>
      </c>
      <c r="BV2243" s="2"/>
      <c r="BW2243" s="2"/>
      <c r="BX2243" s="2"/>
      <c r="BY2243" s="2">
        <v>8797.15</v>
      </c>
      <c r="BZ2243" s="2"/>
      <c r="CA2243" s="2" t="s">
        <v>205</v>
      </c>
      <c r="CB2243" s="2"/>
      <c r="CC2243" s="2" t="s">
        <v>138</v>
      </c>
      <c r="CD2243" s="2">
        <v>3201</v>
      </c>
      <c r="CE2243" s="2" t="s">
        <v>86</v>
      </c>
      <c r="CF2243" s="5">
        <v>42668</v>
      </c>
      <c r="CG2243" s="2"/>
      <c r="CH2243" s="2"/>
      <c r="CI2243" s="2">
        <v>0</v>
      </c>
      <c r="CJ2243" s="2">
        <v>0</v>
      </c>
      <c r="CK2243" s="2">
        <v>21</v>
      </c>
      <c r="CL2243" s="2" t="s">
        <v>88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"FES1162508723"</f>
        <v>FES1162508723</v>
      </c>
      <c r="F2244" s="3">
        <v>42667</v>
      </c>
      <c r="G2244" s="2">
        <v>201704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286</v>
      </c>
      <c r="M2244" s="2" t="s">
        <v>287</v>
      </c>
      <c r="N2244" s="2" t="s">
        <v>2243</v>
      </c>
      <c r="O2244" s="2" t="s">
        <v>96</v>
      </c>
      <c r="P2244" s="2" t="str">
        <f>"2170531974                    "</f>
        <v xml:space="preserve">2170531974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3.32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0.7</v>
      </c>
      <c r="BJ2244" s="2">
        <v>1.3</v>
      </c>
      <c r="BK2244" s="2">
        <v>1.5</v>
      </c>
      <c r="BL2244" s="2">
        <v>40.76</v>
      </c>
      <c r="BM2244" s="2">
        <v>5.71</v>
      </c>
      <c r="BN2244" s="2">
        <v>46.47</v>
      </c>
      <c r="BO2244" s="2">
        <v>46.47</v>
      </c>
      <c r="BP2244" s="2"/>
      <c r="BQ2244" s="2" t="s">
        <v>91</v>
      </c>
      <c r="BR2244" s="2" t="s">
        <v>83</v>
      </c>
      <c r="BS2244" s="3">
        <v>42668</v>
      </c>
      <c r="BT2244" s="4">
        <v>0.41666666666666669</v>
      </c>
      <c r="BU2244" s="2" t="s">
        <v>84</v>
      </c>
      <c r="BV2244" s="2" t="s">
        <v>85</v>
      </c>
      <c r="BW2244" s="2"/>
      <c r="BX2244" s="2"/>
      <c r="BY2244" s="2">
        <v>6645.29</v>
      </c>
      <c r="BZ2244" s="2"/>
      <c r="CA2244" s="2"/>
      <c r="CB2244" s="2"/>
      <c r="CC2244" s="2" t="s">
        <v>287</v>
      </c>
      <c r="CD2244" s="2">
        <v>1947</v>
      </c>
      <c r="CE2244" s="2" t="s">
        <v>108</v>
      </c>
      <c r="CF2244" s="5">
        <v>42670</v>
      </c>
      <c r="CG2244" s="2"/>
      <c r="CH2244" s="2"/>
      <c r="CI2244" s="2">
        <v>1</v>
      </c>
      <c r="CJ2244" s="2">
        <v>1</v>
      </c>
      <c r="CK2244" s="2">
        <v>21</v>
      </c>
      <c r="CL2244" s="2" t="s">
        <v>88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"FES1162508943"</f>
        <v>FES1162508943</v>
      </c>
      <c r="F2245" s="3">
        <v>42667</v>
      </c>
      <c r="G2245" s="2">
        <v>201704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160</v>
      </c>
      <c r="M2245" s="2" t="s">
        <v>161</v>
      </c>
      <c r="N2245" s="2" t="s">
        <v>622</v>
      </c>
      <c r="O2245" s="2" t="s">
        <v>96</v>
      </c>
      <c r="P2245" s="2" t="str">
        <f>"2170532218                    "</f>
        <v xml:space="preserve">2170532218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3.32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0.5</v>
      </c>
      <c r="BJ2245" s="2">
        <v>0.2</v>
      </c>
      <c r="BK2245" s="2">
        <v>0.5</v>
      </c>
      <c r="BL2245" s="2">
        <v>40.76</v>
      </c>
      <c r="BM2245" s="2">
        <v>5.71</v>
      </c>
      <c r="BN2245" s="2">
        <v>46.47</v>
      </c>
      <c r="BO2245" s="2">
        <v>46.47</v>
      </c>
      <c r="BP2245" s="2"/>
      <c r="BQ2245" s="2" t="s">
        <v>623</v>
      </c>
      <c r="BR2245" s="2" t="s">
        <v>83</v>
      </c>
      <c r="BS2245" s="3">
        <v>42668</v>
      </c>
      <c r="BT2245" s="4">
        <v>0.50972222222222219</v>
      </c>
      <c r="BU2245" s="2" t="s">
        <v>624</v>
      </c>
      <c r="BV2245" s="2" t="s">
        <v>88</v>
      </c>
      <c r="BW2245" s="2" t="s">
        <v>277</v>
      </c>
      <c r="BX2245" s="2" t="s">
        <v>695</v>
      </c>
      <c r="BY2245" s="2">
        <v>1200</v>
      </c>
      <c r="BZ2245" s="2"/>
      <c r="CA2245" s="2" t="s">
        <v>1193</v>
      </c>
      <c r="CB2245" s="2"/>
      <c r="CC2245" s="2" t="s">
        <v>161</v>
      </c>
      <c r="CD2245" s="2">
        <v>7490</v>
      </c>
      <c r="CE2245" s="2" t="s">
        <v>108</v>
      </c>
      <c r="CF2245" s="5">
        <v>42668</v>
      </c>
      <c r="CG2245" s="2"/>
      <c r="CH2245" s="2"/>
      <c r="CI2245" s="2">
        <v>1</v>
      </c>
      <c r="CJ2245" s="2">
        <v>1</v>
      </c>
      <c r="CK2245" s="2">
        <v>21</v>
      </c>
      <c r="CL2245" s="2" t="s">
        <v>88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"FES1162508841"</f>
        <v>FES1162508841</v>
      </c>
      <c r="F2246" s="3">
        <v>42667</v>
      </c>
      <c r="G2246" s="2">
        <v>201704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160</v>
      </c>
      <c r="M2246" s="2" t="s">
        <v>161</v>
      </c>
      <c r="N2246" s="2" t="s">
        <v>179</v>
      </c>
      <c r="O2246" s="2" t="s">
        <v>96</v>
      </c>
      <c r="P2246" s="2" t="str">
        <f>"2170531705                    "</f>
        <v xml:space="preserve">2170531705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7.46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1.1000000000000001</v>
      </c>
      <c r="BJ2246" s="2">
        <v>4.0999999999999996</v>
      </c>
      <c r="BK2246" s="2">
        <v>4.5</v>
      </c>
      <c r="BL2246" s="2">
        <v>91.7</v>
      </c>
      <c r="BM2246" s="2">
        <v>12.84</v>
      </c>
      <c r="BN2246" s="2">
        <v>104.54</v>
      </c>
      <c r="BO2246" s="2">
        <v>104.54</v>
      </c>
      <c r="BP2246" s="2"/>
      <c r="BQ2246" s="2" t="s">
        <v>180</v>
      </c>
      <c r="BR2246" s="2" t="s">
        <v>83</v>
      </c>
      <c r="BS2246" s="3">
        <v>42668</v>
      </c>
      <c r="BT2246" s="4">
        <v>0.41666666666666669</v>
      </c>
      <c r="BU2246" s="2" t="s">
        <v>2220</v>
      </c>
      <c r="BV2246" s="2" t="s">
        <v>85</v>
      </c>
      <c r="BW2246" s="2"/>
      <c r="BX2246" s="2"/>
      <c r="BY2246" s="2">
        <v>20724.259999999998</v>
      </c>
      <c r="BZ2246" s="2"/>
      <c r="CA2246" s="2" t="s">
        <v>129</v>
      </c>
      <c r="CB2246" s="2"/>
      <c r="CC2246" s="2" t="s">
        <v>161</v>
      </c>
      <c r="CD2246" s="2">
        <v>7405</v>
      </c>
      <c r="CE2246" s="2" t="s">
        <v>108</v>
      </c>
      <c r="CF2246" s="5">
        <v>42669</v>
      </c>
      <c r="CG2246" s="2"/>
      <c r="CH2246" s="2"/>
      <c r="CI2246" s="2">
        <v>1</v>
      </c>
      <c r="CJ2246" s="2">
        <v>1</v>
      </c>
      <c r="CK2246" s="2">
        <v>21</v>
      </c>
      <c r="CL2246" s="2" t="s">
        <v>88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"FES1162508926"</f>
        <v>FES1162508926</v>
      </c>
      <c r="F2247" s="3">
        <v>42667</v>
      </c>
      <c r="G2247" s="2">
        <v>201704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148</v>
      </c>
      <c r="M2247" s="2" t="s">
        <v>149</v>
      </c>
      <c r="N2247" s="2" t="s">
        <v>2244</v>
      </c>
      <c r="O2247" s="2" t="s">
        <v>96</v>
      </c>
      <c r="P2247" s="2" t="str">
        <f>"2170532036                    "</f>
        <v xml:space="preserve">2170532036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3.32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1</v>
      </c>
      <c r="BJ2247" s="2">
        <v>0.2</v>
      </c>
      <c r="BK2247" s="2">
        <v>1</v>
      </c>
      <c r="BL2247" s="2">
        <v>40.76</v>
      </c>
      <c r="BM2247" s="2">
        <v>5.71</v>
      </c>
      <c r="BN2247" s="2">
        <v>46.47</v>
      </c>
      <c r="BO2247" s="2">
        <v>46.47</v>
      </c>
      <c r="BP2247" s="2"/>
      <c r="BQ2247" s="2" t="s">
        <v>91</v>
      </c>
      <c r="BR2247" s="2" t="s">
        <v>83</v>
      </c>
      <c r="BS2247" s="3">
        <v>42668</v>
      </c>
      <c r="BT2247" s="4">
        <v>0.4375</v>
      </c>
      <c r="BU2247" s="2" t="s">
        <v>2245</v>
      </c>
      <c r="BV2247" s="2" t="s">
        <v>85</v>
      </c>
      <c r="BW2247" s="2"/>
      <c r="BX2247" s="2"/>
      <c r="BY2247" s="2">
        <v>1200</v>
      </c>
      <c r="BZ2247" s="2"/>
      <c r="CA2247" s="2" t="s">
        <v>129</v>
      </c>
      <c r="CB2247" s="2"/>
      <c r="CC2247" s="2" t="s">
        <v>149</v>
      </c>
      <c r="CD2247" s="2">
        <v>4064</v>
      </c>
      <c r="CE2247" s="2" t="s">
        <v>108</v>
      </c>
      <c r="CF2247" s="5">
        <v>42669</v>
      </c>
      <c r="CG2247" s="2"/>
      <c r="CH2247" s="2"/>
      <c r="CI2247" s="2">
        <v>1</v>
      </c>
      <c r="CJ2247" s="2">
        <v>1</v>
      </c>
      <c r="CK2247" s="2">
        <v>21</v>
      </c>
      <c r="CL2247" s="2" t="s">
        <v>88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"FES1162508883"</f>
        <v>FES1162508883</v>
      </c>
      <c r="F2248" s="3">
        <v>42667</v>
      </c>
      <c r="G2248" s="2">
        <v>201704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156</v>
      </c>
      <c r="M2248" s="2" t="s">
        <v>157</v>
      </c>
      <c r="N2248" s="2" t="s">
        <v>507</v>
      </c>
      <c r="O2248" s="2" t="s">
        <v>96</v>
      </c>
      <c r="P2248" s="2" t="str">
        <f>"2170532132                    "</f>
        <v xml:space="preserve">2170532132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3.32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0.5</v>
      </c>
      <c r="BJ2248" s="2">
        <v>1.7</v>
      </c>
      <c r="BK2248" s="2">
        <v>2</v>
      </c>
      <c r="BL2248" s="2">
        <v>40.76</v>
      </c>
      <c r="BM2248" s="2">
        <v>5.71</v>
      </c>
      <c r="BN2248" s="2">
        <v>46.47</v>
      </c>
      <c r="BO2248" s="2">
        <v>46.47</v>
      </c>
      <c r="BP2248" s="2"/>
      <c r="BQ2248" s="2" t="s">
        <v>508</v>
      </c>
      <c r="BR2248" s="2" t="s">
        <v>83</v>
      </c>
      <c r="BS2248" s="3">
        <v>42669</v>
      </c>
      <c r="BT2248" s="4">
        <v>0.41666666666666669</v>
      </c>
      <c r="BU2248" s="2" t="s">
        <v>2246</v>
      </c>
      <c r="BV2248" s="2" t="s">
        <v>88</v>
      </c>
      <c r="BW2248" s="2" t="s">
        <v>222</v>
      </c>
      <c r="BX2248" s="2" t="s">
        <v>356</v>
      </c>
      <c r="BY2248" s="2">
        <v>8590.4699999999993</v>
      </c>
      <c r="BZ2248" s="2"/>
      <c r="CA2248" s="2" t="s">
        <v>129</v>
      </c>
      <c r="CB2248" s="2"/>
      <c r="CC2248" s="2" t="s">
        <v>157</v>
      </c>
      <c r="CD2248" s="2">
        <v>7130</v>
      </c>
      <c r="CE2248" s="2" t="s">
        <v>108</v>
      </c>
      <c r="CF2248" s="5">
        <v>42670</v>
      </c>
      <c r="CG2248" s="2"/>
      <c r="CH2248" s="2"/>
      <c r="CI2248" s="2">
        <v>1</v>
      </c>
      <c r="CJ2248" s="2">
        <v>2</v>
      </c>
      <c r="CK2248" s="2">
        <v>21</v>
      </c>
      <c r="CL2248" s="2" t="s">
        <v>88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"FES1162508907"</f>
        <v>FES1162508907</v>
      </c>
      <c r="F2249" s="3">
        <v>42667</v>
      </c>
      <c r="G2249" s="2">
        <v>201704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148</v>
      </c>
      <c r="M2249" s="2" t="s">
        <v>149</v>
      </c>
      <c r="N2249" s="2" t="s">
        <v>2247</v>
      </c>
      <c r="O2249" s="2" t="s">
        <v>96</v>
      </c>
      <c r="P2249" s="2" t="str">
        <f>"2170532158                    "</f>
        <v xml:space="preserve">2170532158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22.39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13.5</v>
      </c>
      <c r="BJ2249" s="2">
        <v>3.4</v>
      </c>
      <c r="BK2249" s="2">
        <v>13.5</v>
      </c>
      <c r="BL2249" s="2">
        <v>275.11</v>
      </c>
      <c r="BM2249" s="2">
        <v>38.520000000000003</v>
      </c>
      <c r="BN2249" s="2">
        <v>313.63</v>
      </c>
      <c r="BO2249" s="2">
        <v>313.63</v>
      </c>
      <c r="BP2249" s="2"/>
      <c r="BQ2249" s="2" t="s">
        <v>2248</v>
      </c>
      <c r="BR2249" s="2" t="s">
        <v>83</v>
      </c>
      <c r="BS2249" s="3">
        <v>42668</v>
      </c>
      <c r="BT2249" s="4">
        <v>0.4375</v>
      </c>
      <c r="BU2249" s="2" t="s">
        <v>1071</v>
      </c>
      <c r="BV2249" s="2" t="s">
        <v>85</v>
      </c>
      <c r="BW2249" s="2"/>
      <c r="BX2249" s="2"/>
      <c r="BY2249" s="2">
        <v>17163.759999999998</v>
      </c>
      <c r="BZ2249" s="2"/>
      <c r="CA2249" s="2"/>
      <c r="CB2249" s="2"/>
      <c r="CC2249" s="2" t="s">
        <v>149</v>
      </c>
      <c r="CD2249" s="2">
        <v>4068</v>
      </c>
      <c r="CE2249" s="2" t="s">
        <v>86</v>
      </c>
      <c r="CF2249" s="5">
        <v>42669</v>
      </c>
      <c r="CG2249" s="2"/>
      <c r="CH2249" s="2"/>
      <c r="CI2249" s="2">
        <v>1</v>
      </c>
      <c r="CJ2249" s="2">
        <v>1</v>
      </c>
      <c r="CK2249" s="2">
        <v>21</v>
      </c>
      <c r="CL2249" s="2" t="s">
        <v>88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"FES1162508949"</f>
        <v>FES1162508949</v>
      </c>
      <c r="F2250" s="3">
        <v>42667</v>
      </c>
      <c r="G2250" s="2">
        <v>201704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143</v>
      </c>
      <c r="M2250" s="2" t="s">
        <v>144</v>
      </c>
      <c r="N2250" s="2" t="s">
        <v>2249</v>
      </c>
      <c r="O2250" s="2" t="s">
        <v>96</v>
      </c>
      <c r="P2250" s="2" t="str">
        <f>"2170532223                    "</f>
        <v xml:space="preserve">2170532223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4.1500000000000004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1.4</v>
      </c>
      <c r="BJ2250" s="2">
        <v>2.2000000000000002</v>
      </c>
      <c r="BK2250" s="2">
        <v>2.5</v>
      </c>
      <c r="BL2250" s="2">
        <v>50.95</v>
      </c>
      <c r="BM2250" s="2">
        <v>7.13</v>
      </c>
      <c r="BN2250" s="2">
        <v>58.08</v>
      </c>
      <c r="BO2250" s="2">
        <v>58.08</v>
      </c>
      <c r="BP2250" s="2"/>
      <c r="BQ2250" s="2" t="s">
        <v>82</v>
      </c>
      <c r="BR2250" s="2" t="s">
        <v>83</v>
      </c>
      <c r="BS2250" s="3">
        <v>42668</v>
      </c>
      <c r="BT2250" s="4">
        <v>0.41666666666666669</v>
      </c>
      <c r="BU2250" s="2" t="s">
        <v>2250</v>
      </c>
      <c r="BV2250" s="2"/>
      <c r="BW2250" s="2"/>
      <c r="BX2250" s="2"/>
      <c r="BY2250" s="2">
        <v>10903.2</v>
      </c>
      <c r="BZ2250" s="2"/>
      <c r="CA2250" s="2" t="s">
        <v>129</v>
      </c>
      <c r="CB2250" s="2"/>
      <c r="CC2250" s="2" t="s">
        <v>144</v>
      </c>
      <c r="CD2250" s="2">
        <v>5201</v>
      </c>
      <c r="CE2250" s="2" t="s">
        <v>108</v>
      </c>
      <c r="CF2250" s="5">
        <v>42670</v>
      </c>
      <c r="CG2250" s="2"/>
      <c r="CH2250" s="2"/>
      <c r="CI2250" s="2">
        <v>0</v>
      </c>
      <c r="CJ2250" s="2">
        <v>0</v>
      </c>
      <c r="CK2250" s="2">
        <v>21</v>
      </c>
      <c r="CL2250" s="2" t="s">
        <v>88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"FES1162508734"</f>
        <v>FES1162508734</v>
      </c>
      <c r="F2251" s="3">
        <v>42667</v>
      </c>
      <c r="G2251" s="2">
        <v>201704</v>
      </c>
      <c r="H2251" s="2" t="s">
        <v>74</v>
      </c>
      <c r="I2251" s="2" t="s">
        <v>75</v>
      </c>
      <c r="J2251" s="2" t="s">
        <v>76</v>
      </c>
      <c r="K2251" s="2" t="s">
        <v>77</v>
      </c>
      <c r="L2251" s="2" t="s">
        <v>160</v>
      </c>
      <c r="M2251" s="2" t="s">
        <v>161</v>
      </c>
      <c r="N2251" s="2" t="s">
        <v>859</v>
      </c>
      <c r="O2251" s="2" t="s">
        <v>96</v>
      </c>
      <c r="P2251" s="2" t="str">
        <f>"2170531998                    "</f>
        <v xml:space="preserve">2170531998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3.32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1</v>
      </c>
      <c r="BJ2251" s="2">
        <v>0.2</v>
      </c>
      <c r="BK2251" s="2">
        <v>1</v>
      </c>
      <c r="BL2251" s="2">
        <v>40.76</v>
      </c>
      <c r="BM2251" s="2">
        <v>5.71</v>
      </c>
      <c r="BN2251" s="2">
        <v>46.47</v>
      </c>
      <c r="BO2251" s="2">
        <v>46.47</v>
      </c>
      <c r="BP2251" s="2"/>
      <c r="BQ2251" s="2" t="s">
        <v>82</v>
      </c>
      <c r="BR2251" s="2" t="s">
        <v>83</v>
      </c>
      <c r="BS2251" s="3">
        <v>42668</v>
      </c>
      <c r="BT2251" s="4">
        <v>0.4236111111111111</v>
      </c>
      <c r="BU2251" s="2" t="s">
        <v>2251</v>
      </c>
      <c r="BV2251" s="2" t="s">
        <v>85</v>
      </c>
      <c r="BW2251" s="2"/>
      <c r="BX2251" s="2"/>
      <c r="BY2251" s="2">
        <v>1200</v>
      </c>
      <c r="BZ2251" s="2"/>
      <c r="CA2251" s="2"/>
      <c r="CB2251" s="2"/>
      <c r="CC2251" s="2" t="s">
        <v>161</v>
      </c>
      <c r="CD2251" s="2">
        <v>7780</v>
      </c>
      <c r="CE2251" s="2" t="s">
        <v>108</v>
      </c>
      <c r="CF2251" s="5">
        <v>42669</v>
      </c>
      <c r="CG2251" s="2"/>
      <c r="CH2251" s="2"/>
      <c r="CI2251" s="2">
        <v>1</v>
      </c>
      <c r="CJ2251" s="2">
        <v>1</v>
      </c>
      <c r="CK2251" s="2">
        <v>21</v>
      </c>
      <c r="CL2251" s="2" t="s">
        <v>88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"FES1162508659"</f>
        <v>FES1162508659</v>
      </c>
      <c r="F2252" s="3">
        <v>42667</v>
      </c>
      <c r="G2252" s="2">
        <v>201704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119</v>
      </c>
      <c r="M2252" s="2" t="s">
        <v>120</v>
      </c>
      <c r="N2252" s="2" t="s">
        <v>121</v>
      </c>
      <c r="O2252" s="2" t="s">
        <v>81</v>
      </c>
      <c r="P2252" s="2" t="str">
        <f>"2170531887                    "</f>
        <v xml:space="preserve">2170531887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16.670000000000002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2</v>
      </c>
      <c r="BI2252" s="2">
        <v>49</v>
      </c>
      <c r="BJ2252" s="2">
        <v>18.3</v>
      </c>
      <c r="BK2252" s="2">
        <v>49</v>
      </c>
      <c r="BL2252" s="2">
        <v>209.83</v>
      </c>
      <c r="BM2252" s="2">
        <v>29.38</v>
      </c>
      <c r="BN2252" s="2">
        <v>239.21</v>
      </c>
      <c r="BO2252" s="2">
        <v>239.21</v>
      </c>
      <c r="BP2252" s="2"/>
      <c r="BQ2252" s="2" t="s">
        <v>122</v>
      </c>
      <c r="BR2252" s="2" t="s">
        <v>83</v>
      </c>
      <c r="BS2252" s="3">
        <v>42669</v>
      </c>
      <c r="BT2252" s="4">
        <v>0.3298611111111111</v>
      </c>
      <c r="BU2252" s="2" t="s">
        <v>871</v>
      </c>
      <c r="BV2252" s="2" t="s">
        <v>85</v>
      </c>
      <c r="BW2252" s="2"/>
      <c r="BX2252" s="2"/>
      <c r="BY2252" s="2">
        <v>91264</v>
      </c>
      <c r="BZ2252" s="2"/>
      <c r="CA2252" s="2"/>
      <c r="CB2252" s="2"/>
      <c r="CC2252" s="2" t="s">
        <v>120</v>
      </c>
      <c r="CD2252" s="2">
        <v>6229</v>
      </c>
      <c r="CE2252" s="2" t="s">
        <v>86</v>
      </c>
      <c r="CF2252" s="5">
        <v>42670</v>
      </c>
      <c r="CG2252" s="2"/>
      <c r="CH2252" s="2"/>
      <c r="CI2252" s="2">
        <v>2</v>
      </c>
      <c r="CJ2252" s="2">
        <v>2</v>
      </c>
      <c r="CK2252" s="2" t="s">
        <v>1063</v>
      </c>
      <c r="CL2252" s="2" t="s">
        <v>88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"FES1162508709"</f>
        <v>FES1162508709</v>
      </c>
      <c r="F2253" s="3">
        <v>42667</v>
      </c>
      <c r="G2253" s="2">
        <v>201704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78</v>
      </c>
      <c r="M2253" s="2" t="s">
        <v>79</v>
      </c>
      <c r="N2253" s="2" t="s">
        <v>1195</v>
      </c>
      <c r="O2253" s="2" t="s">
        <v>81</v>
      </c>
      <c r="P2253" s="2" t="str">
        <f>"2170531945                    "</f>
        <v xml:space="preserve">2170531945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5.7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8.6999999999999993</v>
      </c>
      <c r="BJ2253" s="2">
        <v>3.7</v>
      </c>
      <c r="BK2253" s="2">
        <v>9</v>
      </c>
      <c r="BL2253" s="2">
        <v>75.05</v>
      </c>
      <c r="BM2253" s="2">
        <v>10.51</v>
      </c>
      <c r="BN2253" s="2">
        <v>85.56</v>
      </c>
      <c r="BO2253" s="2">
        <v>85.56</v>
      </c>
      <c r="BP2253" s="2"/>
      <c r="BQ2253" s="2" t="s">
        <v>91</v>
      </c>
      <c r="BR2253" s="2" t="s">
        <v>83</v>
      </c>
      <c r="BS2253" s="3">
        <v>42668</v>
      </c>
      <c r="BT2253" s="4">
        <v>0.41666666666666669</v>
      </c>
      <c r="BU2253" s="2" t="s">
        <v>2252</v>
      </c>
      <c r="BV2253" s="2" t="s">
        <v>85</v>
      </c>
      <c r="BW2253" s="2"/>
      <c r="BX2253" s="2"/>
      <c r="BY2253" s="2">
        <v>18674.68</v>
      </c>
      <c r="BZ2253" s="2"/>
      <c r="CA2253" s="2" t="s">
        <v>129</v>
      </c>
      <c r="CB2253" s="2"/>
      <c r="CC2253" s="2" t="s">
        <v>79</v>
      </c>
      <c r="CD2253" s="2">
        <v>1961</v>
      </c>
      <c r="CE2253" s="2" t="s">
        <v>86</v>
      </c>
      <c r="CF2253" s="5">
        <v>42670</v>
      </c>
      <c r="CG2253" s="2"/>
      <c r="CH2253" s="2"/>
      <c r="CI2253" s="2">
        <v>1</v>
      </c>
      <c r="CJ2253" s="2">
        <v>1</v>
      </c>
      <c r="CK2253" s="2" t="s">
        <v>87</v>
      </c>
      <c r="CL2253" s="2" t="s">
        <v>88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"FES1162508882"</f>
        <v>FES1162508882</v>
      </c>
      <c r="F2254" s="3">
        <v>42667</v>
      </c>
      <c r="G2254" s="2">
        <v>201704</v>
      </c>
      <c r="H2254" s="2" t="s">
        <v>74</v>
      </c>
      <c r="I2254" s="2" t="s">
        <v>75</v>
      </c>
      <c r="J2254" s="2" t="s">
        <v>76</v>
      </c>
      <c r="K2254" s="2" t="s">
        <v>77</v>
      </c>
      <c r="L2254" s="2" t="s">
        <v>698</v>
      </c>
      <c r="M2254" s="2" t="s">
        <v>699</v>
      </c>
      <c r="N2254" s="2" t="s">
        <v>704</v>
      </c>
      <c r="O2254" s="2" t="s">
        <v>81</v>
      </c>
      <c r="P2254" s="2" t="str">
        <f>"2170532123                    "</f>
        <v xml:space="preserve">2170532123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5.13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2</v>
      </c>
      <c r="BI2254" s="2">
        <v>18</v>
      </c>
      <c r="BJ2254" s="2">
        <v>6</v>
      </c>
      <c r="BK2254" s="2">
        <v>18</v>
      </c>
      <c r="BL2254" s="2">
        <v>68.06</v>
      </c>
      <c r="BM2254" s="2">
        <v>9.5299999999999994</v>
      </c>
      <c r="BN2254" s="2">
        <v>77.59</v>
      </c>
      <c r="BO2254" s="2">
        <v>77.59</v>
      </c>
      <c r="BP2254" s="2"/>
      <c r="BQ2254" s="2" t="s">
        <v>705</v>
      </c>
      <c r="BR2254" s="2" t="s">
        <v>83</v>
      </c>
      <c r="BS2254" s="3">
        <v>42668</v>
      </c>
      <c r="BT2254" s="4">
        <v>0.57638888888888895</v>
      </c>
      <c r="BU2254" s="2" t="s">
        <v>2253</v>
      </c>
      <c r="BV2254" s="2" t="s">
        <v>85</v>
      </c>
      <c r="BW2254" s="2"/>
      <c r="BX2254" s="2"/>
      <c r="BY2254" s="2">
        <v>29792</v>
      </c>
      <c r="BZ2254" s="2"/>
      <c r="CA2254" s="2"/>
      <c r="CB2254" s="2"/>
      <c r="CC2254" s="2" t="s">
        <v>699</v>
      </c>
      <c r="CD2254" s="2">
        <v>1759</v>
      </c>
      <c r="CE2254" s="2" t="s">
        <v>368</v>
      </c>
      <c r="CF2254" s="5">
        <v>42669</v>
      </c>
      <c r="CG2254" s="2"/>
      <c r="CH2254" s="2"/>
      <c r="CI2254" s="2">
        <v>1</v>
      </c>
      <c r="CJ2254" s="2">
        <v>1</v>
      </c>
      <c r="CK2254" s="2" t="s">
        <v>1292</v>
      </c>
      <c r="CL2254" s="2" t="s">
        <v>88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"080001466556"</f>
        <v>080001466556</v>
      </c>
      <c r="F2255" s="3">
        <v>42667</v>
      </c>
      <c r="G2255" s="2">
        <v>201704</v>
      </c>
      <c r="H2255" s="2" t="s">
        <v>78</v>
      </c>
      <c r="I2255" s="2" t="s">
        <v>79</v>
      </c>
      <c r="J2255" s="2" t="s">
        <v>89</v>
      </c>
      <c r="K2255" s="2" t="s">
        <v>77</v>
      </c>
      <c r="L2255" s="2" t="s">
        <v>74</v>
      </c>
      <c r="M2255" s="2" t="s">
        <v>75</v>
      </c>
      <c r="N2255" s="2" t="s">
        <v>189</v>
      </c>
      <c r="O2255" s="2" t="s">
        <v>96</v>
      </c>
      <c r="P2255" s="2" t="str">
        <f>"ZA1000600397                  "</f>
        <v xml:space="preserve">ZA1000600397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4.66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1.4</v>
      </c>
      <c r="BJ2255" s="2">
        <v>0.5</v>
      </c>
      <c r="BK2255" s="2">
        <v>1.5</v>
      </c>
      <c r="BL2255" s="2">
        <v>57.31</v>
      </c>
      <c r="BM2255" s="2">
        <v>8.02</v>
      </c>
      <c r="BN2255" s="2">
        <v>65.33</v>
      </c>
      <c r="BO2255" s="2">
        <v>65.33</v>
      </c>
      <c r="BP2255" s="2" t="s">
        <v>1217</v>
      </c>
      <c r="BQ2255" s="2" t="s">
        <v>381</v>
      </c>
      <c r="BR2255" s="2" t="s">
        <v>2242</v>
      </c>
      <c r="BS2255" s="3">
        <v>42668</v>
      </c>
      <c r="BT2255" s="4">
        <v>0.36458333333333331</v>
      </c>
      <c r="BU2255" s="2" t="s">
        <v>102</v>
      </c>
      <c r="BV2255" s="2" t="s">
        <v>85</v>
      </c>
      <c r="BW2255" s="2"/>
      <c r="BX2255" s="2"/>
      <c r="BY2255" s="2">
        <v>2578.39</v>
      </c>
      <c r="BZ2255" s="2"/>
      <c r="CA2255" s="2"/>
      <c r="CB2255" s="2"/>
      <c r="CC2255" s="2" t="s">
        <v>75</v>
      </c>
      <c r="CD2255" s="2">
        <v>1601</v>
      </c>
      <c r="CE2255" s="2" t="s">
        <v>86</v>
      </c>
      <c r="CF2255" s="5">
        <v>42669</v>
      </c>
      <c r="CG2255" s="2"/>
      <c r="CH2255" s="2"/>
      <c r="CI2255" s="2">
        <v>1</v>
      </c>
      <c r="CJ2255" s="2">
        <v>1</v>
      </c>
      <c r="CK2255" s="2">
        <v>24</v>
      </c>
      <c r="CL2255" s="2" t="s">
        <v>88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"FES1162508727"</f>
        <v>FES1162508727</v>
      </c>
      <c r="F2256" s="3">
        <v>42667</v>
      </c>
      <c r="G2256" s="2">
        <v>201704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137</v>
      </c>
      <c r="M2256" s="2" t="s">
        <v>138</v>
      </c>
      <c r="N2256" s="2" t="s">
        <v>396</v>
      </c>
      <c r="O2256" s="2" t="s">
        <v>96</v>
      </c>
      <c r="P2256" s="2" t="str">
        <f>"2170531562                    "</f>
        <v xml:space="preserve">2170531562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24.88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3</v>
      </c>
      <c r="BI2256" s="2">
        <v>14.7</v>
      </c>
      <c r="BJ2256" s="2">
        <v>6.5</v>
      </c>
      <c r="BK2256" s="2">
        <v>15</v>
      </c>
      <c r="BL2256" s="2">
        <v>305.68</v>
      </c>
      <c r="BM2256" s="2">
        <v>42.8</v>
      </c>
      <c r="BN2256" s="2">
        <v>348.48</v>
      </c>
      <c r="BO2256" s="2">
        <v>348.48</v>
      </c>
      <c r="BP2256" s="2"/>
      <c r="BQ2256" s="2" t="s">
        <v>82</v>
      </c>
      <c r="BR2256" s="2" t="s">
        <v>83</v>
      </c>
      <c r="BS2256" s="3">
        <v>42668</v>
      </c>
      <c r="BT2256" s="4">
        <v>0.375</v>
      </c>
      <c r="BU2256" s="2" t="s">
        <v>2254</v>
      </c>
      <c r="BV2256" s="2" t="s">
        <v>85</v>
      </c>
      <c r="BW2256" s="2"/>
      <c r="BX2256" s="2"/>
      <c r="BY2256" s="2">
        <v>32454.959999999999</v>
      </c>
      <c r="BZ2256" s="2"/>
      <c r="CA2256" s="2"/>
      <c r="CB2256" s="2"/>
      <c r="CC2256" s="2" t="s">
        <v>138</v>
      </c>
      <c r="CD2256" s="2">
        <v>3201</v>
      </c>
      <c r="CE2256" s="2" t="s">
        <v>86</v>
      </c>
      <c r="CF2256" s="5">
        <v>42669</v>
      </c>
      <c r="CG2256" s="2"/>
      <c r="CH2256" s="2"/>
      <c r="CI2256" s="2">
        <v>1</v>
      </c>
      <c r="CJ2256" s="2">
        <v>1</v>
      </c>
      <c r="CK2256" s="2">
        <v>21</v>
      </c>
      <c r="CL2256" s="2" t="s">
        <v>88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"FES1162508885"</f>
        <v>FES1162508885</v>
      </c>
      <c r="F2257" s="3">
        <v>42667</v>
      </c>
      <c r="G2257" s="2">
        <v>201704</v>
      </c>
      <c r="H2257" s="2" t="s">
        <v>74</v>
      </c>
      <c r="I2257" s="2" t="s">
        <v>75</v>
      </c>
      <c r="J2257" s="2" t="s">
        <v>76</v>
      </c>
      <c r="K2257" s="2" t="s">
        <v>77</v>
      </c>
      <c r="L2257" s="2" t="s">
        <v>160</v>
      </c>
      <c r="M2257" s="2" t="s">
        <v>161</v>
      </c>
      <c r="N2257" s="2" t="s">
        <v>179</v>
      </c>
      <c r="O2257" s="2" t="s">
        <v>96</v>
      </c>
      <c r="P2257" s="2" t="str">
        <f>"2170532134                    "</f>
        <v xml:space="preserve">2170532134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3.32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1.8</v>
      </c>
      <c r="BJ2257" s="2">
        <v>1</v>
      </c>
      <c r="BK2257" s="2">
        <v>2</v>
      </c>
      <c r="BL2257" s="2">
        <v>40.76</v>
      </c>
      <c r="BM2257" s="2">
        <v>5.71</v>
      </c>
      <c r="BN2257" s="2">
        <v>46.47</v>
      </c>
      <c r="BO2257" s="2">
        <v>46.47</v>
      </c>
      <c r="BP2257" s="2"/>
      <c r="BQ2257" s="2" t="s">
        <v>180</v>
      </c>
      <c r="BR2257" s="2" t="s">
        <v>83</v>
      </c>
      <c r="BS2257" s="3">
        <v>42668</v>
      </c>
      <c r="BT2257" s="4">
        <v>0.41666666666666669</v>
      </c>
      <c r="BU2257" s="2" t="s">
        <v>2220</v>
      </c>
      <c r="BV2257" s="2" t="s">
        <v>85</v>
      </c>
      <c r="BW2257" s="2"/>
      <c r="BX2257" s="2"/>
      <c r="BY2257" s="2">
        <v>4815.55</v>
      </c>
      <c r="BZ2257" s="2"/>
      <c r="CA2257" s="2" t="s">
        <v>129</v>
      </c>
      <c r="CB2257" s="2"/>
      <c r="CC2257" s="2" t="s">
        <v>161</v>
      </c>
      <c r="CD2257" s="2">
        <v>7405</v>
      </c>
      <c r="CE2257" s="2" t="s">
        <v>86</v>
      </c>
      <c r="CF2257" s="5">
        <v>42669</v>
      </c>
      <c r="CG2257" s="2"/>
      <c r="CH2257" s="2"/>
      <c r="CI2257" s="2">
        <v>1</v>
      </c>
      <c r="CJ2257" s="2">
        <v>1</v>
      </c>
      <c r="CK2257" s="2">
        <v>21</v>
      </c>
      <c r="CL2257" s="2" t="s">
        <v>88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"FES1162508895"</f>
        <v>FES1162508895</v>
      </c>
      <c r="F2258" s="3">
        <v>42667</v>
      </c>
      <c r="G2258" s="2">
        <v>201704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160</v>
      </c>
      <c r="M2258" s="2" t="s">
        <v>161</v>
      </c>
      <c r="N2258" s="2" t="s">
        <v>176</v>
      </c>
      <c r="O2258" s="2" t="s">
        <v>96</v>
      </c>
      <c r="P2258" s="2" t="str">
        <f>"2170532149                    "</f>
        <v xml:space="preserve">2170532149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6.63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3.6</v>
      </c>
      <c r="BJ2258" s="2">
        <v>1.9</v>
      </c>
      <c r="BK2258" s="2">
        <v>4</v>
      </c>
      <c r="BL2258" s="2">
        <v>81.510000000000005</v>
      </c>
      <c r="BM2258" s="2">
        <v>11.41</v>
      </c>
      <c r="BN2258" s="2">
        <v>92.92</v>
      </c>
      <c r="BO2258" s="2">
        <v>92.92</v>
      </c>
      <c r="BP2258" s="2"/>
      <c r="BQ2258" s="2" t="s">
        <v>258</v>
      </c>
      <c r="BR2258" s="2" t="s">
        <v>83</v>
      </c>
      <c r="BS2258" s="3">
        <v>42668</v>
      </c>
      <c r="BT2258" s="4">
        <v>0.41666666666666669</v>
      </c>
      <c r="BU2258" s="2" t="s">
        <v>2255</v>
      </c>
      <c r="BV2258" s="2" t="s">
        <v>85</v>
      </c>
      <c r="BW2258" s="2"/>
      <c r="BX2258" s="2"/>
      <c r="BY2258" s="2">
        <v>9612.2900000000009</v>
      </c>
      <c r="BZ2258" s="2"/>
      <c r="CA2258" s="2" t="s">
        <v>129</v>
      </c>
      <c r="CB2258" s="2"/>
      <c r="CC2258" s="2" t="s">
        <v>161</v>
      </c>
      <c r="CD2258" s="2">
        <v>7405</v>
      </c>
      <c r="CE2258" s="2" t="s">
        <v>86</v>
      </c>
      <c r="CF2258" s="5">
        <v>42669</v>
      </c>
      <c r="CG2258" s="2"/>
      <c r="CH2258" s="2"/>
      <c r="CI2258" s="2">
        <v>1</v>
      </c>
      <c r="CJ2258" s="2">
        <v>1</v>
      </c>
      <c r="CK2258" s="2">
        <v>21</v>
      </c>
      <c r="CL2258" s="2" t="s">
        <v>88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"FES1162508919"</f>
        <v>FES1162508919</v>
      </c>
      <c r="F2259" s="3">
        <v>42667</v>
      </c>
      <c r="G2259" s="2">
        <v>201704</v>
      </c>
      <c r="H2259" s="2" t="s">
        <v>74</v>
      </c>
      <c r="I2259" s="2" t="s">
        <v>75</v>
      </c>
      <c r="J2259" s="2" t="s">
        <v>76</v>
      </c>
      <c r="K2259" s="2" t="s">
        <v>77</v>
      </c>
      <c r="L2259" s="2" t="s">
        <v>160</v>
      </c>
      <c r="M2259" s="2" t="s">
        <v>161</v>
      </c>
      <c r="N2259" s="2" t="s">
        <v>267</v>
      </c>
      <c r="O2259" s="2" t="s">
        <v>96</v>
      </c>
      <c r="P2259" s="2" t="str">
        <f>"2170530805                    "</f>
        <v xml:space="preserve">2170530805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3.32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0.5</v>
      </c>
      <c r="BJ2259" s="2">
        <v>0.2</v>
      </c>
      <c r="BK2259" s="2">
        <v>0.5</v>
      </c>
      <c r="BL2259" s="2">
        <v>40.76</v>
      </c>
      <c r="BM2259" s="2">
        <v>5.71</v>
      </c>
      <c r="BN2259" s="2">
        <v>46.47</v>
      </c>
      <c r="BO2259" s="2">
        <v>46.47</v>
      </c>
      <c r="BP2259" s="2"/>
      <c r="BQ2259" s="2" t="s">
        <v>117</v>
      </c>
      <c r="BR2259" s="2" t="s">
        <v>83</v>
      </c>
      <c r="BS2259" s="3">
        <v>42668</v>
      </c>
      <c r="BT2259" s="4">
        <v>0.41666666666666669</v>
      </c>
      <c r="BU2259" s="2" t="s">
        <v>2256</v>
      </c>
      <c r="BV2259" s="2" t="s">
        <v>85</v>
      </c>
      <c r="BW2259" s="2"/>
      <c r="BX2259" s="2"/>
      <c r="BY2259" s="2">
        <v>1200</v>
      </c>
      <c r="BZ2259" s="2"/>
      <c r="CA2259" s="2"/>
      <c r="CB2259" s="2"/>
      <c r="CC2259" s="2" t="s">
        <v>161</v>
      </c>
      <c r="CD2259" s="2">
        <v>7441</v>
      </c>
      <c r="CE2259" s="2" t="s">
        <v>108</v>
      </c>
      <c r="CF2259" s="5">
        <v>42669</v>
      </c>
      <c r="CG2259" s="2"/>
      <c r="CH2259" s="2"/>
      <c r="CI2259" s="2">
        <v>1</v>
      </c>
      <c r="CJ2259" s="2">
        <v>1</v>
      </c>
      <c r="CK2259" s="2">
        <v>21</v>
      </c>
      <c r="CL2259" s="2" t="s">
        <v>88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"FES1162508930"</f>
        <v>FES1162508930</v>
      </c>
      <c r="F2260" s="3">
        <v>42667</v>
      </c>
      <c r="G2260" s="2">
        <v>201704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898</v>
      </c>
      <c r="M2260" s="2" t="s">
        <v>899</v>
      </c>
      <c r="N2260" s="2" t="s">
        <v>2027</v>
      </c>
      <c r="O2260" s="2" t="s">
        <v>96</v>
      </c>
      <c r="P2260" s="2" t="str">
        <f>"2170531341                    "</f>
        <v xml:space="preserve">2170531341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8.2899999999999991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5</v>
      </c>
      <c r="BJ2260" s="2">
        <v>3.5</v>
      </c>
      <c r="BK2260" s="2">
        <v>5</v>
      </c>
      <c r="BL2260" s="2">
        <v>101.89</v>
      </c>
      <c r="BM2260" s="2">
        <v>14.26</v>
      </c>
      <c r="BN2260" s="2">
        <v>116.15</v>
      </c>
      <c r="BO2260" s="2">
        <v>116.15</v>
      </c>
      <c r="BP2260" s="2"/>
      <c r="BQ2260" s="2" t="s">
        <v>2028</v>
      </c>
      <c r="BR2260" s="2" t="s">
        <v>83</v>
      </c>
      <c r="BS2260" s="3">
        <v>42668</v>
      </c>
      <c r="BT2260" s="4">
        <v>0.57638888888888895</v>
      </c>
      <c r="BU2260" s="2" t="s">
        <v>2029</v>
      </c>
      <c r="BV2260" s="2" t="s">
        <v>85</v>
      </c>
      <c r="BW2260" s="2"/>
      <c r="BX2260" s="2"/>
      <c r="BY2260" s="2">
        <v>17325</v>
      </c>
      <c r="BZ2260" s="2"/>
      <c r="CA2260" s="2"/>
      <c r="CB2260" s="2"/>
      <c r="CC2260" s="2" t="s">
        <v>899</v>
      </c>
      <c r="CD2260" s="2">
        <v>7655</v>
      </c>
      <c r="CE2260" s="2" t="s">
        <v>86</v>
      </c>
      <c r="CF2260" s="5">
        <v>42669</v>
      </c>
      <c r="CG2260" s="2"/>
      <c r="CH2260" s="2"/>
      <c r="CI2260" s="2">
        <v>1</v>
      </c>
      <c r="CJ2260" s="2">
        <v>1</v>
      </c>
      <c r="CK2260" s="2">
        <v>21</v>
      </c>
      <c r="CL2260" s="2" t="s">
        <v>88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"FES1162508900"</f>
        <v>FES1162508900</v>
      </c>
      <c r="F2261" s="3">
        <v>42667</v>
      </c>
      <c r="G2261" s="2">
        <v>201704</v>
      </c>
      <c r="H2261" s="2" t="s">
        <v>74</v>
      </c>
      <c r="I2261" s="2" t="s">
        <v>75</v>
      </c>
      <c r="J2261" s="2" t="s">
        <v>76</v>
      </c>
      <c r="K2261" s="2" t="s">
        <v>77</v>
      </c>
      <c r="L2261" s="2" t="s">
        <v>160</v>
      </c>
      <c r="M2261" s="2" t="s">
        <v>161</v>
      </c>
      <c r="N2261" s="2" t="s">
        <v>2257</v>
      </c>
      <c r="O2261" s="2" t="s">
        <v>96</v>
      </c>
      <c r="P2261" s="2" t="str">
        <f>"2170532143                    "</f>
        <v xml:space="preserve">2170532143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3.32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0.5</v>
      </c>
      <c r="BJ2261" s="2">
        <v>0.2</v>
      </c>
      <c r="BK2261" s="2">
        <v>0.5</v>
      </c>
      <c r="BL2261" s="2">
        <v>40.76</v>
      </c>
      <c r="BM2261" s="2">
        <v>5.71</v>
      </c>
      <c r="BN2261" s="2">
        <v>46.47</v>
      </c>
      <c r="BO2261" s="2">
        <v>46.47</v>
      </c>
      <c r="BP2261" s="2"/>
      <c r="BQ2261" s="2" t="s">
        <v>2258</v>
      </c>
      <c r="BR2261" s="2" t="s">
        <v>83</v>
      </c>
      <c r="BS2261" s="3">
        <v>42668</v>
      </c>
      <c r="BT2261" s="4">
        <v>0.38958333333333334</v>
      </c>
      <c r="BU2261" s="2" t="s">
        <v>2259</v>
      </c>
      <c r="BV2261" s="2" t="s">
        <v>85</v>
      </c>
      <c r="BW2261" s="2"/>
      <c r="BX2261" s="2"/>
      <c r="BY2261" s="2">
        <v>1200</v>
      </c>
      <c r="BZ2261" s="2"/>
      <c r="CA2261" s="2" t="s">
        <v>1193</v>
      </c>
      <c r="CB2261" s="2"/>
      <c r="CC2261" s="2" t="s">
        <v>161</v>
      </c>
      <c r="CD2261" s="2">
        <v>7490</v>
      </c>
      <c r="CE2261" s="2" t="s">
        <v>108</v>
      </c>
      <c r="CF2261" s="5">
        <v>42668</v>
      </c>
      <c r="CG2261" s="2"/>
      <c r="CH2261" s="2"/>
      <c r="CI2261" s="2">
        <v>1</v>
      </c>
      <c r="CJ2261" s="2">
        <v>1</v>
      </c>
      <c r="CK2261" s="2">
        <v>21</v>
      </c>
      <c r="CL2261" s="2" t="s">
        <v>88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"FES1162508929"</f>
        <v>FES1162508929</v>
      </c>
      <c r="F2262" s="3">
        <v>42667</v>
      </c>
      <c r="G2262" s="2">
        <v>201704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160</v>
      </c>
      <c r="M2262" s="2" t="s">
        <v>161</v>
      </c>
      <c r="N2262" s="2" t="s">
        <v>1018</v>
      </c>
      <c r="O2262" s="2" t="s">
        <v>96</v>
      </c>
      <c r="P2262" s="2" t="str">
        <f>"2170532196                    "</f>
        <v xml:space="preserve">2170532196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3.32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0.5</v>
      </c>
      <c r="BJ2262" s="2">
        <v>0.2</v>
      </c>
      <c r="BK2262" s="2">
        <v>0.5</v>
      </c>
      <c r="BL2262" s="2">
        <v>40.76</v>
      </c>
      <c r="BM2262" s="2">
        <v>5.71</v>
      </c>
      <c r="BN2262" s="2">
        <v>46.47</v>
      </c>
      <c r="BO2262" s="2">
        <v>46.47</v>
      </c>
      <c r="BP2262" s="2"/>
      <c r="BQ2262" s="2" t="s">
        <v>1093</v>
      </c>
      <c r="BR2262" s="2" t="s">
        <v>83</v>
      </c>
      <c r="BS2262" s="3">
        <v>42668</v>
      </c>
      <c r="BT2262" s="4">
        <v>0.41319444444444442</v>
      </c>
      <c r="BU2262" s="2" t="s">
        <v>1772</v>
      </c>
      <c r="BV2262" s="2" t="s">
        <v>85</v>
      </c>
      <c r="BW2262" s="2"/>
      <c r="BX2262" s="2"/>
      <c r="BY2262" s="2">
        <v>1200</v>
      </c>
      <c r="BZ2262" s="2"/>
      <c r="CA2262" s="2"/>
      <c r="CB2262" s="2"/>
      <c r="CC2262" s="2" t="s">
        <v>161</v>
      </c>
      <c r="CD2262" s="2">
        <v>7800</v>
      </c>
      <c r="CE2262" s="2" t="s">
        <v>108</v>
      </c>
      <c r="CF2262" s="5">
        <v>42669</v>
      </c>
      <c r="CG2262" s="2"/>
      <c r="CH2262" s="2"/>
      <c r="CI2262" s="2">
        <v>1</v>
      </c>
      <c r="CJ2262" s="2">
        <v>1</v>
      </c>
      <c r="CK2262" s="2">
        <v>21</v>
      </c>
      <c r="CL2262" s="2" t="s">
        <v>88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"FES1162508822"</f>
        <v>FES1162508822</v>
      </c>
      <c r="F2263" s="3">
        <v>42667</v>
      </c>
      <c r="G2263" s="2">
        <v>201704</v>
      </c>
      <c r="H2263" s="2" t="s">
        <v>74</v>
      </c>
      <c r="I2263" s="2" t="s">
        <v>75</v>
      </c>
      <c r="J2263" s="2" t="s">
        <v>76</v>
      </c>
      <c r="K2263" s="2" t="s">
        <v>77</v>
      </c>
      <c r="L2263" s="2" t="s">
        <v>137</v>
      </c>
      <c r="M2263" s="2" t="s">
        <v>138</v>
      </c>
      <c r="N2263" s="2" t="s">
        <v>203</v>
      </c>
      <c r="O2263" s="2" t="s">
        <v>96</v>
      </c>
      <c r="P2263" s="2" t="str">
        <f>"2170532067                    "</f>
        <v xml:space="preserve">2170532067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3.32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1.9</v>
      </c>
      <c r="BJ2263" s="2">
        <v>1.4</v>
      </c>
      <c r="BK2263" s="2">
        <v>2</v>
      </c>
      <c r="BL2263" s="2">
        <v>40.76</v>
      </c>
      <c r="BM2263" s="2">
        <v>5.71</v>
      </c>
      <c r="BN2263" s="2">
        <v>46.47</v>
      </c>
      <c r="BO2263" s="2">
        <v>46.47</v>
      </c>
      <c r="BP2263" s="2"/>
      <c r="BQ2263" s="2" t="s">
        <v>168</v>
      </c>
      <c r="BR2263" s="2" t="s">
        <v>83</v>
      </c>
      <c r="BS2263" s="3">
        <v>42668</v>
      </c>
      <c r="BT2263" s="4">
        <v>0.41319444444444442</v>
      </c>
      <c r="BU2263" s="2" t="s">
        <v>204</v>
      </c>
      <c r="BV2263" s="2"/>
      <c r="BW2263" s="2"/>
      <c r="BX2263" s="2"/>
      <c r="BY2263" s="2">
        <v>6947.22</v>
      </c>
      <c r="BZ2263" s="2"/>
      <c r="CA2263" s="2" t="s">
        <v>205</v>
      </c>
      <c r="CB2263" s="2"/>
      <c r="CC2263" s="2" t="s">
        <v>138</v>
      </c>
      <c r="CD2263" s="2">
        <v>3201</v>
      </c>
      <c r="CE2263" s="2" t="s">
        <v>86</v>
      </c>
      <c r="CF2263" s="5">
        <v>42668</v>
      </c>
      <c r="CG2263" s="2"/>
      <c r="CH2263" s="2"/>
      <c r="CI2263" s="2">
        <v>0</v>
      </c>
      <c r="CJ2263" s="2">
        <v>0</v>
      </c>
      <c r="CK2263" s="2">
        <v>21</v>
      </c>
      <c r="CL2263" s="2" t="s">
        <v>88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"FES1162508845"</f>
        <v>FES1162508845</v>
      </c>
      <c r="F2264" s="3">
        <v>42667</v>
      </c>
      <c r="G2264" s="2">
        <v>201704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682</v>
      </c>
      <c r="M2264" s="2" t="s">
        <v>682</v>
      </c>
      <c r="N2264" s="2" t="s">
        <v>683</v>
      </c>
      <c r="O2264" s="2" t="s">
        <v>96</v>
      </c>
      <c r="P2264" s="2" t="str">
        <f>"2170532087                    "</f>
        <v xml:space="preserve">2170532087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3.32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0.2</v>
      </c>
      <c r="BK2264" s="2">
        <v>1</v>
      </c>
      <c r="BL2264" s="2">
        <v>40.76</v>
      </c>
      <c r="BM2264" s="2">
        <v>5.71</v>
      </c>
      <c r="BN2264" s="2">
        <v>46.47</v>
      </c>
      <c r="BO2264" s="2">
        <v>46.47</v>
      </c>
      <c r="BP2264" s="2"/>
      <c r="BQ2264" s="2" t="s">
        <v>117</v>
      </c>
      <c r="BR2264" s="2" t="s">
        <v>83</v>
      </c>
      <c r="BS2264" s="3">
        <v>42669</v>
      </c>
      <c r="BT2264" s="4">
        <v>0.55972222222222223</v>
      </c>
      <c r="BU2264" s="2" t="s">
        <v>853</v>
      </c>
      <c r="BV2264" s="2" t="s">
        <v>85</v>
      </c>
      <c r="BW2264" s="2"/>
      <c r="BX2264" s="2"/>
      <c r="BY2264" s="2">
        <v>1200</v>
      </c>
      <c r="BZ2264" s="2"/>
      <c r="CA2264" s="2" t="s">
        <v>2260</v>
      </c>
      <c r="CB2264" s="2"/>
      <c r="CC2264" s="2" t="s">
        <v>682</v>
      </c>
      <c r="CD2264" s="2">
        <v>6835</v>
      </c>
      <c r="CE2264" s="2" t="s">
        <v>108</v>
      </c>
      <c r="CF2264" s="5">
        <v>42669</v>
      </c>
      <c r="CG2264" s="2"/>
      <c r="CH2264" s="2"/>
      <c r="CI2264" s="2">
        <v>3</v>
      </c>
      <c r="CJ2264" s="2">
        <v>2</v>
      </c>
      <c r="CK2264" s="2">
        <v>21</v>
      </c>
      <c r="CL2264" s="2" t="s">
        <v>88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"FES1162508814"</f>
        <v>FES1162508814</v>
      </c>
      <c r="F2265" s="3">
        <v>42667</v>
      </c>
      <c r="G2265" s="2">
        <v>201704</v>
      </c>
      <c r="H2265" s="2" t="s">
        <v>74</v>
      </c>
      <c r="I2265" s="2" t="s">
        <v>75</v>
      </c>
      <c r="J2265" s="2" t="s">
        <v>76</v>
      </c>
      <c r="K2265" s="2" t="s">
        <v>77</v>
      </c>
      <c r="L2265" s="2" t="s">
        <v>153</v>
      </c>
      <c r="M2265" s="2" t="s">
        <v>153</v>
      </c>
      <c r="N2265" s="2" t="s">
        <v>501</v>
      </c>
      <c r="O2265" s="2" t="s">
        <v>96</v>
      </c>
      <c r="P2265" s="2" t="str">
        <f>"2170532038                    "</f>
        <v xml:space="preserve">2170532038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3.32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1</v>
      </c>
      <c r="BJ2265" s="2">
        <v>0.2</v>
      </c>
      <c r="BK2265" s="2">
        <v>1</v>
      </c>
      <c r="BL2265" s="2">
        <v>40.76</v>
      </c>
      <c r="BM2265" s="2">
        <v>5.71</v>
      </c>
      <c r="BN2265" s="2">
        <v>46.47</v>
      </c>
      <c r="BO2265" s="2">
        <v>46.47</v>
      </c>
      <c r="BP2265" s="2"/>
      <c r="BQ2265" s="2" t="s">
        <v>82</v>
      </c>
      <c r="BR2265" s="2" t="s">
        <v>83</v>
      </c>
      <c r="BS2265" s="3">
        <v>42668</v>
      </c>
      <c r="BT2265" s="4">
        <v>0.57986111111111105</v>
      </c>
      <c r="BU2265" s="2" t="s">
        <v>1486</v>
      </c>
      <c r="BV2265" s="2" t="s">
        <v>85</v>
      </c>
      <c r="BW2265" s="2"/>
      <c r="BX2265" s="2"/>
      <c r="BY2265" s="2">
        <v>1200</v>
      </c>
      <c r="BZ2265" s="2"/>
      <c r="CA2265" s="2"/>
      <c r="CB2265" s="2"/>
      <c r="CC2265" s="2" t="s">
        <v>153</v>
      </c>
      <c r="CD2265" s="2">
        <v>7620</v>
      </c>
      <c r="CE2265" s="2" t="s">
        <v>108</v>
      </c>
      <c r="CF2265" s="5">
        <v>42669</v>
      </c>
      <c r="CG2265" s="2"/>
      <c r="CH2265" s="2"/>
      <c r="CI2265" s="2">
        <v>1</v>
      </c>
      <c r="CJ2265" s="2">
        <v>1</v>
      </c>
      <c r="CK2265" s="2">
        <v>21</v>
      </c>
      <c r="CL2265" s="2" t="s">
        <v>88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"FES1162508707"</f>
        <v>FES1162508707</v>
      </c>
      <c r="F2266" s="3">
        <v>42667</v>
      </c>
      <c r="G2266" s="2">
        <v>201704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160</v>
      </c>
      <c r="M2266" s="2" t="s">
        <v>161</v>
      </c>
      <c r="N2266" s="2" t="s">
        <v>179</v>
      </c>
      <c r="O2266" s="2" t="s">
        <v>96</v>
      </c>
      <c r="P2266" s="2" t="str">
        <f>"2170531942                    "</f>
        <v xml:space="preserve">2170531942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19.07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11.5</v>
      </c>
      <c r="BJ2266" s="2">
        <v>3.7</v>
      </c>
      <c r="BK2266" s="2">
        <v>11.5</v>
      </c>
      <c r="BL2266" s="2">
        <v>234.35</v>
      </c>
      <c r="BM2266" s="2">
        <v>32.81</v>
      </c>
      <c r="BN2266" s="2">
        <v>267.16000000000003</v>
      </c>
      <c r="BO2266" s="2">
        <v>267.16000000000003</v>
      </c>
      <c r="BP2266" s="2"/>
      <c r="BQ2266" s="2" t="s">
        <v>180</v>
      </c>
      <c r="BR2266" s="2" t="s">
        <v>83</v>
      </c>
      <c r="BS2266" s="3">
        <v>42668</v>
      </c>
      <c r="BT2266" s="4">
        <v>0.41666666666666669</v>
      </c>
      <c r="BU2266" s="2" t="s">
        <v>2220</v>
      </c>
      <c r="BV2266" s="2" t="s">
        <v>85</v>
      </c>
      <c r="BW2266" s="2"/>
      <c r="BX2266" s="2"/>
      <c r="BY2266" s="2">
        <v>18638.54</v>
      </c>
      <c r="BZ2266" s="2"/>
      <c r="CA2266" s="2" t="s">
        <v>129</v>
      </c>
      <c r="CB2266" s="2"/>
      <c r="CC2266" s="2" t="s">
        <v>161</v>
      </c>
      <c r="CD2266" s="2">
        <v>7405</v>
      </c>
      <c r="CE2266" s="2" t="s">
        <v>86</v>
      </c>
      <c r="CF2266" s="5">
        <v>42669</v>
      </c>
      <c r="CG2266" s="2"/>
      <c r="CH2266" s="2"/>
      <c r="CI2266" s="2">
        <v>1</v>
      </c>
      <c r="CJ2266" s="2">
        <v>1</v>
      </c>
      <c r="CK2266" s="2">
        <v>21</v>
      </c>
      <c r="CL2266" s="2" t="s">
        <v>88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"FES1162508654"</f>
        <v>FES1162508654</v>
      </c>
      <c r="F2267" s="3">
        <v>42667</v>
      </c>
      <c r="G2267" s="2">
        <v>201704</v>
      </c>
      <c r="H2267" s="2" t="s">
        <v>74</v>
      </c>
      <c r="I2267" s="2" t="s">
        <v>75</v>
      </c>
      <c r="J2267" s="2" t="s">
        <v>76</v>
      </c>
      <c r="K2267" s="2" t="s">
        <v>77</v>
      </c>
      <c r="L2267" s="2" t="s">
        <v>160</v>
      </c>
      <c r="M2267" s="2" t="s">
        <v>161</v>
      </c>
      <c r="N2267" s="2" t="s">
        <v>610</v>
      </c>
      <c r="O2267" s="2" t="s">
        <v>96</v>
      </c>
      <c r="P2267" s="2" t="str">
        <f>"2170531724                    "</f>
        <v xml:space="preserve">2170531724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3.32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1</v>
      </c>
      <c r="BJ2267" s="2">
        <v>0.2</v>
      </c>
      <c r="BK2267" s="2">
        <v>1</v>
      </c>
      <c r="BL2267" s="2">
        <v>40.76</v>
      </c>
      <c r="BM2267" s="2">
        <v>5.71</v>
      </c>
      <c r="BN2267" s="2">
        <v>46.47</v>
      </c>
      <c r="BO2267" s="2">
        <v>46.47</v>
      </c>
      <c r="BP2267" s="2"/>
      <c r="BQ2267" s="2" t="s">
        <v>168</v>
      </c>
      <c r="BR2267" s="2" t="s">
        <v>83</v>
      </c>
      <c r="BS2267" s="3">
        <v>42668</v>
      </c>
      <c r="BT2267" s="4">
        <v>0.41666666666666669</v>
      </c>
      <c r="BU2267" s="2" t="s">
        <v>2261</v>
      </c>
      <c r="BV2267" s="2" t="s">
        <v>85</v>
      </c>
      <c r="BW2267" s="2"/>
      <c r="BX2267" s="2"/>
      <c r="BY2267" s="2">
        <v>1200</v>
      </c>
      <c r="BZ2267" s="2"/>
      <c r="CA2267" s="2"/>
      <c r="CB2267" s="2"/>
      <c r="CC2267" s="2" t="s">
        <v>161</v>
      </c>
      <c r="CD2267" s="2">
        <v>7441</v>
      </c>
      <c r="CE2267" s="2" t="s">
        <v>108</v>
      </c>
      <c r="CF2267" s="5">
        <v>42669</v>
      </c>
      <c r="CG2267" s="2"/>
      <c r="CH2267" s="2"/>
      <c r="CI2267" s="2">
        <v>1</v>
      </c>
      <c r="CJ2267" s="2">
        <v>1</v>
      </c>
      <c r="CK2267" s="2">
        <v>21</v>
      </c>
      <c r="CL2267" s="2" t="s">
        <v>88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"FES1162508730"</f>
        <v>FES1162508730</v>
      </c>
      <c r="F2268" s="3">
        <v>42667</v>
      </c>
      <c r="G2268" s="2">
        <v>201704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153</v>
      </c>
      <c r="M2268" s="2" t="s">
        <v>153</v>
      </c>
      <c r="N2268" s="2" t="s">
        <v>501</v>
      </c>
      <c r="O2268" s="2" t="s">
        <v>96</v>
      </c>
      <c r="P2268" s="2" t="str">
        <f>"2170531983                    "</f>
        <v xml:space="preserve">2170531983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3.32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1</v>
      </c>
      <c r="BJ2268" s="2">
        <v>0.2</v>
      </c>
      <c r="BK2268" s="2">
        <v>1</v>
      </c>
      <c r="BL2268" s="2">
        <v>40.76</v>
      </c>
      <c r="BM2268" s="2">
        <v>5.71</v>
      </c>
      <c r="BN2268" s="2">
        <v>46.47</v>
      </c>
      <c r="BO2268" s="2">
        <v>46.47</v>
      </c>
      <c r="BP2268" s="2"/>
      <c r="BQ2268" s="2" t="s">
        <v>82</v>
      </c>
      <c r="BR2268" s="2" t="s">
        <v>83</v>
      </c>
      <c r="BS2268" s="3">
        <v>42668</v>
      </c>
      <c r="BT2268" s="4">
        <v>0.57986111111111105</v>
      </c>
      <c r="BU2268" s="2" t="s">
        <v>1486</v>
      </c>
      <c r="BV2268" s="2" t="s">
        <v>85</v>
      </c>
      <c r="BW2268" s="2"/>
      <c r="BX2268" s="2"/>
      <c r="BY2268" s="2">
        <v>1200</v>
      </c>
      <c r="BZ2268" s="2"/>
      <c r="CA2268" s="2"/>
      <c r="CB2268" s="2"/>
      <c r="CC2268" s="2" t="s">
        <v>153</v>
      </c>
      <c r="CD2268" s="2">
        <v>7620</v>
      </c>
      <c r="CE2268" s="2" t="s">
        <v>108</v>
      </c>
      <c r="CF2268" s="5">
        <v>42669</v>
      </c>
      <c r="CG2268" s="2"/>
      <c r="CH2268" s="2"/>
      <c r="CI2268" s="2">
        <v>1</v>
      </c>
      <c r="CJ2268" s="2">
        <v>1</v>
      </c>
      <c r="CK2268" s="2">
        <v>21</v>
      </c>
      <c r="CL2268" s="2" t="s">
        <v>88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"FES1162508726"</f>
        <v>FES1162508726</v>
      </c>
      <c r="F2269" s="3">
        <v>42667</v>
      </c>
      <c r="G2269" s="2">
        <v>201704</v>
      </c>
      <c r="H2269" s="2" t="s">
        <v>74</v>
      </c>
      <c r="I2269" s="2" t="s">
        <v>75</v>
      </c>
      <c r="J2269" s="2" t="s">
        <v>76</v>
      </c>
      <c r="K2269" s="2" t="s">
        <v>77</v>
      </c>
      <c r="L2269" s="2" t="s">
        <v>160</v>
      </c>
      <c r="M2269" s="2" t="s">
        <v>161</v>
      </c>
      <c r="N2269" s="2" t="s">
        <v>236</v>
      </c>
      <c r="O2269" s="2" t="s">
        <v>96</v>
      </c>
      <c r="P2269" s="2" t="str">
        <f>"2170531988                    "</f>
        <v xml:space="preserve">2170531988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3.32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</v>
      </c>
      <c r="BJ2269" s="2">
        <v>0.2</v>
      </c>
      <c r="BK2269" s="2">
        <v>1</v>
      </c>
      <c r="BL2269" s="2">
        <v>40.76</v>
      </c>
      <c r="BM2269" s="2">
        <v>5.71</v>
      </c>
      <c r="BN2269" s="2">
        <v>46.47</v>
      </c>
      <c r="BO2269" s="2">
        <v>46.47</v>
      </c>
      <c r="BP2269" s="2"/>
      <c r="BQ2269" s="2" t="s">
        <v>2262</v>
      </c>
      <c r="BR2269" s="2" t="s">
        <v>83</v>
      </c>
      <c r="BS2269" s="3">
        <v>42668</v>
      </c>
      <c r="BT2269" s="4">
        <v>0.41666666666666669</v>
      </c>
      <c r="BU2269" s="2" t="s">
        <v>2263</v>
      </c>
      <c r="BV2269" s="2" t="s">
        <v>85</v>
      </c>
      <c r="BW2269" s="2"/>
      <c r="BX2269" s="2"/>
      <c r="BY2269" s="2">
        <v>1200</v>
      </c>
      <c r="BZ2269" s="2"/>
      <c r="CA2269" s="2" t="s">
        <v>129</v>
      </c>
      <c r="CB2269" s="2"/>
      <c r="CC2269" s="2" t="s">
        <v>161</v>
      </c>
      <c r="CD2269" s="2">
        <v>7405</v>
      </c>
      <c r="CE2269" s="2" t="s">
        <v>108</v>
      </c>
      <c r="CF2269" s="5">
        <v>42669</v>
      </c>
      <c r="CG2269" s="2"/>
      <c r="CH2269" s="2"/>
      <c r="CI2269" s="2">
        <v>1</v>
      </c>
      <c r="CJ2269" s="2">
        <v>1</v>
      </c>
      <c r="CK2269" s="2">
        <v>21</v>
      </c>
      <c r="CL2269" s="2" t="s">
        <v>88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"FES1162508671"</f>
        <v>FES1162508671</v>
      </c>
      <c r="F2270" s="3">
        <v>42667</v>
      </c>
      <c r="G2270" s="2">
        <v>201704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160</v>
      </c>
      <c r="M2270" s="2" t="s">
        <v>161</v>
      </c>
      <c r="N2270" s="2" t="s">
        <v>1436</v>
      </c>
      <c r="O2270" s="2" t="s">
        <v>96</v>
      </c>
      <c r="P2270" s="2" t="str">
        <f>"2170523866                    "</f>
        <v xml:space="preserve">2170523866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3.32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1</v>
      </c>
      <c r="BJ2270" s="2">
        <v>0.2</v>
      </c>
      <c r="BK2270" s="2">
        <v>1</v>
      </c>
      <c r="BL2270" s="2">
        <v>40.76</v>
      </c>
      <c r="BM2270" s="2">
        <v>5.71</v>
      </c>
      <c r="BN2270" s="2">
        <v>46.47</v>
      </c>
      <c r="BO2270" s="2">
        <v>46.47</v>
      </c>
      <c r="BP2270" s="2"/>
      <c r="BQ2270" s="2" t="s">
        <v>1437</v>
      </c>
      <c r="BR2270" s="2" t="s">
        <v>83</v>
      </c>
      <c r="BS2270" s="3">
        <v>42668</v>
      </c>
      <c r="BT2270" s="4">
        <v>0.41666666666666669</v>
      </c>
      <c r="BU2270" s="2" t="s">
        <v>378</v>
      </c>
      <c r="BV2270" s="2" t="s">
        <v>85</v>
      </c>
      <c r="BW2270" s="2"/>
      <c r="BX2270" s="2"/>
      <c r="BY2270" s="2">
        <v>1200</v>
      </c>
      <c r="BZ2270" s="2"/>
      <c r="CA2270" s="2"/>
      <c r="CB2270" s="2"/>
      <c r="CC2270" s="2" t="s">
        <v>161</v>
      </c>
      <c r="CD2270" s="2">
        <v>7460</v>
      </c>
      <c r="CE2270" s="2" t="s">
        <v>108</v>
      </c>
      <c r="CF2270" s="5">
        <v>42669</v>
      </c>
      <c r="CG2270" s="2"/>
      <c r="CH2270" s="2"/>
      <c r="CI2270" s="2">
        <v>1</v>
      </c>
      <c r="CJ2270" s="2">
        <v>1</v>
      </c>
      <c r="CK2270" s="2">
        <v>21</v>
      </c>
      <c r="CL2270" s="2" t="s">
        <v>88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"FES1162508704"</f>
        <v>FES1162508704</v>
      </c>
      <c r="F2271" s="3">
        <v>42667</v>
      </c>
      <c r="G2271" s="2">
        <v>201704</v>
      </c>
      <c r="H2271" s="2" t="s">
        <v>74</v>
      </c>
      <c r="I2271" s="2" t="s">
        <v>75</v>
      </c>
      <c r="J2271" s="2" t="s">
        <v>76</v>
      </c>
      <c r="K2271" s="2" t="s">
        <v>77</v>
      </c>
      <c r="L2271" s="2" t="s">
        <v>160</v>
      </c>
      <c r="M2271" s="2" t="s">
        <v>161</v>
      </c>
      <c r="N2271" s="2" t="s">
        <v>179</v>
      </c>
      <c r="O2271" s="2" t="s">
        <v>96</v>
      </c>
      <c r="P2271" s="2" t="str">
        <f>"2170531938                    "</f>
        <v xml:space="preserve">2170531938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6.63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4</v>
      </c>
      <c r="BJ2271" s="2">
        <v>1.1000000000000001</v>
      </c>
      <c r="BK2271" s="2">
        <v>4</v>
      </c>
      <c r="BL2271" s="2">
        <v>81.510000000000005</v>
      </c>
      <c r="BM2271" s="2">
        <v>11.41</v>
      </c>
      <c r="BN2271" s="2">
        <v>92.92</v>
      </c>
      <c r="BO2271" s="2">
        <v>92.92</v>
      </c>
      <c r="BP2271" s="2"/>
      <c r="BQ2271" s="2" t="s">
        <v>180</v>
      </c>
      <c r="BR2271" s="2" t="s">
        <v>83</v>
      </c>
      <c r="BS2271" s="3">
        <v>42668</v>
      </c>
      <c r="BT2271" s="4">
        <v>0.41666666666666669</v>
      </c>
      <c r="BU2271" s="2" t="s">
        <v>2220</v>
      </c>
      <c r="BV2271" s="2" t="s">
        <v>85</v>
      </c>
      <c r="BW2271" s="2"/>
      <c r="BX2271" s="2"/>
      <c r="BY2271" s="2">
        <v>5349.16</v>
      </c>
      <c r="BZ2271" s="2"/>
      <c r="CA2271" s="2" t="s">
        <v>129</v>
      </c>
      <c r="CB2271" s="2"/>
      <c r="CC2271" s="2" t="s">
        <v>161</v>
      </c>
      <c r="CD2271" s="2">
        <v>7405</v>
      </c>
      <c r="CE2271" s="2" t="s">
        <v>86</v>
      </c>
      <c r="CF2271" s="5">
        <v>42669</v>
      </c>
      <c r="CG2271" s="2"/>
      <c r="CH2271" s="2"/>
      <c r="CI2271" s="2">
        <v>1</v>
      </c>
      <c r="CJ2271" s="2">
        <v>1</v>
      </c>
      <c r="CK2271" s="2">
        <v>21</v>
      </c>
      <c r="CL2271" s="2" t="s">
        <v>88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"FES1162508903"</f>
        <v>FES1162508903</v>
      </c>
      <c r="F2272" s="3">
        <v>42667</v>
      </c>
      <c r="G2272" s="2">
        <v>201704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153</v>
      </c>
      <c r="M2272" s="2" t="s">
        <v>153</v>
      </c>
      <c r="N2272" s="2" t="s">
        <v>343</v>
      </c>
      <c r="O2272" s="2" t="s">
        <v>96</v>
      </c>
      <c r="P2272" s="2" t="str">
        <f>"2170532154                    "</f>
        <v xml:space="preserve">2170532154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4.1500000000000004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2.2999999999999998</v>
      </c>
      <c r="BJ2272" s="2">
        <v>1</v>
      </c>
      <c r="BK2272" s="2">
        <v>2.5</v>
      </c>
      <c r="BL2272" s="2">
        <v>50.95</v>
      </c>
      <c r="BM2272" s="2">
        <v>7.13</v>
      </c>
      <c r="BN2272" s="2">
        <v>58.08</v>
      </c>
      <c r="BO2272" s="2">
        <v>58.08</v>
      </c>
      <c r="BP2272" s="2"/>
      <c r="BQ2272" s="2" t="s">
        <v>344</v>
      </c>
      <c r="BR2272" s="2" t="s">
        <v>83</v>
      </c>
      <c r="BS2272" s="3">
        <v>42668</v>
      </c>
      <c r="BT2272" s="4">
        <v>0.5625</v>
      </c>
      <c r="BU2272" s="2" t="s">
        <v>345</v>
      </c>
      <c r="BV2272" s="2" t="s">
        <v>85</v>
      </c>
      <c r="BW2272" s="2"/>
      <c r="BX2272" s="2"/>
      <c r="BY2272" s="2">
        <v>5018.3100000000004</v>
      </c>
      <c r="BZ2272" s="2"/>
      <c r="CA2272" s="2"/>
      <c r="CB2272" s="2"/>
      <c r="CC2272" s="2" t="s">
        <v>153</v>
      </c>
      <c r="CD2272" s="2">
        <v>7646</v>
      </c>
      <c r="CE2272" s="2" t="s">
        <v>86</v>
      </c>
      <c r="CF2272" s="5">
        <v>42669</v>
      </c>
      <c r="CG2272" s="2"/>
      <c r="CH2272" s="2"/>
      <c r="CI2272" s="2">
        <v>1</v>
      </c>
      <c r="CJ2272" s="2">
        <v>1</v>
      </c>
      <c r="CK2272" s="2">
        <v>21</v>
      </c>
      <c r="CL2272" s="2" t="s">
        <v>88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"FES1162508770"</f>
        <v>FES1162508770</v>
      </c>
      <c r="F2273" s="3">
        <v>42667</v>
      </c>
      <c r="G2273" s="2">
        <v>201704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137</v>
      </c>
      <c r="M2273" s="2" t="s">
        <v>138</v>
      </c>
      <c r="N2273" s="2" t="s">
        <v>2264</v>
      </c>
      <c r="O2273" s="2" t="s">
        <v>96</v>
      </c>
      <c r="P2273" s="2" t="str">
        <f>"2170532024                    "</f>
        <v xml:space="preserve">2170532024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3.32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1</v>
      </c>
      <c r="BJ2273" s="2">
        <v>1.4</v>
      </c>
      <c r="BK2273" s="2">
        <v>1.5</v>
      </c>
      <c r="BL2273" s="2">
        <v>40.76</v>
      </c>
      <c r="BM2273" s="2">
        <v>5.71</v>
      </c>
      <c r="BN2273" s="2">
        <v>46.47</v>
      </c>
      <c r="BO2273" s="2">
        <v>46.47</v>
      </c>
      <c r="BP2273" s="2"/>
      <c r="BQ2273" s="2"/>
      <c r="BR2273" s="2" t="s">
        <v>83</v>
      </c>
      <c r="BS2273" s="3">
        <v>42668</v>
      </c>
      <c r="BT2273" s="4">
        <v>0.43055555555555558</v>
      </c>
      <c r="BU2273" s="2" t="s">
        <v>2265</v>
      </c>
      <c r="BV2273" s="2"/>
      <c r="BW2273" s="2"/>
      <c r="BX2273" s="2"/>
      <c r="BY2273" s="2">
        <v>6825.46</v>
      </c>
      <c r="BZ2273" s="2"/>
      <c r="CA2273" s="2"/>
      <c r="CB2273" s="2"/>
      <c r="CC2273" s="2" t="s">
        <v>138</v>
      </c>
      <c r="CD2273" s="2">
        <v>3201</v>
      </c>
      <c r="CE2273" s="2" t="s">
        <v>86</v>
      </c>
      <c r="CF2273" s="5">
        <v>42669</v>
      </c>
      <c r="CG2273" s="2"/>
      <c r="CH2273" s="2"/>
      <c r="CI2273" s="2">
        <v>0</v>
      </c>
      <c r="CJ2273" s="2">
        <v>0</v>
      </c>
      <c r="CK2273" s="2">
        <v>21</v>
      </c>
      <c r="CL2273" s="2" t="s">
        <v>88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"029907611882"</f>
        <v>029907611882</v>
      </c>
      <c r="F2274" s="3">
        <v>42667</v>
      </c>
      <c r="G2274" s="2">
        <v>201704</v>
      </c>
      <c r="H2274" s="2" t="s">
        <v>93</v>
      </c>
      <c r="I2274" s="2" t="s">
        <v>94</v>
      </c>
      <c r="J2274" s="2" t="s">
        <v>2266</v>
      </c>
      <c r="K2274" s="2" t="s">
        <v>77</v>
      </c>
      <c r="L2274" s="2" t="s">
        <v>143</v>
      </c>
      <c r="M2274" s="2" t="s">
        <v>144</v>
      </c>
      <c r="N2274" s="2" t="s">
        <v>2267</v>
      </c>
      <c r="O2274" s="2" t="s">
        <v>81</v>
      </c>
      <c r="P2274" s="2" t="str">
        <f>"                              "</f>
        <v xml:space="preserve">          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6.44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13</v>
      </c>
      <c r="BJ2274" s="2">
        <v>24</v>
      </c>
      <c r="BK2274" s="2">
        <v>24</v>
      </c>
      <c r="BL2274" s="2">
        <v>84.07</v>
      </c>
      <c r="BM2274" s="2">
        <v>11.77</v>
      </c>
      <c r="BN2274" s="2">
        <v>95.84</v>
      </c>
      <c r="BO2274" s="2">
        <v>95.84</v>
      </c>
      <c r="BP2274" s="2"/>
      <c r="BQ2274" s="2" t="s">
        <v>2268</v>
      </c>
      <c r="BR2274" s="2" t="s">
        <v>2269</v>
      </c>
      <c r="BS2274" s="3">
        <v>42669</v>
      </c>
      <c r="BT2274" s="4">
        <v>0.46875</v>
      </c>
      <c r="BU2274" s="2" t="s">
        <v>1964</v>
      </c>
      <c r="BV2274" s="2" t="s">
        <v>85</v>
      </c>
      <c r="BW2274" s="2"/>
      <c r="BX2274" s="2"/>
      <c r="BY2274" s="2">
        <v>120000</v>
      </c>
      <c r="BZ2274" s="2"/>
      <c r="CA2274" s="2"/>
      <c r="CB2274" s="2"/>
      <c r="CC2274" s="2" t="s">
        <v>144</v>
      </c>
      <c r="CD2274" s="2">
        <v>5200</v>
      </c>
      <c r="CE2274" s="2" t="s">
        <v>86</v>
      </c>
      <c r="CF2274" s="5">
        <v>42671</v>
      </c>
      <c r="CG2274" s="2"/>
      <c r="CH2274" s="2"/>
      <c r="CI2274" s="2">
        <v>2</v>
      </c>
      <c r="CJ2274" s="2">
        <v>2</v>
      </c>
      <c r="CK2274" s="2" t="s">
        <v>2270</v>
      </c>
      <c r="CL2274" s="2" t="s">
        <v>88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"FES1162508678"</f>
        <v>FES1162508678</v>
      </c>
      <c r="F2275" s="3">
        <v>42667</v>
      </c>
      <c r="G2275" s="2">
        <v>201704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143</v>
      </c>
      <c r="M2275" s="2" t="s">
        <v>144</v>
      </c>
      <c r="N2275" s="2" t="s">
        <v>216</v>
      </c>
      <c r="O2275" s="2" t="s">
        <v>96</v>
      </c>
      <c r="P2275" s="2" t="str">
        <f>"2170529668                    "</f>
        <v xml:space="preserve">2170529668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10.78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5</v>
      </c>
      <c r="BJ2275" s="2">
        <v>6.5</v>
      </c>
      <c r="BK2275" s="2">
        <v>6.5</v>
      </c>
      <c r="BL2275" s="2">
        <v>132.46</v>
      </c>
      <c r="BM2275" s="2">
        <v>18.54</v>
      </c>
      <c r="BN2275" s="2">
        <v>151</v>
      </c>
      <c r="BO2275" s="2">
        <v>151</v>
      </c>
      <c r="BP2275" s="2"/>
      <c r="BQ2275" s="2" t="s">
        <v>91</v>
      </c>
      <c r="BR2275" s="2" t="s">
        <v>83</v>
      </c>
      <c r="BS2275" s="3">
        <v>42668</v>
      </c>
      <c r="BT2275" s="4">
        <v>0.41666666666666669</v>
      </c>
      <c r="BU2275" s="2" t="s">
        <v>276</v>
      </c>
      <c r="BV2275" s="2" t="s">
        <v>85</v>
      </c>
      <c r="BW2275" s="2"/>
      <c r="BX2275" s="2"/>
      <c r="BY2275" s="2">
        <v>32654.16</v>
      </c>
      <c r="BZ2275" s="2" t="s">
        <v>27</v>
      </c>
      <c r="CA2275" s="2"/>
      <c r="CB2275" s="2"/>
      <c r="CC2275" s="2" t="s">
        <v>144</v>
      </c>
      <c r="CD2275" s="2">
        <v>5201</v>
      </c>
      <c r="CE2275" s="2" t="s">
        <v>86</v>
      </c>
      <c r="CF2275" s="5">
        <v>42670</v>
      </c>
      <c r="CG2275" s="2"/>
      <c r="CH2275" s="2"/>
      <c r="CI2275" s="2">
        <v>1</v>
      </c>
      <c r="CJ2275" s="2">
        <v>1</v>
      </c>
      <c r="CK2275" s="2">
        <v>21</v>
      </c>
      <c r="CL2275" s="2" t="s">
        <v>88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"FES1162508804"</f>
        <v>FES1162508804</v>
      </c>
      <c r="F2276" s="3">
        <v>42667</v>
      </c>
      <c r="G2276" s="2">
        <v>201704</v>
      </c>
      <c r="H2276" s="2" t="s">
        <v>74</v>
      </c>
      <c r="I2276" s="2" t="s">
        <v>75</v>
      </c>
      <c r="J2276" s="2" t="s">
        <v>76</v>
      </c>
      <c r="K2276" s="2" t="s">
        <v>77</v>
      </c>
      <c r="L2276" s="2" t="s">
        <v>98</v>
      </c>
      <c r="M2276" s="2" t="s">
        <v>99</v>
      </c>
      <c r="N2276" s="2" t="s">
        <v>109</v>
      </c>
      <c r="O2276" s="2" t="s">
        <v>96</v>
      </c>
      <c r="P2276" s="2" t="str">
        <f>"2170527969                    "</f>
        <v xml:space="preserve">2170527969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3.32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1.3</v>
      </c>
      <c r="BJ2276" s="2">
        <v>1.8</v>
      </c>
      <c r="BK2276" s="2">
        <v>2</v>
      </c>
      <c r="BL2276" s="2">
        <v>40.76</v>
      </c>
      <c r="BM2276" s="2">
        <v>5.71</v>
      </c>
      <c r="BN2276" s="2">
        <v>46.47</v>
      </c>
      <c r="BO2276" s="2">
        <v>46.47</v>
      </c>
      <c r="BP2276" s="2"/>
      <c r="BQ2276" s="2" t="s">
        <v>110</v>
      </c>
      <c r="BR2276" s="2" t="s">
        <v>83</v>
      </c>
      <c r="BS2276" s="3">
        <v>42668</v>
      </c>
      <c r="BT2276" s="4">
        <v>0.53472222222222221</v>
      </c>
      <c r="BU2276" s="2" t="s">
        <v>2209</v>
      </c>
      <c r="BV2276" s="2" t="s">
        <v>88</v>
      </c>
      <c r="BW2276" s="2" t="s">
        <v>277</v>
      </c>
      <c r="BX2276" s="2" t="s">
        <v>1683</v>
      </c>
      <c r="BY2276" s="2">
        <v>8995.39</v>
      </c>
      <c r="BZ2276" s="2"/>
      <c r="CA2276" s="2"/>
      <c r="CB2276" s="2"/>
      <c r="CC2276" s="2" t="s">
        <v>99</v>
      </c>
      <c r="CD2276" s="2">
        <v>6001</v>
      </c>
      <c r="CE2276" s="2" t="s">
        <v>86</v>
      </c>
      <c r="CF2276" s="5">
        <v>42669</v>
      </c>
      <c r="CG2276" s="2"/>
      <c r="CH2276" s="2"/>
      <c r="CI2276" s="2">
        <v>1</v>
      </c>
      <c r="CJ2276" s="2">
        <v>1</v>
      </c>
      <c r="CK2276" s="2">
        <v>21</v>
      </c>
      <c r="CL2276" s="2" t="s">
        <v>88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"FES1162508218"</f>
        <v>FES1162508218</v>
      </c>
      <c r="F2277" s="3">
        <v>42663</v>
      </c>
      <c r="G2277" s="2">
        <v>201704</v>
      </c>
      <c r="H2277" s="2" t="s">
        <v>74</v>
      </c>
      <c r="I2277" s="2" t="s">
        <v>75</v>
      </c>
      <c r="J2277" s="2" t="s">
        <v>189</v>
      </c>
      <c r="K2277" s="2" t="s">
        <v>77</v>
      </c>
      <c r="L2277" s="2" t="s">
        <v>78</v>
      </c>
      <c r="M2277" s="2" t="s">
        <v>79</v>
      </c>
      <c r="N2277" s="2" t="s">
        <v>2081</v>
      </c>
      <c r="O2277" s="2" t="s">
        <v>81</v>
      </c>
      <c r="P2277" s="2" t="str">
        <f>"2170531507                    "</f>
        <v xml:space="preserve">2170531507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5.7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6.3</v>
      </c>
      <c r="BJ2277" s="2">
        <v>1.7</v>
      </c>
      <c r="BK2277" s="2">
        <v>7</v>
      </c>
      <c r="BL2277" s="2">
        <v>75.05</v>
      </c>
      <c r="BM2277" s="2">
        <v>10.51</v>
      </c>
      <c r="BN2277" s="2">
        <v>85.56</v>
      </c>
      <c r="BO2277" s="2">
        <v>85.56</v>
      </c>
      <c r="BP2277" s="2"/>
      <c r="BQ2277" s="2"/>
      <c r="BR2277" s="2" t="s">
        <v>194</v>
      </c>
      <c r="BS2277" s="3">
        <v>42669</v>
      </c>
      <c r="BT2277" s="4">
        <v>0.41666666666666669</v>
      </c>
      <c r="BU2277" s="2" t="s">
        <v>2271</v>
      </c>
      <c r="BV2277" s="2" t="s">
        <v>88</v>
      </c>
      <c r="BW2277" s="2"/>
      <c r="BX2277" s="2"/>
      <c r="BY2277" s="2">
        <v>8577.7900000000009</v>
      </c>
      <c r="BZ2277" s="2"/>
      <c r="CA2277" s="2"/>
      <c r="CB2277" s="2"/>
      <c r="CC2277" s="2" t="s">
        <v>79</v>
      </c>
      <c r="CD2277" s="2">
        <v>1930</v>
      </c>
      <c r="CE2277" s="2" t="s">
        <v>86</v>
      </c>
      <c r="CF2277" s="5">
        <v>42671</v>
      </c>
      <c r="CG2277" s="2"/>
      <c r="CH2277" s="2"/>
      <c r="CI2277" s="2">
        <v>1</v>
      </c>
      <c r="CJ2277" s="2">
        <v>4</v>
      </c>
      <c r="CK2277" s="2" t="s">
        <v>87</v>
      </c>
      <c r="CL2277" s="2" t="s">
        <v>88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"080001467618"</f>
        <v>080001467618</v>
      </c>
      <c r="F2278" s="3">
        <v>42668</v>
      </c>
      <c r="G2278" s="2">
        <v>201704</v>
      </c>
      <c r="H2278" s="2" t="s">
        <v>218</v>
      </c>
      <c r="I2278" s="2" t="s">
        <v>219</v>
      </c>
      <c r="J2278" s="2" t="s">
        <v>934</v>
      </c>
      <c r="K2278" s="2" t="s">
        <v>77</v>
      </c>
      <c r="L2278" s="2" t="s">
        <v>74</v>
      </c>
      <c r="M2278" s="2" t="s">
        <v>75</v>
      </c>
      <c r="N2278" s="2" t="s">
        <v>189</v>
      </c>
      <c r="O2278" s="2" t="s">
        <v>96</v>
      </c>
      <c r="P2278" s="2" t="str">
        <f>"ZA1000600386                  "</f>
        <v xml:space="preserve">ZA1000600386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3.32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1</v>
      </c>
      <c r="BJ2278" s="2">
        <v>0.3</v>
      </c>
      <c r="BK2278" s="2">
        <v>1</v>
      </c>
      <c r="BL2278" s="2">
        <v>40.76</v>
      </c>
      <c r="BM2278" s="2">
        <v>5.71</v>
      </c>
      <c r="BN2278" s="2">
        <v>46.47</v>
      </c>
      <c r="BO2278" s="2">
        <v>46.47</v>
      </c>
      <c r="BP2278" s="2" t="s">
        <v>2272</v>
      </c>
      <c r="BQ2278" s="2" t="s">
        <v>102</v>
      </c>
      <c r="BR2278" s="2" t="s">
        <v>742</v>
      </c>
      <c r="BS2278" s="3">
        <v>42669</v>
      </c>
      <c r="BT2278" s="4">
        <v>0.37847222222222227</v>
      </c>
      <c r="BU2278" s="2" t="s">
        <v>102</v>
      </c>
      <c r="BV2278" s="2" t="s">
        <v>85</v>
      </c>
      <c r="BW2278" s="2"/>
      <c r="BX2278" s="2"/>
      <c r="BY2278" s="2">
        <v>1628</v>
      </c>
      <c r="BZ2278" s="2"/>
      <c r="CA2278" s="2"/>
      <c r="CB2278" s="2"/>
      <c r="CC2278" s="2" t="s">
        <v>75</v>
      </c>
      <c r="CD2278" s="2">
        <v>1601</v>
      </c>
      <c r="CE2278" s="2" t="s">
        <v>86</v>
      </c>
      <c r="CF2278" s="5">
        <v>42670</v>
      </c>
      <c r="CG2278" s="2"/>
      <c r="CH2278" s="2"/>
      <c r="CI2278" s="2">
        <v>1</v>
      </c>
      <c r="CJ2278" s="2">
        <v>1</v>
      </c>
      <c r="CK2278" s="2">
        <v>21</v>
      </c>
      <c r="CL2278" s="2" t="s">
        <v>88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"080001468034"</f>
        <v>080001468034</v>
      </c>
      <c r="F2279" s="3">
        <v>42668</v>
      </c>
      <c r="G2279" s="2">
        <v>201704</v>
      </c>
      <c r="H2279" s="2" t="s">
        <v>160</v>
      </c>
      <c r="I2279" s="2" t="s">
        <v>161</v>
      </c>
      <c r="J2279" s="2" t="s">
        <v>1995</v>
      </c>
      <c r="K2279" s="2" t="s">
        <v>77</v>
      </c>
      <c r="L2279" s="2" t="s">
        <v>74</v>
      </c>
      <c r="M2279" s="2" t="s">
        <v>75</v>
      </c>
      <c r="N2279" s="2" t="s">
        <v>189</v>
      </c>
      <c r="O2279" s="2" t="s">
        <v>96</v>
      </c>
      <c r="P2279" s="2" t="str">
        <f>"ZA1000601028                  "</f>
        <v xml:space="preserve">ZA1000601028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4.1500000000000004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2.5</v>
      </c>
      <c r="BJ2279" s="2">
        <v>0.8</v>
      </c>
      <c r="BK2279" s="2">
        <v>2.5</v>
      </c>
      <c r="BL2279" s="2">
        <v>50.95</v>
      </c>
      <c r="BM2279" s="2">
        <v>7.13</v>
      </c>
      <c r="BN2279" s="2">
        <v>58.08</v>
      </c>
      <c r="BO2279" s="2">
        <v>58.08</v>
      </c>
      <c r="BP2279" s="2" t="s">
        <v>2273</v>
      </c>
      <c r="BQ2279" s="2" t="s">
        <v>102</v>
      </c>
      <c r="BR2279" s="2" t="s">
        <v>127</v>
      </c>
      <c r="BS2279" s="3">
        <v>42669</v>
      </c>
      <c r="BT2279" s="4">
        <v>0.37847222222222227</v>
      </c>
      <c r="BU2279" s="2" t="s">
        <v>799</v>
      </c>
      <c r="BV2279" s="2" t="s">
        <v>85</v>
      </c>
      <c r="BW2279" s="2"/>
      <c r="BX2279" s="2"/>
      <c r="BY2279" s="2">
        <v>3750</v>
      </c>
      <c r="BZ2279" s="2"/>
      <c r="CA2279" s="2"/>
      <c r="CB2279" s="2"/>
      <c r="CC2279" s="2" t="s">
        <v>75</v>
      </c>
      <c r="CD2279" s="2">
        <v>1600</v>
      </c>
      <c r="CE2279" s="2" t="s">
        <v>86</v>
      </c>
      <c r="CF2279" s="5">
        <v>42670</v>
      </c>
      <c r="CG2279" s="2"/>
      <c r="CH2279" s="2"/>
      <c r="CI2279" s="2">
        <v>1</v>
      </c>
      <c r="CJ2279" s="2">
        <v>1</v>
      </c>
      <c r="CK2279" s="2">
        <v>21</v>
      </c>
      <c r="CL2279" s="2" t="s">
        <v>88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"FES1162508984"</f>
        <v>FES1162508984</v>
      </c>
      <c r="F2280" s="3">
        <v>42668</v>
      </c>
      <c r="G2280" s="2">
        <v>201704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137</v>
      </c>
      <c r="M2280" s="2" t="s">
        <v>138</v>
      </c>
      <c r="N2280" s="2" t="s">
        <v>1255</v>
      </c>
      <c r="O2280" s="2" t="s">
        <v>96</v>
      </c>
      <c r="P2280" s="2" t="str">
        <f>"2170526353                    "</f>
        <v xml:space="preserve">2170526353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3.32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1</v>
      </c>
      <c r="BJ2280" s="2">
        <v>0.2</v>
      </c>
      <c r="BK2280" s="2">
        <v>1</v>
      </c>
      <c r="BL2280" s="2">
        <v>40.76</v>
      </c>
      <c r="BM2280" s="2">
        <v>5.71</v>
      </c>
      <c r="BN2280" s="2">
        <v>46.47</v>
      </c>
      <c r="BO2280" s="2">
        <v>46.47</v>
      </c>
      <c r="BP2280" s="2"/>
      <c r="BQ2280" s="2" t="s">
        <v>117</v>
      </c>
      <c r="BR2280" s="2" t="s">
        <v>83</v>
      </c>
      <c r="BS2280" s="3">
        <v>42669</v>
      </c>
      <c r="BT2280" s="4">
        <v>0.42708333333333331</v>
      </c>
      <c r="BU2280" s="2" t="s">
        <v>1373</v>
      </c>
      <c r="BV2280" s="2" t="s">
        <v>85</v>
      </c>
      <c r="BW2280" s="2"/>
      <c r="BX2280" s="2"/>
      <c r="BY2280" s="2">
        <v>1200</v>
      </c>
      <c r="BZ2280" s="2"/>
      <c r="CA2280" s="2"/>
      <c r="CB2280" s="2"/>
      <c r="CC2280" s="2" t="s">
        <v>138</v>
      </c>
      <c r="CD2280" s="2">
        <v>3680</v>
      </c>
      <c r="CE2280" s="2" t="s">
        <v>108</v>
      </c>
      <c r="CF2280" s="5">
        <v>42670</v>
      </c>
      <c r="CG2280" s="2"/>
      <c r="CH2280" s="2"/>
      <c r="CI2280" s="2">
        <v>1</v>
      </c>
      <c r="CJ2280" s="2">
        <v>1</v>
      </c>
      <c r="CK2280" s="2">
        <v>21</v>
      </c>
      <c r="CL2280" s="2" t="s">
        <v>88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"FES1162509205"</f>
        <v>FES1162509205</v>
      </c>
      <c r="F2281" s="3">
        <v>42668</v>
      </c>
      <c r="G2281" s="2">
        <v>201704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98</v>
      </c>
      <c r="M2281" s="2" t="s">
        <v>99</v>
      </c>
      <c r="N2281" s="2" t="s">
        <v>1752</v>
      </c>
      <c r="O2281" s="2" t="s">
        <v>96</v>
      </c>
      <c r="P2281" s="2" t="str">
        <f>"2170531710                    "</f>
        <v xml:space="preserve">2170531710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3.32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1</v>
      </c>
      <c r="BJ2281" s="2">
        <v>0.2</v>
      </c>
      <c r="BK2281" s="2">
        <v>1</v>
      </c>
      <c r="BL2281" s="2">
        <v>40.76</v>
      </c>
      <c r="BM2281" s="2">
        <v>5.71</v>
      </c>
      <c r="BN2281" s="2">
        <v>46.47</v>
      </c>
      <c r="BO2281" s="2">
        <v>46.47</v>
      </c>
      <c r="BP2281" s="2"/>
      <c r="BQ2281" s="2" t="s">
        <v>91</v>
      </c>
      <c r="BR2281" s="2" t="s">
        <v>83</v>
      </c>
      <c r="BS2281" s="3">
        <v>42669</v>
      </c>
      <c r="BT2281" s="4">
        <v>0.40972222222222227</v>
      </c>
      <c r="BU2281" s="2" t="s">
        <v>2274</v>
      </c>
      <c r="BV2281" s="2" t="s">
        <v>85</v>
      </c>
      <c r="BW2281" s="2"/>
      <c r="BX2281" s="2"/>
      <c r="BY2281" s="2">
        <v>1200</v>
      </c>
      <c r="BZ2281" s="2"/>
      <c r="CA2281" s="2" t="s">
        <v>129</v>
      </c>
      <c r="CB2281" s="2"/>
      <c r="CC2281" s="2" t="s">
        <v>99</v>
      </c>
      <c r="CD2281" s="2">
        <v>6045</v>
      </c>
      <c r="CE2281" s="2" t="s">
        <v>108</v>
      </c>
      <c r="CF2281" s="5">
        <v>42670</v>
      </c>
      <c r="CG2281" s="2"/>
      <c r="CH2281" s="2"/>
      <c r="CI2281" s="2">
        <v>1</v>
      </c>
      <c r="CJ2281" s="2">
        <v>1</v>
      </c>
      <c r="CK2281" s="2">
        <v>21</v>
      </c>
      <c r="CL2281" s="2" t="s">
        <v>88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"FES1162509212"</f>
        <v>FES1162509212</v>
      </c>
      <c r="F2282" s="3">
        <v>42668</v>
      </c>
      <c r="G2282" s="2">
        <v>201704</v>
      </c>
      <c r="H2282" s="2" t="s">
        <v>74</v>
      </c>
      <c r="I2282" s="2" t="s">
        <v>75</v>
      </c>
      <c r="J2282" s="2" t="s">
        <v>76</v>
      </c>
      <c r="K2282" s="2" t="s">
        <v>77</v>
      </c>
      <c r="L2282" s="2" t="s">
        <v>698</v>
      </c>
      <c r="M2282" s="2" t="s">
        <v>699</v>
      </c>
      <c r="N2282" s="2" t="s">
        <v>704</v>
      </c>
      <c r="O2282" s="2" t="s">
        <v>96</v>
      </c>
      <c r="P2282" s="2" t="str">
        <f>"2170532402                    "</f>
        <v xml:space="preserve">2170532402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4.66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1</v>
      </c>
      <c r="BJ2282" s="2">
        <v>0.2</v>
      </c>
      <c r="BK2282" s="2">
        <v>1</v>
      </c>
      <c r="BL2282" s="2">
        <v>57.31</v>
      </c>
      <c r="BM2282" s="2">
        <v>8.02</v>
      </c>
      <c r="BN2282" s="2">
        <v>65.33</v>
      </c>
      <c r="BO2282" s="2">
        <v>65.33</v>
      </c>
      <c r="BP2282" s="2"/>
      <c r="BQ2282" s="2" t="s">
        <v>705</v>
      </c>
      <c r="BR2282" s="2" t="s">
        <v>83</v>
      </c>
      <c r="BS2282" s="3">
        <v>42669</v>
      </c>
      <c r="BT2282" s="4">
        <v>0.48055555555555557</v>
      </c>
      <c r="BU2282" s="2" t="s">
        <v>2275</v>
      </c>
      <c r="BV2282" s="2" t="s">
        <v>85</v>
      </c>
      <c r="BW2282" s="2"/>
      <c r="BX2282" s="2"/>
      <c r="BY2282" s="2">
        <v>1200</v>
      </c>
      <c r="BZ2282" s="2"/>
      <c r="CA2282" s="2"/>
      <c r="CB2282" s="2"/>
      <c r="CC2282" s="2" t="s">
        <v>699</v>
      </c>
      <c r="CD2282" s="2">
        <v>1759</v>
      </c>
      <c r="CE2282" s="2" t="s">
        <v>108</v>
      </c>
      <c r="CF2282" s="5">
        <v>42670</v>
      </c>
      <c r="CG2282" s="2"/>
      <c r="CH2282" s="2"/>
      <c r="CI2282" s="2">
        <v>1</v>
      </c>
      <c r="CJ2282" s="2">
        <v>1</v>
      </c>
      <c r="CK2282" s="2">
        <v>24</v>
      </c>
      <c r="CL2282" s="2" t="s">
        <v>88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"FES1162508991"</f>
        <v>FES1162508991</v>
      </c>
      <c r="F2283" s="3">
        <v>42668</v>
      </c>
      <c r="G2283" s="2">
        <v>201704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78</v>
      </c>
      <c r="M2283" s="2" t="s">
        <v>79</v>
      </c>
      <c r="N2283" s="2" t="s">
        <v>1180</v>
      </c>
      <c r="O2283" s="2" t="s">
        <v>96</v>
      </c>
      <c r="P2283" s="2" t="str">
        <f>"2170529945                    "</f>
        <v xml:space="preserve">2170529945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3.32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1.8</v>
      </c>
      <c r="BJ2283" s="2">
        <v>1.8</v>
      </c>
      <c r="BK2283" s="2">
        <v>2</v>
      </c>
      <c r="BL2283" s="2">
        <v>40.76</v>
      </c>
      <c r="BM2283" s="2">
        <v>5.71</v>
      </c>
      <c r="BN2283" s="2">
        <v>46.47</v>
      </c>
      <c r="BO2283" s="2">
        <v>46.47</v>
      </c>
      <c r="BP2283" s="2"/>
      <c r="BQ2283" s="2" t="s">
        <v>1181</v>
      </c>
      <c r="BR2283" s="2" t="s">
        <v>83</v>
      </c>
      <c r="BS2283" s="3">
        <v>42669</v>
      </c>
      <c r="BT2283" s="4">
        <v>0.41666666666666669</v>
      </c>
      <c r="BU2283" s="2" t="s">
        <v>84</v>
      </c>
      <c r="BV2283" s="2" t="s">
        <v>85</v>
      </c>
      <c r="BW2283" s="2"/>
      <c r="BX2283" s="2"/>
      <c r="BY2283" s="2">
        <v>8846.18</v>
      </c>
      <c r="BZ2283" s="2"/>
      <c r="CA2283" s="2"/>
      <c r="CB2283" s="2"/>
      <c r="CC2283" s="2" t="s">
        <v>79</v>
      </c>
      <c r="CD2283" s="2">
        <v>1871</v>
      </c>
      <c r="CE2283" s="2" t="s">
        <v>108</v>
      </c>
      <c r="CF2283" s="5">
        <v>42671</v>
      </c>
      <c r="CG2283" s="2"/>
      <c r="CH2283" s="2"/>
      <c r="CI2283" s="2">
        <v>1</v>
      </c>
      <c r="CJ2283" s="2">
        <v>1</v>
      </c>
      <c r="CK2283" s="2">
        <v>21</v>
      </c>
      <c r="CL2283" s="2" t="s">
        <v>88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"FES1162508962"</f>
        <v>FES1162508962</v>
      </c>
      <c r="F2284" s="3">
        <v>42668</v>
      </c>
      <c r="G2284" s="2">
        <v>201704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148</v>
      </c>
      <c r="M2284" s="2" t="s">
        <v>149</v>
      </c>
      <c r="N2284" s="2" t="s">
        <v>296</v>
      </c>
      <c r="O2284" s="2" t="s">
        <v>96</v>
      </c>
      <c r="P2284" s="2" t="str">
        <f>"2170531712                    "</f>
        <v xml:space="preserve">2170531712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3.32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0.8</v>
      </c>
      <c r="BJ2284" s="2">
        <v>1.2</v>
      </c>
      <c r="BK2284" s="2">
        <v>1.5</v>
      </c>
      <c r="BL2284" s="2">
        <v>40.76</v>
      </c>
      <c r="BM2284" s="2">
        <v>5.71</v>
      </c>
      <c r="BN2284" s="2">
        <v>46.47</v>
      </c>
      <c r="BO2284" s="2">
        <v>46.47</v>
      </c>
      <c r="BP2284" s="2"/>
      <c r="BQ2284" s="2" t="s">
        <v>168</v>
      </c>
      <c r="BR2284" s="2" t="s">
        <v>83</v>
      </c>
      <c r="BS2284" s="3">
        <v>42669</v>
      </c>
      <c r="BT2284" s="4">
        <v>0.4375</v>
      </c>
      <c r="BU2284" s="2" t="s">
        <v>2276</v>
      </c>
      <c r="BV2284" s="2" t="s">
        <v>85</v>
      </c>
      <c r="BW2284" s="2"/>
      <c r="BX2284" s="2"/>
      <c r="BY2284" s="2">
        <v>6201.54</v>
      </c>
      <c r="BZ2284" s="2"/>
      <c r="CA2284" s="2"/>
      <c r="CB2284" s="2"/>
      <c r="CC2284" s="2" t="s">
        <v>149</v>
      </c>
      <c r="CD2284" s="2">
        <v>4001</v>
      </c>
      <c r="CE2284" s="2" t="s">
        <v>108</v>
      </c>
      <c r="CF2284" s="5">
        <v>42670</v>
      </c>
      <c r="CG2284" s="2"/>
      <c r="CH2284" s="2"/>
      <c r="CI2284" s="2">
        <v>1</v>
      </c>
      <c r="CJ2284" s="2">
        <v>1</v>
      </c>
      <c r="CK2284" s="2">
        <v>21</v>
      </c>
      <c r="CL2284" s="2" t="s">
        <v>88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"FES1162509144"</f>
        <v>FES1162509144</v>
      </c>
      <c r="F2285" s="3">
        <v>42668</v>
      </c>
      <c r="G2285" s="2">
        <v>201704</v>
      </c>
      <c r="H2285" s="2" t="s">
        <v>74</v>
      </c>
      <c r="I2285" s="2" t="s">
        <v>75</v>
      </c>
      <c r="J2285" s="2" t="s">
        <v>76</v>
      </c>
      <c r="K2285" s="2" t="s">
        <v>77</v>
      </c>
      <c r="L2285" s="2" t="s">
        <v>137</v>
      </c>
      <c r="M2285" s="2" t="s">
        <v>138</v>
      </c>
      <c r="N2285" s="2" t="s">
        <v>420</v>
      </c>
      <c r="O2285" s="2" t="s">
        <v>96</v>
      </c>
      <c r="P2285" s="2" t="str">
        <f>"2170532283                    "</f>
        <v xml:space="preserve">2170532283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3.32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1</v>
      </c>
      <c r="BJ2285" s="2">
        <v>0.2</v>
      </c>
      <c r="BK2285" s="2">
        <v>1</v>
      </c>
      <c r="BL2285" s="2">
        <v>40.76</v>
      </c>
      <c r="BM2285" s="2">
        <v>5.71</v>
      </c>
      <c r="BN2285" s="2">
        <v>46.47</v>
      </c>
      <c r="BO2285" s="2">
        <v>46.47</v>
      </c>
      <c r="BP2285" s="2"/>
      <c r="BQ2285" s="2" t="s">
        <v>117</v>
      </c>
      <c r="BR2285" s="2" t="s">
        <v>83</v>
      </c>
      <c r="BS2285" s="3">
        <v>42669</v>
      </c>
      <c r="BT2285" s="4">
        <v>0.38541666666666669</v>
      </c>
      <c r="BU2285" s="2" t="s">
        <v>720</v>
      </c>
      <c r="BV2285" s="2" t="s">
        <v>85</v>
      </c>
      <c r="BW2285" s="2"/>
      <c r="BX2285" s="2"/>
      <c r="BY2285" s="2">
        <v>1200</v>
      </c>
      <c r="BZ2285" s="2"/>
      <c r="CA2285" s="2" t="s">
        <v>613</v>
      </c>
      <c r="CB2285" s="2"/>
      <c r="CC2285" s="2" t="s">
        <v>138</v>
      </c>
      <c r="CD2285" s="2">
        <v>3201</v>
      </c>
      <c r="CE2285" s="2" t="s">
        <v>108</v>
      </c>
      <c r="CF2285" s="5">
        <v>42669</v>
      </c>
      <c r="CG2285" s="2"/>
      <c r="CH2285" s="2"/>
      <c r="CI2285" s="2">
        <v>1</v>
      </c>
      <c r="CJ2285" s="2">
        <v>1</v>
      </c>
      <c r="CK2285" s="2">
        <v>21</v>
      </c>
      <c r="CL2285" s="2" t="s">
        <v>88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"FES1162509146"</f>
        <v>FES1162509146</v>
      </c>
      <c r="F2286" s="3">
        <v>42668</v>
      </c>
      <c r="G2286" s="2">
        <v>201704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137</v>
      </c>
      <c r="M2286" s="2" t="s">
        <v>138</v>
      </c>
      <c r="N2286" s="2" t="s">
        <v>420</v>
      </c>
      <c r="O2286" s="2" t="s">
        <v>96</v>
      </c>
      <c r="P2286" s="2" t="str">
        <f>"2170532290                    "</f>
        <v xml:space="preserve">2170532290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3.32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1</v>
      </c>
      <c r="BJ2286" s="2">
        <v>0.2</v>
      </c>
      <c r="BK2286" s="2">
        <v>1</v>
      </c>
      <c r="BL2286" s="2">
        <v>40.76</v>
      </c>
      <c r="BM2286" s="2">
        <v>5.71</v>
      </c>
      <c r="BN2286" s="2">
        <v>46.47</v>
      </c>
      <c r="BO2286" s="2">
        <v>46.47</v>
      </c>
      <c r="BP2286" s="2"/>
      <c r="BQ2286" s="2" t="s">
        <v>117</v>
      </c>
      <c r="BR2286" s="2" t="s">
        <v>83</v>
      </c>
      <c r="BS2286" s="3">
        <v>42669</v>
      </c>
      <c r="BT2286" s="4">
        <v>0.3756944444444445</v>
      </c>
      <c r="BU2286" s="2" t="s">
        <v>720</v>
      </c>
      <c r="BV2286" s="2" t="s">
        <v>85</v>
      </c>
      <c r="BW2286" s="2"/>
      <c r="BX2286" s="2"/>
      <c r="BY2286" s="2">
        <v>1200</v>
      </c>
      <c r="BZ2286" s="2"/>
      <c r="CA2286" s="2"/>
      <c r="CB2286" s="2"/>
      <c r="CC2286" s="2" t="s">
        <v>138</v>
      </c>
      <c r="CD2286" s="2">
        <v>3201</v>
      </c>
      <c r="CE2286" s="2" t="s">
        <v>108</v>
      </c>
      <c r="CF2286" s="5">
        <v>42670</v>
      </c>
      <c r="CG2286" s="2"/>
      <c r="CH2286" s="2"/>
      <c r="CI2286" s="2">
        <v>1</v>
      </c>
      <c r="CJ2286" s="2">
        <v>1</v>
      </c>
      <c r="CK2286" s="2">
        <v>21</v>
      </c>
      <c r="CL2286" s="2" t="s">
        <v>88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"FES1162509126"</f>
        <v>FES1162509126</v>
      </c>
      <c r="F2287" s="3">
        <v>42668</v>
      </c>
      <c r="G2287" s="2">
        <v>201704</v>
      </c>
      <c r="H2287" s="2" t="s">
        <v>74</v>
      </c>
      <c r="I2287" s="2" t="s">
        <v>75</v>
      </c>
      <c r="J2287" s="2" t="s">
        <v>76</v>
      </c>
      <c r="K2287" s="2" t="s">
        <v>77</v>
      </c>
      <c r="L2287" s="2" t="s">
        <v>93</v>
      </c>
      <c r="M2287" s="2" t="s">
        <v>94</v>
      </c>
      <c r="N2287" s="2" t="s">
        <v>130</v>
      </c>
      <c r="O2287" s="2" t="s">
        <v>96</v>
      </c>
      <c r="P2287" s="2" t="str">
        <f>"2170532293                    "</f>
        <v xml:space="preserve">2170532293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3.32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1</v>
      </c>
      <c r="BJ2287" s="2">
        <v>0.2</v>
      </c>
      <c r="BK2287" s="2">
        <v>1</v>
      </c>
      <c r="BL2287" s="2">
        <v>40.76</v>
      </c>
      <c r="BM2287" s="2">
        <v>5.71</v>
      </c>
      <c r="BN2287" s="2">
        <v>46.47</v>
      </c>
      <c r="BO2287" s="2">
        <v>46.47</v>
      </c>
      <c r="BP2287" s="2"/>
      <c r="BQ2287" s="2" t="s">
        <v>131</v>
      </c>
      <c r="BR2287" s="2" t="s">
        <v>83</v>
      </c>
      <c r="BS2287" s="3">
        <v>42669</v>
      </c>
      <c r="BT2287" s="4">
        <v>0.4375</v>
      </c>
      <c r="BU2287" s="2" t="s">
        <v>637</v>
      </c>
      <c r="BV2287" s="2" t="s">
        <v>85</v>
      </c>
      <c r="BW2287" s="2"/>
      <c r="BX2287" s="2"/>
      <c r="BY2287" s="2">
        <v>1200</v>
      </c>
      <c r="BZ2287" s="2"/>
      <c r="CA2287" s="2"/>
      <c r="CB2287" s="2"/>
      <c r="CC2287" s="2" t="s">
        <v>94</v>
      </c>
      <c r="CD2287" s="2">
        <v>4302</v>
      </c>
      <c r="CE2287" s="2" t="s">
        <v>108</v>
      </c>
      <c r="CF2287" s="5">
        <v>42670</v>
      </c>
      <c r="CG2287" s="2"/>
      <c r="CH2287" s="2"/>
      <c r="CI2287" s="2">
        <v>1</v>
      </c>
      <c r="CJ2287" s="2">
        <v>1</v>
      </c>
      <c r="CK2287" s="2">
        <v>21</v>
      </c>
      <c r="CL2287" s="2" t="s">
        <v>88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"FES1162509145"</f>
        <v>FES1162509145</v>
      </c>
      <c r="F2288" s="3">
        <v>42668</v>
      </c>
      <c r="G2288" s="2">
        <v>201704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137</v>
      </c>
      <c r="M2288" s="2" t="s">
        <v>138</v>
      </c>
      <c r="N2288" s="2" t="s">
        <v>420</v>
      </c>
      <c r="O2288" s="2" t="s">
        <v>96</v>
      </c>
      <c r="P2288" s="2" t="str">
        <f>"2170532287                    "</f>
        <v xml:space="preserve">2170532287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3.32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0.4</v>
      </c>
      <c r="BJ2288" s="2">
        <v>0.8</v>
      </c>
      <c r="BK2288" s="2">
        <v>1</v>
      </c>
      <c r="BL2288" s="2">
        <v>40.76</v>
      </c>
      <c r="BM2288" s="2">
        <v>5.71</v>
      </c>
      <c r="BN2288" s="2">
        <v>46.47</v>
      </c>
      <c r="BO2288" s="2">
        <v>46.47</v>
      </c>
      <c r="BP2288" s="2"/>
      <c r="BQ2288" s="2" t="s">
        <v>117</v>
      </c>
      <c r="BR2288" s="2" t="s">
        <v>83</v>
      </c>
      <c r="BS2288" s="3">
        <v>42669</v>
      </c>
      <c r="BT2288" s="4">
        <v>0.3756944444444445</v>
      </c>
      <c r="BU2288" s="2" t="s">
        <v>720</v>
      </c>
      <c r="BV2288" s="2" t="s">
        <v>85</v>
      </c>
      <c r="BW2288" s="2"/>
      <c r="BX2288" s="2"/>
      <c r="BY2288" s="2">
        <v>4153.84</v>
      </c>
      <c r="BZ2288" s="2"/>
      <c r="CA2288" s="2" t="s">
        <v>613</v>
      </c>
      <c r="CB2288" s="2"/>
      <c r="CC2288" s="2" t="s">
        <v>138</v>
      </c>
      <c r="CD2288" s="2">
        <v>3201</v>
      </c>
      <c r="CE2288" s="2" t="s">
        <v>108</v>
      </c>
      <c r="CF2288" s="5">
        <v>42669</v>
      </c>
      <c r="CG2288" s="2"/>
      <c r="CH2288" s="2"/>
      <c r="CI2288" s="2">
        <v>1</v>
      </c>
      <c r="CJ2288" s="2">
        <v>1</v>
      </c>
      <c r="CK2288" s="2">
        <v>21</v>
      </c>
      <c r="CL2288" s="2" t="s">
        <v>88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"FES1162509109"</f>
        <v>FES1162509109</v>
      </c>
      <c r="F2289" s="3">
        <v>42668</v>
      </c>
      <c r="G2289" s="2">
        <v>201704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148</v>
      </c>
      <c r="M2289" s="2" t="s">
        <v>149</v>
      </c>
      <c r="N2289" s="2" t="s">
        <v>1647</v>
      </c>
      <c r="O2289" s="2" t="s">
        <v>96</v>
      </c>
      <c r="P2289" s="2" t="str">
        <f>"2170532267                    "</f>
        <v xml:space="preserve">2170532267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3.32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</v>
      </c>
      <c r="BJ2289" s="2">
        <v>0.2</v>
      </c>
      <c r="BK2289" s="2">
        <v>1</v>
      </c>
      <c r="BL2289" s="2">
        <v>40.76</v>
      </c>
      <c r="BM2289" s="2">
        <v>5.71</v>
      </c>
      <c r="BN2289" s="2">
        <v>46.47</v>
      </c>
      <c r="BO2289" s="2">
        <v>46.47</v>
      </c>
      <c r="BP2289" s="2"/>
      <c r="BQ2289" s="2" t="s">
        <v>1648</v>
      </c>
      <c r="BR2289" s="2" t="s">
        <v>83</v>
      </c>
      <c r="BS2289" s="3">
        <v>42669</v>
      </c>
      <c r="BT2289" s="4">
        <v>0.4375</v>
      </c>
      <c r="BU2289" s="2" t="s">
        <v>238</v>
      </c>
      <c r="BV2289" s="2" t="s">
        <v>85</v>
      </c>
      <c r="BW2289" s="2"/>
      <c r="BX2289" s="2"/>
      <c r="BY2289" s="2">
        <v>1200</v>
      </c>
      <c r="BZ2289" s="2"/>
      <c r="CA2289" s="2"/>
      <c r="CB2289" s="2"/>
      <c r="CC2289" s="2" t="s">
        <v>149</v>
      </c>
      <c r="CD2289" s="2">
        <v>4001</v>
      </c>
      <c r="CE2289" s="2" t="s">
        <v>108</v>
      </c>
      <c r="CF2289" s="5">
        <v>42670</v>
      </c>
      <c r="CG2289" s="2"/>
      <c r="CH2289" s="2"/>
      <c r="CI2289" s="2">
        <v>1</v>
      </c>
      <c r="CJ2289" s="2">
        <v>1</v>
      </c>
      <c r="CK2289" s="2">
        <v>21</v>
      </c>
      <c r="CL2289" s="2" t="s">
        <v>88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"FES1162509009"</f>
        <v>FES1162509009</v>
      </c>
      <c r="F2290" s="3">
        <v>42668</v>
      </c>
      <c r="G2290" s="2">
        <v>201704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148</v>
      </c>
      <c r="M2290" s="2" t="s">
        <v>149</v>
      </c>
      <c r="N2290" s="2" t="s">
        <v>2277</v>
      </c>
      <c r="O2290" s="2" t="s">
        <v>96</v>
      </c>
      <c r="P2290" s="2" t="str">
        <f>"2170529468                    "</f>
        <v xml:space="preserve">2170529468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4.9800000000000004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3</v>
      </c>
      <c r="BJ2290" s="2">
        <v>1.7</v>
      </c>
      <c r="BK2290" s="2">
        <v>3</v>
      </c>
      <c r="BL2290" s="2">
        <v>61.14</v>
      </c>
      <c r="BM2290" s="2">
        <v>8.56</v>
      </c>
      <c r="BN2290" s="2">
        <v>69.7</v>
      </c>
      <c r="BO2290" s="2">
        <v>69.7</v>
      </c>
      <c r="BP2290" s="2"/>
      <c r="BQ2290" s="2" t="s">
        <v>2278</v>
      </c>
      <c r="BR2290" s="2" t="s">
        <v>83</v>
      </c>
      <c r="BS2290" s="3">
        <v>42669</v>
      </c>
      <c r="BT2290" s="4">
        <v>0.4375</v>
      </c>
      <c r="BU2290" s="2" t="s">
        <v>2279</v>
      </c>
      <c r="BV2290" s="2" t="s">
        <v>85</v>
      </c>
      <c r="BW2290" s="2"/>
      <c r="BX2290" s="2"/>
      <c r="BY2290" s="2">
        <v>8411.6299999999992</v>
      </c>
      <c r="BZ2290" s="2"/>
      <c r="CA2290" s="2"/>
      <c r="CB2290" s="2"/>
      <c r="CC2290" s="2" t="s">
        <v>149</v>
      </c>
      <c r="CD2290" s="2">
        <v>4001</v>
      </c>
      <c r="CE2290" s="2" t="s">
        <v>86</v>
      </c>
      <c r="CF2290" s="5">
        <v>42670</v>
      </c>
      <c r="CG2290" s="2"/>
      <c r="CH2290" s="2"/>
      <c r="CI2290" s="2">
        <v>1</v>
      </c>
      <c r="CJ2290" s="2">
        <v>1</v>
      </c>
      <c r="CK2290" s="2">
        <v>21</v>
      </c>
      <c r="CL2290" s="2" t="s">
        <v>88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"FES1162508090"</f>
        <v>FES1162508090</v>
      </c>
      <c r="F2291" s="3">
        <v>42668</v>
      </c>
      <c r="G2291" s="2">
        <v>201704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137</v>
      </c>
      <c r="M2291" s="2" t="s">
        <v>138</v>
      </c>
      <c r="N2291" s="2" t="s">
        <v>557</v>
      </c>
      <c r="O2291" s="2" t="s">
        <v>96</v>
      </c>
      <c r="P2291" s="2" t="str">
        <f>"2170531422                    "</f>
        <v xml:space="preserve">2170531422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15.76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9.3000000000000007</v>
      </c>
      <c r="BJ2291" s="2">
        <v>3.5</v>
      </c>
      <c r="BK2291" s="2">
        <v>9.5</v>
      </c>
      <c r="BL2291" s="2">
        <v>193.6</v>
      </c>
      <c r="BM2291" s="2">
        <v>27.1</v>
      </c>
      <c r="BN2291" s="2">
        <v>220.7</v>
      </c>
      <c r="BO2291" s="2">
        <v>220.7</v>
      </c>
      <c r="BP2291" s="2"/>
      <c r="BQ2291" s="2" t="s">
        <v>2280</v>
      </c>
      <c r="BR2291" s="2" t="s">
        <v>83</v>
      </c>
      <c r="BS2291" s="3">
        <v>42669</v>
      </c>
      <c r="BT2291" s="4">
        <v>0.3611111111111111</v>
      </c>
      <c r="BU2291" s="2" t="s">
        <v>558</v>
      </c>
      <c r="BV2291" s="2"/>
      <c r="BW2291" s="2"/>
      <c r="BX2291" s="2"/>
      <c r="BY2291" s="2">
        <v>17695.189999999999</v>
      </c>
      <c r="BZ2291" s="2"/>
      <c r="CA2291" s="2" t="s">
        <v>170</v>
      </c>
      <c r="CB2291" s="2"/>
      <c r="CC2291" s="2" t="s">
        <v>138</v>
      </c>
      <c r="CD2291" s="2">
        <v>3201</v>
      </c>
      <c r="CE2291" s="2" t="s">
        <v>86</v>
      </c>
      <c r="CF2291" s="5">
        <v>42669</v>
      </c>
      <c r="CG2291" s="2"/>
      <c r="CH2291" s="2"/>
      <c r="CI2291" s="2">
        <v>0</v>
      </c>
      <c r="CJ2291" s="2">
        <v>0</v>
      </c>
      <c r="CK2291" s="2">
        <v>21</v>
      </c>
      <c r="CL2291" s="2" t="s">
        <v>88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"FES1162508999"</f>
        <v>FES1162508999</v>
      </c>
      <c r="F2292" s="3">
        <v>42668</v>
      </c>
      <c r="G2292" s="2">
        <v>201704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93</v>
      </c>
      <c r="M2292" s="2" t="s">
        <v>94</v>
      </c>
      <c r="N2292" s="2" t="s">
        <v>536</v>
      </c>
      <c r="O2292" s="2" t="s">
        <v>96</v>
      </c>
      <c r="P2292" s="2" t="str">
        <f>"2170529008                    "</f>
        <v xml:space="preserve">2170529008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4.9800000000000004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2.9</v>
      </c>
      <c r="BJ2292" s="2">
        <v>1.5</v>
      </c>
      <c r="BK2292" s="2">
        <v>3</v>
      </c>
      <c r="BL2292" s="2">
        <v>61.14</v>
      </c>
      <c r="BM2292" s="2">
        <v>8.56</v>
      </c>
      <c r="BN2292" s="2">
        <v>69.7</v>
      </c>
      <c r="BO2292" s="2">
        <v>69.7</v>
      </c>
      <c r="BP2292" s="2"/>
      <c r="BQ2292" s="2" t="s">
        <v>537</v>
      </c>
      <c r="BR2292" s="2" t="s">
        <v>83</v>
      </c>
      <c r="BS2292" s="3">
        <v>42669</v>
      </c>
      <c r="BT2292" s="4">
        <v>0.4375</v>
      </c>
      <c r="BU2292" s="2" t="s">
        <v>538</v>
      </c>
      <c r="BV2292" s="2" t="s">
        <v>85</v>
      </c>
      <c r="BW2292" s="2"/>
      <c r="BX2292" s="2"/>
      <c r="BY2292" s="2">
        <v>7263.83</v>
      </c>
      <c r="BZ2292" s="2"/>
      <c r="CA2292" s="2"/>
      <c r="CB2292" s="2"/>
      <c r="CC2292" s="2" t="s">
        <v>94</v>
      </c>
      <c r="CD2292" s="2">
        <v>4300</v>
      </c>
      <c r="CE2292" s="2" t="s">
        <v>86</v>
      </c>
      <c r="CF2292" s="5">
        <v>42675</v>
      </c>
      <c r="CG2292" s="2"/>
      <c r="CH2292" s="2"/>
      <c r="CI2292" s="2">
        <v>1</v>
      </c>
      <c r="CJ2292" s="2">
        <v>1</v>
      </c>
      <c r="CK2292" s="2">
        <v>21</v>
      </c>
      <c r="CL2292" s="2" t="s">
        <v>88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"FES1162509038"</f>
        <v>FES1162509038</v>
      </c>
      <c r="F2293" s="3">
        <v>42668</v>
      </c>
      <c r="G2293" s="2">
        <v>201704</v>
      </c>
      <c r="H2293" s="2" t="s">
        <v>74</v>
      </c>
      <c r="I2293" s="2" t="s">
        <v>75</v>
      </c>
      <c r="J2293" s="2" t="s">
        <v>76</v>
      </c>
      <c r="K2293" s="2" t="s">
        <v>77</v>
      </c>
      <c r="L2293" s="2" t="s">
        <v>137</v>
      </c>
      <c r="M2293" s="2" t="s">
        <v>138</v>
      </c>
      <c r="N2293" s="2" t="s">
        <v>167</v>
      </c>
      <c r="O2293" s="2" t="s">
        <v>96</v>
      </c>
      <c r="P2293" s="2" t="str">
        <f>"2170530142                    "</f>
        <v xml:space="preserve">2170530142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4.9800000000000004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2.8</v>
      </c>
      <c r="BJ2293" s="2">
        <v>1.5</v>
      </c>
      <c r="BK2293" s="2">
        <v>3</v>
      </c>
      <c r="BL2293" s="2">
        <v>61.14</v>
      </c>
      <c r="BM2293" s="2">
        <v>8.56</v>
      </c>
      <c r="BN2293" s="2">
        <v>69.7</v>
      </c>
      <c r="BO2293" s="2">
        <v>69.7</v>
      </c>
      <c r="BP2293" s="2"/>
      <c r="BQ2293" s="2" t="s">
        <v>168</v>
      </c>
      <c r="BR2293" s="2" t="s">
        <v>83</v>
      </c>
      <c r="BS2293" s="3">
        <v>42669</v>
      </c>
      <c r="BT2293" s="4">
        <v>0.375</v>
      </c>
      <c r="BU2293" s="2" t="s">
        <v>559</v>
      </c>
      <c r="BV2293" s="2" t="s">
        <v>85</v>
      </c>
      <c r="BW2293" s="2"/>
      <c r="BX2293" s="2"/>
      <c r="BY2293" s="2">
        <v>7386.93</v>
      </c>
      <c r="BZ2293" s="2"/>
      <c r="CA2293" s="2" t="s">
        <v>170</v>
      </c>
      <c r="CB2293" s="2"/>
      <c r="CC2293" s="2" t="s">
        <v>138</v>
      </c>
      <c r="CD2293" s="2">
        <v>3201</v>
      </c>
      <c r="CE2293" s="2" t="s">
        <v>86</v>
      </c>
      <c r="CF2293" s="5">
        <v>42669</v>
      </c>
      <c r="CG2293" s="2"/>
      <c r="CH2293" s="2"/>
      <c r="CI2293" s="2">
        <v>1</v>
      </c>
      <c r="CJ2293" s="2">
        <v>1</v>
      </c>
      <c r="CK2293" s="2">
        <v>21</v>
      </c>
      <c r="CL2293" s="2" t="s">
        <v>88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"FES1162509050"</f>
        <v>FES1162509050</v>
      </c>
      <c r="F2294" s="3">
        <v>42668</v>
      </c>
      <c r="G2294" s="2">
        <v>201704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160</v>
      </c>
      <c r="M2294" s="2" t="s">
        <v>161</v>
      </c>
      <c r="N2294" s="2" t="s">
        <v>710</v>
      </c>
      <c r="O2294" s="2" t="s">
        <v>96</v>
      </c>
      <c r="P2294" s="2" t="str">
        <f>"2170530250                    "</f>
        <v xml:space="preserve">2170530250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3.32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2</v>
      </c>
      <c r="BJ2294" s="2">
        <v>1.1000000000000001</v>
      </c>
      <c r="BK2294" s="2">
        <v>2</v>
      </c>
      <c r="BL2294" s="2">
        <v>40.76</v>
      </c>
      <c r="BM2294" s="2">
        <v>5.71</v>
      </c>
      <c r="BN2294" s="2">
        <v>46.47</v>
      </c>
      <c r="BO2294" s="2">
        <v>46.47</v>
      </c>
      <c r="BP2294" s="2"/>
      <c r="BQ2294" s="2" t="s">
        <v>711</v>
      </c>
      <c r="BR2294" s="2" t="s">
        <v>83</v>
      </c>
      <c r="BS2294" s="3">
        <v>42669</v>
      </c>
      <c r="BT2294" s="4">
        <v>0.41666666666666669</v>
      </c>
      <c r="BU2294" s="2" t="s">
        <v>711</v>
      </c>
      <c r="BV2294" s="2" t="s">
        <v>85</v>
      </c>
      <c r="BW2294" s="2"/>
      <c r="BX2294" s="2"/>
      <c r="BY2294" s="2">
        <v>5320</v>
      </c>
      <c r="BZ2294" s="2"/>
      <c r="CA2294" s="2"/>
      <c r="CB2294" s="2"/>
      <c r="CC2294" s="2" t="s">
        <v>161</v>
      </c>
      <c r="CD2294" s="2">
        <v>7441</v>
      </c>
      <c r="CE2294" s="2" t="s">
        <v>86</v>
      </c>
      <c r="CF2294" s="5">
        <v>42670</v>
      </c>
      <c r="CG2294" s="2"/>
      <c r="CH2294" s="2"/>
      <c r="CI2294" s="2">
        <v>1</v>
      </c>
      <c r="CJ2294" s="2">
        <v>1</v>
      </c>
      <c r="CK2294" s="2">
        <v>21</v>
      </c>
      <c r="CL2294" s="2" t="s">
        <v>88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"FES1162509111"</f>
        <v>FES1162509111</v>
      </c>
      <c r="F2295" s="3">
        <v>42668</v>
      </c>
      <c r="G2295" s="2">
        <v>201704</v>
      </c>
      <c r="H2295" s="2" t="s">
        <v>74</v>
      </c>
      <c r="I2295" s="2" t="s">
        <v>75</v>
      </c>
      <c r="J2295" s="2" t="s">
        <v>76</v>
      </c>
      <c r="K2295" s="2" t="s">
        <v>77</v>
      </c>
      <c r="L2295" s="2" t="s">
        <v>171</v>
      </c>
      <c r="M2295" s="2" t="s">
        <v>172</v>
      </c>
      <c r="N2295" s="2" t="s">
        <v>2244</v>
      </c>
      <c r="O2295" s="2" t="s">
        <v>96</v>
      </c>
      <c r="P2295" s="2" t="str">
        <f>"2170532253                    "</f>
        <v xml:space="preserve">2170532253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6.63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3</v>
      </c>
      <c r="BJ2295" s="2">
        <v>3.6</v>
      </c>
      <c r="BK2295" s="2">
        <v>4</v>
      </c>
      <c r="BL2295" s="2">
        <v>81.510000000000005</v>
      </c>
      <c r="BM2295" s="2">
        <v>11.41</v>
      </c>
      <c r="BN2295" s="2">
        <v>92.92</v>
      </c>
      <c r="BO2295" s="2">
        <v>92.92</v>
      </c>
      <c r="BP2295" s="2"/>
      <c r="BQ2295" s="2" t="s">
        <v>2281</v>
      </c>
      <c r="BR2295" s="2" t="s">
        <v>83</v>
      </c>
      <c r="BS2295" s="3">
        <v>42669</v>
      </c>
      <c r="BT2295" s="4">
        <v>0.36805555555555558</v>
      </c>
      <c r="BU2295" s="2" t="s">
        <v>2274</v>
      </c>
      <c r="BV2295" s="2" t="s">
        <v>85</v>
      </c>
      <c r="BW2295" s="2"/>
      <c r="BX2295" s="2"/>
      <c r="BY2295" s="2">
        <v>17784</v>
      </c>
      <c r="BZ2295" s="2"/>
      <c r="CA2295" s="2" t="s">
        <v>129</v>
      </c>
      <c r="CB2295" s="2"/>
      <c r="CC2295" s="2" t="s">
        <v>172</v>
      </c>
      <c r="CD2295" s="2">
        <v>6220</v>
      </c>
      <c r="CE2295" s="2" t="s">
        <v>368</v>
      </c>
      <c r="CF2295" s="5">
        <v>42670</v>
      </c>
      <c r="CG2295" s="2"/>
      <c r="CH2295" s="2"/>
      <c r="CI2295" s="2">
        <v>1</v>
      </c>
      <c r="CJ2295" s="2">
        <v>1</v>
      </c>
      <c r="CK2295" s="2">
        <v>21</v>
      </c>
      <c r="CL2295" s="2" t="s">
        <v>88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"FES1162509059"</f>
        <v>FES1162509059</v>
      </c>
      <c r="F2296" s="3">
        <v>42668</v>
      </c>
      <c r="G2296" s="2">
        <v>201704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269</v>
      </c>
      <c r="M2296" s="2" t="s">
        <v>270</v>
      </c>
      <c r="N2296" s="2" t="s">
        <v>2282</v>
      </c>
      <c r="O2296" s="2" t="s">
        <v>96</v>
      </c>
      <c r="P2296" s="2" t="str">
        <f>"2170531154                    "</f>
        <v xml:space="preserve">2170531154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3.32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0.5</v>
      </c>
      <c r="BJ2296" s="2">
        <v>1.3</v>
      </c>
      <c r="BK2296" s="2">
        <v>1.5</v>
      </c>
      <c r="BL2296" s="2">
        <v>40.76</v>
      </c>
      <c r="BM2296" s="2">
        <v>5.71</v>
      </c>
      <c r="BN2296" s="2">
        <v>46.47</v>
      </c>
      <c r="BO2296" s="2">
        <v>46.47</v>
      </c>
      <c r="BP2296" s="2"/>
      <c r="BQ2296" s="2" t="s">
        <v>117</v>
      </c>
      <c r="BR2296" s="2" t="s">
        <v>83</v>
      </c>
      <c r="BS2296" s="3">
        <v>42669</v>
      </c>
      <c r="BT2296" s="4">
        <v>0.4375</v>
      </c>
      <c r="BU2296" s="2" t="s">
        <v>724</v>
      </c>
      <c r="BV2296" s="2" t="s">
        <v>85</v>
      </c>
      <c r="BW2296" s="2"/>
      <c r="BX2296" s="2"/>
      <c r="BY2296" s="2">
        <v>6462.82</v>
      </c>
      <c r="BZ2296" s="2"/>
      <c r="CA2296" s="2" t="s">
        <v>129</v>
      </c>
      <c r="CB2296" s="2"/>
      <c r="CC2296" s="2" t="s">
        <v>270</v>
      </c>
      <c r="CD2296" s="2">
        <v>3610</v>
      </c>
      <c r="CE2296" s="2" t="s">
        <v>108</v>
      </c>
      <c r="CF2296" s="5">
        <v>42670</v>
      </c>
      <c r="CG2296" s="2"/>
      <c r="CH2296" s="2"/>
      <c r="CI2296" s="2">
        <v>1</v>
      </c>
      <c r="CJ2296" s="2">
        <v>1</v>
      </c>
      <c r="CK2296" s="2">
        <v>21</v>
      </c>
      <c r="CL2296" s="2" t="s">
        <v>88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"FES1162509166"</f>
        <v>FES1162509166</v>
      </c>
      <c r="F2297" s="3">
        <v>42668</v>
      </c>
      <c r="G2297" s="2">
        <v>201704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160</v>
      </c>
      <c r="M2297" s="2" t="s">
        <v>161</v>
      </c>
      <c r="N2297" s="2" t="s">
        <v>1995</v>
      </c>
      <c r="O2297" s="2" t="s">
        <v>96</v>
      </c>
      <c r="P2297" s="2" t="str">
        <f>"2170532339                    "</f>
        <v xml:space="preserve">2170532339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3.32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0.2</v>
      </c>
      <c r="BJ2297" s="2">
        <v>1</v>
      </c>
      <c r="BK2297" s="2">
        <v>1</v>
      </c>
      <c r="BL2297" s="2">
        <v>40.76</v>
      </c>
      <c r="BM2297" s="2">
        <v>5.71</v>
      </c>
      <c r="BN2297" s="2">
        <v>46.47</v>
      </c>
      <c r="BO2297" s="2">
        <v>46.47</v>
      </c>
      <c r="BP2297" s="2"/>
      <c r="BQ2297" s="2" t="s">
        <v>1996</v>
      </c>
      <c r="BR2297" s="2" t="s">
        <v>83</v>
      </c>
      <c r="BS2297" s="3">
        <v>42669</v>
      </c>
      <c r="BT2297" s="4">
        <v>0.41666666666666669</v>
      </c>
      <c r="BU2297" s="2" t="s">
        <v>2283</v>
      </c>
      <c r="BV2297" s="2" t="s">
        <v>85</v>
      </c>
      <c r="BW2297" s="2"/>
      <c r="BX2297" s="2"/>
      <c r="BY2297" s="2">
        <v>4979.5200000000004</v>
      </c>
      <c r="BZ2297" s="2"/>
      <c r="CA2297" s="2"/>
      <c r="CB2297" s="2"/>
      <c r="CC2297" s="2" t="s">
        <v>161</v>
      </c>
      <c r="CD2297" s="2">
        <v>7460</v>
      </c>
      <c r="CE2297" s="2" t="s">
        <v>108</v>
      </c>
      <c r="CF2297" s="5">
        <v>42670</v>
      </c>
      <c r="CG2297" s="2"/>
      <c r="CH2297" s="2"/>
      <c r="CI2297" s="2">
        <v>1</v>
      </c>
      <c r="CJ2297" s="2">
        <v>1</v>
      </c>
      <c r="CK2297" s="2">
        <v>21</v>
      </c>
      <c r="CL2297" s="2" t="s">
        <v>88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"FES1162509174"</f>
        <v>FES1162509174</v>
      </c>
      <c r="F2298" s="3">
        <v>42668</v>
      </c>
      <c r="G2298" s="2">
        <v>201704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160</v>
      </c>
      <c r="M2298" s="2" t="s">
        <v>161</v>
      </c>
      <c r="N2298" s="2" t="s">
        <v>2284</v>
      </c>
      <c r="O2298" s="2" t="s">
        <v>96</v>
      </c>
      <c r="P2298" s="2" t="str">
        <f>"2170532356                    "</f>
        <v xml:space="preserve">2170532356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3.32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0.2</v>
      </c>
      <c r="BJ2298" s="2">
        <v>1</v>
      </c>
      <c r="BK2298" s="2">
        <v>1</v>
      </c>
      <c r="BL2298" s="2">
        <v>40.76</v>
      </c>
      <c r="BM2298" s="2">
        <v>5.71</v>
      </c>
      <c r="BN2298" s="2">
        <v>46.47</v>
      </c>
      <c r="BO2298" s="2">
        <v>46.47</v>
      </c>
      <c r="BP2298" s="2"/>
      <c r="BQ2298" s="2" t="s">
        <v>2285</v>
      </c>
      <c r="BR2298" s="2" t="s">
        <v>83</v>
      </c>
      <c r="BS2298" s="3">
        <v>42669</v>
      </c>
      <c r="BT2298" s="4">
        <v>0.35069444444444442</v>
      </c>
      <c r="BU2298" s="2" t="s">
        <v>2286</v>
      </c>
      <c r="BV2298" s="2" t="s">
        <v>85</v>
      </c>
      <c r="BW2298" s="2"/>
      <c r="BX2298" s="2"/>
      <c r="BY2298" s="2">
        <v>4991.22</v>
      </c>
      <c r="BZ2298" s="2"/>
      <c r="CA2298" s="2" t="s">
        <v>129</v>
      </c>
      <c r="CB2298" s="2"/>
      <c r="CC2298" s="2" t="s">
        <v>161</v>
      </c>
      <c r="CD2298" s="2">
        <v>7530</v>
      </c>
      <c r="CE2298" s="2" t="s">
        <v>108</v>
      </c>
      <c r="CF2298" s="5">
        <v>42670</v>
      </c>
      <c r="CG2298" s="2"/>
      <c r="CH2298" s="2"/>
      <c r="CI2298" s="2">
        <v>1</v>
      </c>
      <c r="CJ2298" s="2">
        <v>1</v>
      </c>
      <c r="CK2298" s="2">
        <v>21</v>
      </c>
      <c r="CL2298" s="2" t="s">
        <v>88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"FES1162509048"</f>
        <v>FES1162509048</v>
      </c>
      <c r="F2299" s="3">
        <v>42668</v>
      </c>
      <c r="G2299" s="2">
        <v>201704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269</v>
      </c>
      <c r="M2299" s="2" t="s">
        <v>270</v>
      </c>
      <c r="N2299" s="2" t="s">
        <v>565</v>
      </c>
      <c r="O2299" s="2" t="s">
        <v>96</v>
      </c>
      <c r="P2299" s="2" t="str">
        <f>"2170530199                    "</f>
        <v xml:space="preserve">2170530199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3.32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40.76</v>
      </c>
      <c r="BM2299" s="2">
        <v>5.71</v>
      </c>
      <c r="BN2299" s="2">
        <v>46.47</v>
      </c>
      <c r="BO2299" s="2">
        <v>46.47</v>
      </c>
      <c r="BP2299" s="2"/>
      <c r="BQ2299" s="2" t="s">
        <v>566</v>
      </c>
      <c r="BR2299" s="2" t="s">
        <v>83</v>
      </c>
      <c r="BS2299" s="3">
        <v>42669</v>
      </c>
      <c r="BT2299" s="4">
        <v>0.4201388888888889</v>
      </c>
      <c r="BU2299" s="2" t="s">
        <v>2021</v>
      </c>
      <c r="BV2299" s="2" t="s">
        <v>85</v>
      </c>
      <c r="BW2299" s="2"/>
      <c r="BX2299" s="2"/>
      <c r="BY2299" s="2">
        <v>1200</v>
      </c>
      <c r="BZ2299" s="2"/>
      <c r="CA2299" s="2" t="s">
        <v>129</v>
      </c>
      <c r="CB2299" s="2"/>
      <c r="CC2299" s="2" t="s">
        <v>270</v>
      </c>
      <c r="CD2299" s="2">
        <v>3620</v>
      </c>
      <c r="CE2299" s="2" t="s">
        <v>108</v>
      </c>
      <c r="CF2299" s="5">
        <v>42670</v>
      </c>
      <c r="CG2299" s="2"/>
      <c r="CH2299" s="2"/>
      <c r="CI2299" s="2">
        <v>1</v>
      </c>
      <c r="CJ2299" s="2">
        <v>1</v>
      </c>
      <c r="CK2299" s="2">
        <v>21</v>
      </c>
      <c r="CL2299" s="2" t="s">
        <v>88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"FES1162509150"</f>
        <v>FES1162509150</v>
      </c>
      <c r="F2300" s="3">
        <v>42668</v>
      </c>
      <c r="G2300" s="2">
        <v>201704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93</v>
      </c>
      <c r="M2300" s="2" t="s">
        <v>94</v>
      </c>
      <c r="N2300" s="2" t="s">
        <v>536</v>
      </c>
      <c r="O2300" s="2" t="s">
        <v>96</v>
      </c>
      <c r="P2300" s="2" t="str">
        <f>"2170532321                    "</f>
        <v xml:space="preserve">2170532321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3.32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1.1000000000000001</v>
      </c>
      <c r="BJ2300" s="2">
        <v>1.5</v>
      </c>
      <c r="BK2300" s="2">
        <v>1.5</v>
      </c>
      <c r="BL2300" s="2">
        <v>40.76</v>
      </c>
      <c r="BM2300" s="2">
        <v>5.71</v>
      </c>
      <c r="BN2300" s="2">
        <v>46.47</v>
      </c>
      <c r="BO2300" s="2">
        <v>46.47</v>
      </c>
      <c r="BP2300" s="2"/>
      <c r="BQ2300" s="2" t="s">
        <v>537</v>
      </c>
      <c r="BR2300" s="2" t="s">
        <v>83</v>
      </c>
      <c r="BS2300" s="3">
        <v>42669</v>
      </c>
      <c r="BT2300" s="4">
        <v>0.4375</v>
      </c>
      <c r="BU2300" s="2" t="s">
        <v>238</v>
      </c>
      <c r="BV2300" s="2" t="s">
        <v>85</v>
      </c>
      <c r="BW2300" s="2"/>
      <c r="BX2300" s="2"/>
      <c r="BY2300" s="2">
        <v>7653.17</v>
      </c>
      <c r="BZ2300" s="2"/>
      <c r="CA2300" s="2"/>
      <c r="CB2300" s="2"/>
      <c r="CC2300" s="2" t="s">
        <v>94</v>
      </c>
      <c r="CD2300" s="2">
        <v>4300</v>
      </c>
      <c r="CE2300" s="2" t="s">
        <v>108</v>
      </c>
      <c r="CF2300" s="5">
        <v>42670</v>
      </c>
      <c r="CG2300" s="2"/>
      <c r="CH2300" s="2"/>
      <c r="CI2300" s="2">
        <v>1</v>
      </c>
      <c r="CJ2300" s="2">
        <v>1</v>
      </c>
      <c r="CK2300" s="2">
        <v>21</v>
      </c>
      <c r="CL2300" s="2" t="s">
        <v>88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"FES1162508955"</f>
        <v>FES1162508955</v>
      </c>
      <c r="F2301" s="3">
        <v>42668</v>
      </c>
      <c r="G2301" s="2">
        <v>201704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137</v>
      </c>
      <c r="M2301" s="2" t="s">
        <v>138</v>
      </c>
      <c r="N2301" s="2" t="s">
        <v>2060</v>
      </c>
      <c r="O2301" s="2" t="s">
        <v>96</v>
      </c>
      <c r="P2301" s="2" t="str">
        <f>"2170532238                    "</f>
        <v xml:space="preserve">2170532238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3.32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0.8</v>
      </c>
      <c r="BJ2301" s="2">
        <v>1.7</v>
      </c>
      <c r="BK2301" s="2">
        <v>2</v>
      </c>
      <c r="BL2301" s="2">
        <v>40.76</v>
      </c>
      <c r="BM2301" s="2">
        <v>5.71</v>
      </c>
      <c r="BN2301" s="2">
        <v>46.47</v>
      </c>
      <c r="BO2301" s="2">
        <v>46.47</v>
      </c>
      <c r="BP2301" s="2"/>
      <c r="BQ2301" s="2" t="s">
        <v>2061</v>
      </c>
      <c r="BR2301" s="2" t="s">
        <v>83</v>
      </c>
      <c r="BS2301" s="3">
        <v>42669</v>
      </c>
      <c r="BT2301" s="4">
        <v>0.39583333333333331</v>
      </c>
      <c r="BU2301" s="2" t="s">
        <v>2287</v>
      </c>
      <c r="BV2301" s="2" t="s">
        <v>85</v>
      </c>
      <c r="BW2301" s="2"/>
      <c r="BX2301" s="2"/>
      <c r="BY2301" s="2">
        <v>8575.65</v>
      </c>
      <c r="BZ2301" s="2"/>
      <c r="CA2301" s="2" t="s">
        <v>170</v>
      </c>
      <c r="CB2301" s="2"/>
      <c r="CC2301" s="2" t="s">
        <v>138</v>
      </c>
      <c r="CD2301" s="2">
        <v>3201</v>
      </c>
      <c r="CE2301" s="2" t="s">
        <v>108</v>
      </c>
      <c r="CF2301" s="5">
        <v>42669</v>
      </c>
      <c r="CG2301" s="2"/>
      <c r="CH2301" s="2"/>
      <c r="CI2301" s="2">
        <v>1</v>
      </c>
      <c r="CJ2301" s="2">
        <v>1</v>
      </c>
      <c r="CK2301" s="2">
        <v>21</v>
      </c>
      <c r="CL2301" s="2" t="s">
        <v>88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"FES1162509058"</f>
        <v>FES1162509058</v>
      </c>
      <c r="F2302" s="3">
        <v>42668</v>
      </c>
      <c r="G2302" s="2">
        <v>201704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148</v>
      </c>
      <c r="M2302" s="2" t="s">
        <v>149</v>
      </c>
      <c r="N2302" s="2" t="s">
        <v>242</v>
      </c>
      <c r="O2302" s="2" t="s">
        <v>96</v>
      </c>
      <c r="P2302" s="2" t="str">
        <f>"2170531092                    "</f>
        <v xml:space="preserve">2170531092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3.32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1</v>
      </c>
      <c r="BJ2302" s="2">
        <v>0.2</v>
      </c>
      <c r="BK2302" s="2">
        <v>1</v>
      </c>
      <c r="BL2302" s="2">
        <v>40.76</v>
      </c>
      <c r="BM2302" s="2">
        <v>5.71</v>
      </c>
      <c r="BN2302" s="2">
        <v>46.47</v>
      </c>
      <c r="BO2302" s="2">
        <v>46.47</v>
      </c>
      <c r="BP2302" s="2"/>
      <c r="BQ2302" s="2" t="s">
        <v>91</v>
      </c>
      <c r="BR2302" s="2" t="s">
        <v>83</v>
      </c>
      <c r="BS2302" s="3">
        <v>42669</v>
      </c>
      <c r="BT2302" s="4">
        <v>0.4375</v>
      </c>
      <c r="BU2302" s="2" t="s">
        <v>2288</v>
      </c>
      <c r="BV2302" s="2"/>
      <c r="BW2302" s="2"/>
      <c r="BX2302" s="2"/>
      <c r="BY2302" s="2">
        <v>1200</v>
      </c>
      <c r="BZ2302" s="2"/>
      <c r="CA2302" s="2"/>
      <c r="CB2302" s="2"/>
      <c r="CC2302" s="2" t="s">
        <v>149</v>
      </c>
      <c r="CD2302" s="2">
        <v>4001</v>
      </c>
      <c r="CE2302" s="2" t="s">
        <v>108</v>
      </c>
      <c r="CF2302" s="5">
        <v>42670</v>
      </c>
      <c r="CG2302" s="2"/>
      <c r="CH2302" s="2"/>
      <c r="CI2302" s="2">
        <v>0</v>
      </c>
      <c r="CJ2302" s="2">
        <v>0</v>
      </c>
      <c r="CK2302" s="2">
        <v>21</v>
      </c>
      <c r="CL2302" s="2" t="s">
        <v>88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"FES1162509007"</f>
        <v>FES1162509007</v>
      </c>
      <c r="F2303" s="3">
        <v>42668</v>
      </c>
      <c r="G2303" s="2">
        <v>201704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1954</v>
      </c>
      <c r="M2303" s="2" t="s">
        <v>1955</v>
      </c>
      <c r="N2303" s="2" t="s">
        <v>1296</v>
      </c>
      <c r="O2303" s="2" t="s">
        <v>96</v>
      </c>
      <c r="P2303" s="2" t="str">
        <f>"2170529396                    "</f>
        <v xml:space="preserve">2170529396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6.43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78.97</v>
      </c>
      <c r="BM2303" s="2">
        <v>11.06</v>
      </c>
      <c r="BN2303" s="2">
        <v>90.03</v>
      </c>
      <c r="BO2303" s="2">
        <v>90.03</v>
      </c>
      <c r="BP2303" s="2"/>
      <c r="BQ2303" s="2" t="s">
        <v>117</v>
      </c>
      <c r="BR2303" s="2" t="s">
        <v>83</v>
      </c>
      <c r="BS2303" s="3">
        <v>42669</v>
      </c>
      <c r="BT2303" s="4">
        <v>0.45833333333333331</v>
      </c>
      <c r="BU2303" s="2" t="s">
        <v>2289</v>
      </c>
      <c r="BV2303" s="2" t="s">
        <v>85</v>
      </c>
      <c r="BW2303" s="2"/>
      <c r="BX2303" s="2"/>
      <c r="BY2303" s="2">
        <v>1200</v>
      </c>
      <c r="BZ2303" s="2"/>
      <c r="CA2303" s="2"/>
      <c r="CB2303" s="2"/>
      <c r="CC2303" s="2" t="s">
        <v>1955</v>
      </c>
      <c r="CD2303" s="2">
        <v>4240</v>
      </c>
      <c r="CE2303" s="2" t="s">
        <v>108</v>
      </c>
      <c r="CF2303" s="5">
        <v>42671</v>
      </c>
      <c r="CG2303" s="2"/>
      <c r="CH2303" s="2"/>
      <c r="CI2303" s="2">
        <v>1</v>
      </c>
      <c r="CJ2303" s="2">
        <v>1</v>
      </c>
      <c r="CK2303" s="2">
        <v>23</v>
      </c>
      <c r="CL2303" s="2" t="s">
        <v>88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"FES1162509200"</f>
        <v>FES1162509200</v>
      </c>
      <c r="F2304" s="3">
        <v>42668</v>
      </c>
      <c r="G2304" s="2">
        <v>201704</v>
      </c>
      <c r="H2304" s="2" t="s">
        <v>74</v>
      </c>
      <c r="I2304" s="2" t="s">
        <v>75</v>
      </c>
      <c r="J2304" s="2" t="s">
        <v>76</v>
      </c>
      <c r="K2304" s="2" t="s">
        <v>77</v>
      </c>
      <c r="L2304" s="2" t="s">
        <v>137</v>
      </c>
      <c r="M2304" s="2" t="s">
        <v>138</v>
      </c>
      <c r="N2304" s="2" t="s">
        <v>420</v>
      </c>
      <c r="O2304" s="2" t="s">
        <v>96</v>
      </c>
      <c r="P2304" s="2" t="str">
        <f>"2170532277                    "</f>
        <v xml:space="preserve">2170532277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3.32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1</v>
      </c>
      <c r="BI2304" s="2">
        <v>0.5</v>
      </c>
      <c r="BJ2304" s="2">
        <v>1.5</v>
      </c>
      <c r="BK2304" s="2">
        <v>1.5</v>
      </c>
      <c r="BL2304" s="2">
        <v>40.76</v>
      </c>
      <c r="BM2304" s="2">
        <v>5.71</v>
      </c>
      <c r="BN2304" s="2">
        <v>46.47</v>
      </c>
      <c r="BO2304" s="2">
        <v>46.47</v>
      </c>
      <c r="BP2304" s="2"/>
      <c r="BQ2304" s="2" t="s">
        <v>117</v>
      </c>
      <c r="BR2304" s="2" t="s">
        <v>83</v>
      </c>
      <c r="BS2304" s="3">
        <v>42669</v>
      </c>
      <c r="BT2304" s="4">
        <v>0.3756944444444445</v>
      </c>
      <c r="BU2304" s="2" t="s">
        <v>720</v>
      </c>
      <c r="BV2304" s="2" t="s">
        <v>85</v>
      </c>
      <c r="BW2304" s="2"/>
      <c r="BX2304" s="2"/>
      <c r="BY2304" s="2">
        <v>7629.96</v>
      </c>
      <c r="BZ2304" s="2"/>
      <c r="CA2304" s="2" t="s">
        <v>613</v>
      </c>
      <c r="CB2304" s="2"/>
      <c r="CC2304" s="2" t="s">
        <v>138</v>
      </c>
      <c r="CD2304" s="2">
        <v>3201</v>
      </c>
      <c r="CE2304" s="2" t="s">
        <v>108</v>
      </c>
      <c r="CF2304" s="5">
        <v>42670</v>
      </c>
      <c r="CG2304" s="2"/>
      <c r="CH2304" s="2"/>
      <c r="CI2304" s="2">
        <v>1</v>
      </c>
      <c r="CJ2304" s="2">
        <v>1</v>
      </c>
      <c r="CK2304" s="2">
        <v>21</v>
      </c>
      <c r="CL2304" s="2" t="s">
        <v>88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"FES1162509248"</f>
        <v>FES1162509248</v>
      </c>
      <c r="F2305" s="3">
        <v>42668</v>
      </c>
      <c r="G2305" s="2">
        <v>201704</v>
      </c>
      <c r="H2305" s="2" t="s">
        <v>74</v>
      </c>
      <c r="I2305" s="2" t="s">
        <v>75</v>
      </c>
      <c r="J2305" s="2" t="s">
        <v>76</v>
      </c>
      <c r="K2305" s="2" t="s">
        <v>77</v>
      </c>
      <c r="L2305" s="2" t="s">
        <v>93</v>
      </c>
      <c r="M2305" s="2" t="s">
        <v>94</v>
      </c>
      <c r="N2305" s="2" t="s">
        <v>536</v>
      </c>
      <c r="O2305" s="2" t="s">
        <v>96</v>
      </c>
      <c r="P2305" s="2" t="str">
        <f>"2170532459                    "</f>
        <v xml:space="preserve">2170532459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3.32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0.5</v>
      </c>
      <c r="BJ2305" s="2">
        <v>0.2</v>
      </c>
      <c r="BK2305" s="2">
        <v>0.5</v>
      </c>
      <c r="BL2305" s="2">
        <v>40.76</v>
      </c>
      <c r="BM2305" s="2">
        <v>5.71</v>
      </c>
      <c r="BN2305" s="2">
        <v>46.47</v>
      </c>
      <c r="BO2305" s="2">
        <v>46.47</v>
      </c>
      <c r="BP2305" s="2"/>
      <c r="BQ2305" s="2" t="s">
        <v>537</v>
      </c>
      <c r="BR2305" s="2" t="s">
        <v>83</v>
      </c>
      <c r="BS2305" s="3">
        <v>42669</v>
      </c>
      <c r="BT2305" s="4">
        <v>0.4375</v>
      </c>
      <c r="BU2305" s="2" t="s">
        <v>238</v>
      </c>
      <c r="BV2305" s="2" t="s">
        <v>85</v>
      </c>
      <c r="BW2305" s="2"/>
      <c r="BX2305" s="2"/>
      <c r="BY2305" s="2">
        <v>1200</v>
      </c>
      <c r="BZ2305" s="2"/>
      <c r="CA2305" s="2"/>
      <c r="CB2305" s="2"/>
      <c r="CC2305" s="2" t="s">
        <v>94</v>
      </c>
      <c r="CD2305" s="2">
        <v>4300</v>
      </c>
      <c r="CE2305" s="2" t="s">
        <v>108</v>
      </c>
      <c r="CF2305" s="5">
        <v>42670</v>
      </c>
      <c r="CG2305" s="2"/>
      <c r="CH2305" s="2"/>
      <c r="CI2305" s="2">
        <v>1</v>
      </c>
      <c r="CJ2305" s="2">
        <v>1</v>
      </c>
      <c r="CK2305" s="2">
        <v>21</v>
      </c>
      <c r="CL2305" s="2" t="s">
        <v>88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"FES1162509211"</f>
        <v>FES1162509211</v>
      </c>
      <c r="F2306" s="3">
        <v>42668</v>
      </c>
      <c r="G2306" s="2">
        <v>201704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253</v>
      </c>
      <c r="M2306" s="2" t="s">
        <v>254</v>
      </c>
      <c r="N2306" s="2" t="s">
        <v>255</v>
      </c>
      <c r="O2306" s="2" t="s">
        <v>96</v>
      </c>
      <c r="P2306" s="2" t="str">
        <f>"2170532385                    "</f>
        <v xml:space="preserve">2170532385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6.43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0.5</v>
      </c>
      <c r="BJ2306" s="2">
        <v>0.2</v>
      </c>
      <c r="BK2306" s="2">
        <v>0.5</v>
      </c>
      <c r="BL2306" s="2">
        <v>78.97</v>
      </c>
      <c r="BM2306" s="2">
        <v>11.06</v>
      </c>
      <c r="BN2306" s="2">
        <v>90.03</v>
      </c>
      <c r="BO2306" s="2">
        <v>90.03</v>
      </c>
      <c r="BP2306" s="2"/>
      <c r="BQ2306" s="2" t="s">
        <v>117</v>
      </c>
      <c r="BR2306" s="2" t="s">
        <v>83</v>
      </c>
      <c r="BS2306" s="3">
        <v>42669</v>
      </c>
      <c r="BT2306" s="4">
        <v>0.55555555555555558</v>
      </c>
      <c r="BU2306" s="2" t="s">
        <v>2290</v>
      </c>
      <c r="BV2306" s="2" t="s">
        <v>85</v>
      </c>
      <c r="BW2306" s="2"/>
      <c r="BX2306" s="2"/>
      <c r="BY2306" s="2">
        <v>1200</v>
      </c>
      <c r="BZ2306" s="2"/>
      <c r="CA2306" s="2"/>
      <c r="CB2306" s="2"/>
      <c r="CC2306" s="2" t="s">
        <v>254</v>
      </c>
      <c r="CD2306" s="2">
        <v>3370</v>
      </c>
      <c r="CE2306" s="2" t="s">
        <v>108</v>
      </c>
      <c r="CF2306" s="5">
        <v>42671</v>
      </c>
      <c r="CG2306" s="2"/>
      <c r="CH2306" s="2"/>
      <c r="CI2306" s="2">
        <v>3</v>
      </c>
      <c r="CJ2306" s="2">
        <v>1</v>
      </c>
      <c r="CK2306" s="2">
        <v>23</v>
      </c>
      <c r="CL2306" s="2" t="s">
        <v>88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"FES1162509125"</f>
        <v>FES1162509125</v>
      </c>
      <c r="F2307" s="3">
        <v>42668</v>
      </c>
      <c r="G2307" s="2">
        <v>201704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124</v>
      </c>
      <c r="M2307" s="2" t="s">
        <v>125</v>
      </c>
      <c r="N2307" s="2" t="s">
        <v>583</v>
      </c>
      <c r="O2307" s="2" t="s">
        <v>96</v>
      </c>
      <c r="P2307" s="2" t="str">
        <f>"2170532288                    "</f>
        <v xml:space="preserve">2170532288 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3.32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1</v>
      </c>
      <c r="BJ2307" s="2">
        <v>0.4</v>
      </c>
      <c r="BK2307" s="2">
        <v>1</v>
      </c>
      <c r="BL2307" s="2">
        <v>40.76</v>
      </c>
      <c r="BM2307" s="2">
        <v>5.71</v>
      </c>
      <c r="BN2307" s="2">
        <v>46.47</v>
      </c>
      <c r="BO2307" s="2">
        <v>46.47</v>
      </c>
      <c r="BP2307" s="2"/>
      <c r="BQ2307" s="2" t="s">
        <v>117</v>
      </c>
      <c r="BR2307" s="2" t="s">
        <v>83</v>
      </c>
      <c r="BS2307" s="3">
        <v>42669</v>
      </c>
      <c r="BT2307" s="4">
        <v>0.41666666666666669</v>
      </c>
      <c r="BU2307" s="2" t="s">
        <v>2291</v>
      </c>
      <c r="BV2307" s="2" t="s">
        <v>85</v>
      </c>
      <c r="BW2307" s="2"/>
      <c r="BX2307" s="2"/>
      <c r="BY2307" s="2">
        <v>2100</v>
      </c>
      <c r="BZ2307" s="2"/>
      <c r="CA2307" s="2" t="s">
        <v>129</v>
      </c>
      <c r="CB2307" s="2"/>
      <c r="CC2307" s="2" t="s">
        <v>125</v>
      </c>
      <c r="CD2307" s="2">
        <v>7140</v>
      </c>
      <c r="CE2307" s="2" t="s">
        <v>368</v>
      </c>
      <c r="CF2307" s="5">
        <v>42670</v>
      </c>
      <c r="CG2307" s="2"/>
      <c r="CH2307" s="2"/>
      <c r="CI2307" s="2">
        <v>1</v>
      </c>
      <c r="CJ2307" s="2">
        <v>1</v>
      </c>
      <c r="CK2307" s="2">
        <v>21</v>
      </c>
      <c r="CL2307" s="2" t="s">
        <v>88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"FES1162509077"</f>
        <v>FES1162509077</v>
      </c>
      <c r="F2308" s="3">
        <v>42668</v>
      </c>
      <c r="G2308" s="2">
        <v>201704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160</v>
      </c>
      <c r="M2308" s="2" t="s">
        <v>161</v>
      </c>
      <c r="N2308" s="2" t="s">
        <v>179</v>
      </c>
      <c r="O2308" s="2" t="s">
        <v>96</v>
      </c>
      <c r="P2308" s="2" t="str">
        <f>"2170531651                    "</f>
        <v xml:space="preserve">2170531651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3.32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1.6</v>
      </c>
      <c r="BJ2308" s="2">
        <v>1</v>
      </c>
      <c r="BK2308" s="2">
        <v>2</v>
      </c>
      <c r="BL2308" s="2">
        <v>40.76</v>
      </c>
      <c r="BM2308" s="2">
        <v>5.71</v>
      </c>
      <c r="BN2308" s="2">
        <v>46.47</v>
      </c>
      <c r="BO2308" s="2">
        <v>46.47</v>
      </c>
      <c r="BP2308" s="2"/>
      <c r="BQ2308" s="2" t="s">
        <v>180</v>
      </c>
      <c r="BR2308" s="2" t="s">
        <v>83</v>
      </c>
      <c r="BS2308" s="3">
        <v>42669</v>
      </c>
      <c r="BT2308" s="4">
        <v>0.41666666666666669</v>
      </c>
      <c r="BU2308" s="2" t="s">
        <v>2292</v>
      </c>
      <c r="BV2308" s="2" t="s">
        <v>85</v>
      </c>
      <c r="BW2308" s="2"/>
      <c r="BX2308" s="2"/>
      <c r="BY2308" s="2">
        <v>4997.76</v>
      </c>
      <c r="BZ2308" s="2"/>
      <c r="CA2308" s="2"/>
      <c r="CB2308" s="2"/>
      <c r="CC2308" s="2" t="s">
        <v>161</v>
      </c>
      <c r="CD2308" s="2">
        <v>7405</v>
      </c>
      <c r="CE2308" s="2" t="s">
        <v>86</v>
      </c>
      <c r="CF2308" s="5">
        <v>42670</v>
      </c>
      <c r="CG2308" s="2"/>
      <c r="CH2308" s="2"/>
      <c r="CI2308" s="2">
        <v>1</v>
      </c>
      <c r="CJ2308" s="2">
        <v>1</v>
      </c>
      <c r="CK2308" s="2">
        <v>21</v>
      </c>
      <c r="CL2308" s="2" t="s">
        <v>88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"FES1162508968"</f>
        <v>FES1162508968</v>
      </c>
      <c r="F2309" s="3">
        <v>42668</v>
      </c>
      <c r="G2309" s="2">
        <v>201704</v>
      </c>
      <c r="H2309" s="2" t="s">
        <v>74</v>
      </c>
      <c r="I2309" s="2" t="s">
        <v>75</v>
      </c>
      <c r="J2309" s="2" t="s">
        <v>76</v>
      </c>
      <c r="K2309" s="2" t="s">
        <v>77</v>
      </c>
      <c r="L2309" s="2" t="s">
        <v>160</v>
      </c>
      <c r="M2309" s="2" t="s">
        <v>161</v>
      </c>
      <c r="N2309" s="2" t="s">
        <v>610</v>
      </c>
      <c r="O2309" s="2" t="s">
        <v>96</v>
      </c>
      <c r="P2309" s="2" t="str">
        <f>"2170532058                    "</f>
        <v xml:space="preserve">2170532058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3.32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1</v>
      </c>
      <c r="BJ2309" s="2">
        <v>0.2</v>
      </c>
      <c r="BK2309" s="2">
        <v>1</v>
      </c>
      <c r="BL2309" s="2">
        <v>40.76</v>
      </c>
      <c r="BM2309" s="2">
        <v>5.71</v>
      </c>
      <c r="BN2309" s="2">
        <v>46.47</v>
      </c>
      <c r="BO2309" s="2">
        <v>46.47</v>
      </c>
      <c r="BP2309" s="2"/>
      <c r="BQ2309" s="2" t="s">
        <v>168</v>
      </c>
      <c r="BR2309" s="2" t="s">
        <v>83</v>
      </c>
      <c r="BS2309" s="3">
        <v>42669</v>
      </c>
      <c r="BT2309" s="4">
        <v>0.41666666666666669</v>
      </c>
      <c r="BU2309" s="2" t="s">
        <v>1253</v>
      </c>
      <c r="BV2309" s="2" t="s">
        <v>85</v>
      </c>
      <c r="BW2309" s="2"/>
      <c r="BX2309" s="2"/>
      <c r="BY2309" s="2">
        <v>1200</v>
      </c>
      <c r="BZ2309" s="2"/>
      <c r="CA2309" s="2"/>
      <c r="CB2309" s="2"/>
      <c r="CC2309" s="2" t="s">
        <v>161</v>
      </c>
      <c r="CD2309" s="2">
        <v>7441</v>
      </c>
      <c r="CE2309" s="2" t="s">
        <v>108</v>
      </c>
      <c r="CF2309" s="5">
        <v>42670</v>
      </c>
      <c r="CG2309" s="2"/>
      <c r="CH2309" s="2"/>
      <c r="CI2309" s="2">
        <v>1</v>
      </c>
      <c r="CJ2309" s="2">
        <v>1</v>
      </c>
      <c r="CK2309" s="2">
        <v>21</v>
      </c>
      <c r="CL2309" s="2" t="s">
        <v>88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"FES1162509081"</f>
        <v>FES1162509081</v>
      </c>
      <c r="F2310" s="3">
        <v>42668</v>
      </c>
      <c r="G2310" s="2">
        <v>201704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218</v>
      </c>
      <c r="M2310" s="2" t="s">
        <v>219</v>
      </c>
      <c r="N2310" s="2" t="s">
        <v>220</v>
      </c>
      <c r="O2310" s="2" t="s">
        <v>96</v>
      </c>
      <c r="P2310" s="2" t="str">
        <f>"2170531681                    "</f>
        <v xml:space="preserve">2170531681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3.32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0.5</v>
      </c>
      <c r="BJ2310" s="2">
        <v>0.2</v>
      </c>
      <c r="BK2310" s="2">
        <v>0.5</v>
      </c>
      <c r="BL2310" s="2">
        <v>40.76</v>
      </c>
      <c r="BM2310" s="2">
        <v>5.71</v>
      </c>
      <c r="BN2310" s="2">
        <v>46.47</v>
      </c>
      <c r="BO2310" s="2">
        <v>46.47</v>
      </c>
      <c r="BP2310" s="2"/>
      <c r="BQ2310" s="2" t="s">
        <v>91</v>
      </c>
      <c r="BR2310" s="2" t="s">
        <v>83</v>
      </c>
      <c r="BS2310" s="3">
        <v>42669</v>
      </c>
      <c r="BT2310" s="4">
        <v>0.41666666666666669</v>
      </c>
      <c r="BU2310" s="2" t="s">
        <v>631</v>
      </c>
      <c r="BV2310" s="2" t="s">
        <v>85</v>
      </c>
      <c r="BW2310" s="2"/>
      <c r="BX2310" s="2"/>
      <c r="BY2310" s="2">
        <v>1200</v>
      </c>
      <c r="BZ2310" s="2"/>
      <c r="CA2310" s="2"/>
      <c r="CB2310" s="2"/>
      <c r="CC2310" s="2" t="s">
        <v>219</v>
      </c>
      <c r="CD2310" s="2">
        <v>7600</v>
      </c>
      <c r="CE2310" s="2" t="s">
        <v>108</v>
      </c>
      <c r="CF2310" s="5">
        <v>42670</v>
      </c>
      <c r="CG2310" s="2"/>
      <c r="CH2310" s="2"/>
      <c r="CI2310" s="2">
        <v>1</v>
      </c>
      <c r="CJ2310" s="2">
        <v>1</v>
      </c>
      <c r="CK2310" s="2">
        <v>21</v>
      </c>
      <c r="CL2310" s="2" t="s">
        <v>88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"FES1162509100"</f>
        <v>FES1162509100</v>
      </c>
      <c r="F2311" s="3">
        <v>42668</v>
      </c>
      <c r="G2311" s="2">
        <v>201704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98</v>
      </c>
      <c r="M2311" s="2" t="s">
        <v>99</v>
      </c>
      <c r="N2311" s="2" t="s">
        <v>350</v>
      </c>
      <c r="O2311" s="2" t="s">
        <v>96</v>
      </c>
      <c r="P2311" s="2" t="str">
        <f>"2170532257                    "</f>
        <v xml:space="preserve">2170532257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24.88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9</v>
      </c>
      <c r="BJ2311" s="2">
        <v>14.8</v>
      </c>
      <c r="BK2311" s="2">
        <v>15</v>
      </c>
      <c r="BL2311" s="2">
        <v>305.68</v>
      </c>
      <c r="BM2311" s="2">
        <v>42.8</v>
      </c>
      <c r="BN2311" s="2">
        <v>348.48</v>
      </c>
      <c r="BO2311" s="2">
        <v>348.48</v>
      </c>
      <c r="BP2311" s="2"/>
      <c r="BQ2311" s="2" t="s">
        <v>351</v>
      </c>
      <c r="BR2311" s="2" t="s">
        <v>83</v>
      </c>
      <c r="BS2311" s="3">
        <v>42669</v>
      </c>
      <c r="BT2311" s="4">
        <v>0.41319444444444442</v>
      </c>
      <c r="BU2311" s="2" t="s">
        <v>600</v>
      </c>
      <c r="BV2311" s="2" t="s">
        <v>85</v>
      </c>
      <c r="BW2311" s="2"/>
      <c r="BX2311" s="2"/>
      <c r="BY2311" s="2">
        <v>73935</v>
      </c>
      <c r="BZ2311" s="2"/>
      <c r="CA2311" s="2"/>
      <c r="CB2311" s="2"/>
      <c r="CC2311" s="2" t="s">
        <v>99</v>
      </c>
      <c r="CD2311" s="2">
        <v>6001</v>
      </c>
      <c r="CE2311" s="2" t="s">
        <v>368</v>
      </c>
      <c r="CF2311" s="5">
        <v>42670</v>
      </c>
      <c r="CG2311" s="2"/>
      <c r="CH2311" s="2"/>
      <c r="CI2311" s="2">
        <v>1</v>
      </c>
      <c r="CJ2311" s="2">
        <v>1</v>
      </c>
      <c r="CK2311" s="2">
        <v>21</v>
      </c>
      <c r="CL2311" s="2" t="s">
        <v>88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"FES1162509090"</f>
        <v>FES1162509090</v>
      </c>
      <c r="F2312" s="3">
        <v>42668</v>
      </c>
      <c r="G2312" s="2">
        <v>201704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218</v>
      </c>
      <c r="M2312" s="2" t="s">
        <v>219</v>
      </c>
      <c r="N2312" s="2" t="s">
        <v>220</v>
      </c>
      <c r="O2312" s="2" t="s">
        <v>96</v>
      </c>
      <c r="P2312" s="2" t="str">
        <f>"2170532045                    "</f>
        <v xml:space="preserve">2170532045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3.32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0.5</v>
      </c>
      <c r="BJ2312" s="2">
        <v>0.2</v>
      </c>
      <c r="BK2312" s="2">
        <v>0.5</v>
      </c>
      <c r="BL2312" s="2">
        <v>40.76</v>
      </c>
      <c r="BM2312" s="2">
        <v>5.71</v>
      </c>
      <c r="BN2312" s="2">
        <v>46.47</v>
      </c>
      <c r="BO2312" s="2">
        <v>46.47</v>
      </c>
      <c r="BP2312" s="2"/>
      <c r="BQ2312" s="2" t="s">
        <v>91</v>
      </c>
      <c r="BR2312" s="2" t="s">
        <v>83</v>
      </c>
      <c r="BS2312" s="3">
        <v>42669</v>
      </c>
      <c r="BT2312" s="4">
        <v>0.41666666666666669</v>
      </c>
      <c r="BU2312" s="2" t="s">
        <v>631</v>
      </c>
      <c r="BV2312" s="2" t="s">
        <v>85</v>
      </c>
      <c r="BW2312" s="2"/>
      <c r="BX2312" s="2"/>
      <c r="BY2312" s="2">
        <v>1200</v>
      </c>
      <c r="BZ2312" s="2"/>
      <c r="CA2312" s="2"/>
      <c r="CB2312" s="2"/>
      <c r="CC2312" s="2" t="s">
        <v>219</v>
      </c>
      <c r="CD2312" s="2">
        <v>7600</v>
      </c>
      <c r="CE2312" s="2" t="s">
        <v>108</v>
      </c>
      <c r="CF2312" s="5">
        <v>42670</v>
      </c>
      <c r="CG2312" s="2"/>
      <c r="CH2312" s="2"/>
      <c r="CI2312" s="2">
        <v>1</v>
      </c>
      <c r="CJ2312" s="2">
        <v>1</v>
      </c>
      <c r="CK2312" s="2">
        <v>21</v>
      </c>
      <c r="CL2312" s="2" t="s">
        <v>88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"FES1162509070"</f>
        <v>FES1162509070</v>
      </c>
      <c r="F2313" s="3">
        <v>42668</v>
      </c>
      <c r="G2313" s="2">
        <v>201704</v>
      </c>
      <c r="H2313" s="2" t="s">
        <v>74</v>
      </c>
      <c r="I2313" s="2" t="s">
        <v>75</v>
      </c>
      <c r="J2313" s="2" t="s">
        <v>76</v>
      </c>
      <c r="K2313" s="2" t="s">
        <v>77</v>
      </c>
      <c r="L2313" s="2" t="s">
        <v>160</v>
      </c>
      <c r="M2313" s="2" t="s">
        <v>161</v>
      </c>
      <c r="N2313" s="2" t="s">
        <v>179</v>
      </c>
      <c r="O2313" s="2" t="s">
        <v>96</v>
      </c>
      <c r="P2313" s="2" t="str">
        <f>"2170531420                    "</f>
        <v xml:space="preserve">2170531420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3.32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0.3</v>
      </c>
      <c r="BJ2313" s="2">
        <v>0.9</v>
      </c>
      <c r="BK2313" s="2">
        <v>1</v>
      </c>
      <c r="BL2313" s="2">
        <v>40.76</v>
      </c>
      <c r="BM2313" s="2">
        <v>5.71</v>
      </c>
      <c r="BN2313" s="2">
        <v>46.47</v>
      </c>
      <c r="BO2313" s="2">
        <v>46.47</v>
      </c>
      <c r="BP2313" s="2"/>
      <c r="BQ2313" s="2" t="s">
        <v>180</v>
      </c>
      <c r="BR2313" s="2" t="s">
        <v>83</v>
      </c>
      <c r="BS2313" s="3">
        <v>42669</v>
      </c>
      <c r="BT2313" s="4">
        <v>0.41666666666666669</v>
      </c>
      <c r="BU2313" s="2" t="s">
        <v>238</v>
      </c>
      <c r="BV2313" s="2" t="s">
        <v>85</v>
      </c>
      <c r="BW2313" s="2"/>
      <c r="BX2313" s="2"/>
      <c r="BY2313" s="2">
        <v>4590.9799999999996</v>
      </c>
      <c r="BZ2313" s="2"/>
      <c r="CA2313" s="2"/>
      <c r="CB2313" s="2"/>
      <c r="CC2313" s="2" t="s">
        <v>161</v>
      </c>
      <c r="CD2313" s="2">
        <v>7405</v>
      </c>
      <c r="CE2313" s="2" t="s">
        <v>108</v>
      </c>
      <c r="CF2313" s="5">
        <v>42670</v>
      </c>
      <c r="CG2313" s="2"/>
      <c r="CH2313" s="2"/>
      <c r="CI2313" s="2">
        <v>1</v>
      </c>
      <c r="CJ2313" s="2">
        <v>1</v>
      </c>
      <c r="CK2313" s="2">
        <v>21</v>
      </c>
      <c r="CL2313" s="2" t="s">
        <v>88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"FES1162508980"</f>
        <v>FES1162508980</v>
      </c>
      <c r="F2314" s="3">
        <v>42668</v>
      </c>
      <c r="G2314" s="2">
        <v>201704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153</v>
      </c>
      <c r="M2314" s="2" t="s">
        <v>153</v>
      </c>
      <c r="N2314" s="2" t="s">
        <v>200</v>
      </c>
      <c r="O2314" s="2" t="s">
        <v>96</v>
      </c>
      <c r="P2314" s="2" t="str">
        <f>"2170532250                    "</f>
        <v xml:space="preserve">2170532250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3.32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0.5</v>
      </c>
      <c r="BJ2314" s="2">
        <v>0.2</v>
      </c>
      <c r="BK2314" s="2">
        <v>0.5</v>
      </c>
      <c r="BL2314" s="2">
        <v>40.76</v>
      </c>
      <c r="BM2314" s="2">
        <v>5.71</v>
      </c>
      <c r="BN2314" s="2">
        <v>46.47</v>
      </c>
      <c r="BO2314" s="2">
        <v>46.47</v>
      </c>
      <c r="BP2314" s="2"/>
      <c r="BQ2314" s="2" t="s">
        <v>201</v>
      </c>
      <c r="BR2314" s="2" t="s">
        <v>83</v>
      </c>
      <c r="BS2314" s="3">
        <v>42669</v>
      </c>
      <c r="BT2314" s="4">
        <v>0.52777777777777779</v>
      </c>
      <c r="BU2314" s="2" t="s">
        <v>202</v>
      </c>
      <c r="BV2314" s="2" t="s">
        <v>85</v>
      </c>
      <c r="BW2314" s="2"/>
      <c r="BX2314" s="2"/>
      <c r="BY2314" s="2">
        <v>1200</v>
      </c>
      <c r="BZ2314" s="2"/>
      <c r="CA2314" s="2"/>
      <c r="CB2314" s="2"/>
      <c r="CC2314" s="2" t="s">
        <v>153</v>
      </c>
      <c r="CD2314" s="2">
        <v>7646</v>
      </c>
      <c r="CE2314" s="2" t="s">
        <v>108</v>
      </c>
      <c r="CF2314" s="5">
        <v>42670</v>
      </c>
      <c r="CG2314" s="2"/>
      <c r="CH2314" s="2"/>
      <c r="CI2314" s="2">
        <v>1</v>
      </c>
      <c r="CJ2314" s="2">
        <v>1</v>
      </c>
      <c r="CK2314" s="2">
        <v>21</v>
      </c>
      <c r="CL2314" s="2" t="s">
        <v>88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"FES1162508969"</f>
        <v>FES1162508969</v>
      </c>
      <c r="F2315" s="3">
        <v>42668</v>
      </c>
      <c r="G2315" s="2">
        <v>201704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153</v>
      </c>
      <c r="M2315" s="2" t="s">
        <v>153</v>
      </c>
      <c r="N2315" s="2" t="s">
        <v>154</v>
      </c>
      <c r="O2315" s="2" t="s">
        <v>96</v>
      </c>
      <c r="P2315" s="2" t="str">
        <f>"2170532070                    "</f>
        <v xml:space="preserve">2170532070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3.32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0.5</v>
      </c>
      <c r="BJ2315" s="2">
        <v>0.2</v>
      </c>
      <c r="BK2315" s="2">
        <v>0.5</v>
      </c>
      <c r="BL2315" s="2">
        <v>40.76</v>
      </c>
      <c r="BM2315" s="2">
        <v>5.71</v>
      </c>
      <c r="BN2315" s="2">
        <v>46.47</v>
      </c>
      <c r="BO2315" s="2">
        <v>46.47</v>
      </c>
      <c r="BP2315" s="2"/>
      <c r="BQ2315" s="2" t="s">
        <v>117</v>
      </c>
      <c r="BR2315" s="2" t="s">
        <v>83</v>
      </c>
      <c r="BS2315" s="3">
        <v>42669</v>
      </c>
      <c r="BT2315" s="4">
        <v>0.53125</v>
      </c>
      <c r="BU2315" s="2" t="s">
        <v>2293</v>
      </c>
      <c r="BV2315" s="2" t="s">
        <v>85</v>
      </c>
      <c r="BW2315" s="2"/>
      <c r="BX2315" s="2"/>
      <c r="BY2315" s="2">
        <v>1200</v>
      </c>
      <c r="BZ2315" s="2"/>
      <c r="CA2315" s="2"/>
      <c r="CB2315" s="2"/>
      <c r="CC2315" s="2" t="s">
        <v>153</v>
      </c>
      <c r="CD2315" s="2">
        <v>7646</v>
      </c>
      <c r="CE2315" s="2" t="s">
        <v>108</v>
      </c>
      <c r="CF2315" s="5">
        <v>42670</v>
      </c>
      <c r="CG2315" s="2"/>
      <c r="CH2315" s="2"/>
      <c r="CI2315" s="2">
        <v>1</v>
      </c>
      <c r="CJ2315" s="2">
        <v>1</v>
      </c>
      <c r="CK2315" s="2">
        <v>21</v>
      </c>
      <c r="CL2315" s="2" t="s">
        <v>88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"FES1162509253"</f>
        <v>FES1162509253</v>
      </c>
      <c r="F2316" s="3">
        <v>42668</v>
      </c>
      <c r="G2316" s="2">
        <v>201704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2034</v>
      </c>
      <c r="M2316" s="2" t="s">
        <v>2035</v>
      </c>
      <c r="N2316" s="2" t="s">
        <v>2294</v>
      </c>
      <c r="O2316" s="2" t="s">
        <v>96</v>
      </c>
      <c r="P2316" s="2" t="str">
        <f>"2170528942                    "</f>
        <v xml:space="preserve">2170528942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3.32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1</v>
      </c>
      <c r="BJ2316" s="2">
        <v>0.2</v>
      </c>
      <c r="BK2316" s="2">
        <v>1</v>
      </c>
      <c r="BL2316" s="2">
        <v>40.76</v>
      </c>
      <c r="BM2316" s="2">
        <v>5.71</v>
      </c>
      <c r="BN2316" s="2">
        <v>46.47</v>
      </c>
      <c r="BO2316" s="2">
        <v>46.47</v>
      </c>
      <c r="BP2316" s="2"/>
      <c r="BQ2316" s="2" t="s">
        <v>82</v>
      </c>
      <c r="BR2316" s="2" t="s">
        <v>83</v>
      </c>
      <c r="BS2316" s="3">
        <v>42669</v>
      </c>
      <c r="BT2316" s="4">
        <v>0.4861111111111111</v>
      </c>
      <c r="BU2316" s="2" t="s">
        <v>2295</v>
      </c>
      <c r="BV2316" s="2" t="s">
        <v>85</v>
      </c>
      <c r="BW2316" s="2"/>
      <c r="BX2316" s="2"/>
      <c r="BY2316" s="2">
        <v>1200</v>
      </c>
      <c r="BZ2316" s="2"/>
      <c r="CA2316" s="2" t="s">
        <v>129</v>
      </c>
      <c r="CB2316" s="2"/>
      <c r="CC2316" s="2" t="s">
        <v>2035</v>
      </c>
      <c r="CD2316" s="2">
        <v>3265</v>
      </c>
      <c r="CE2316" s="2" t="s">
        <v>108</v>
      </c>
      <c r="CF2316" s="5">
        <v>42670</v>
      </c>
      <c r="CG2316" s="2"/>
      <c r="CH2316" s="2"/>
      <c r="CI2316" s="2">
        <v>1</v>
      </c>
      <c r="CJ2316" s="2">
        <v>1</v>
      </c>
      <c r="CK2316" s="2">
        <v>21</v>
      </c>
      <c r="CL2316" s="2" t="s">
        <v>88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"FES1162509261"</f>
        <v>FES1162509261</v>
      </c>
      <c r="F2317" s="3">
        <v>42668</v>
      </c>
      <c r="G2317" s="2">
        <v>201704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148</v>
      </c>
      <c r="M2317" s="2" t="s">
        <v>149</v>
      </c>
      <c r="N2317" s="2" t="s">
        <v>473</v>
      </c>
      <c r="O2317" s="2" t="s">
        <v>96</v>
      </c>
      <c r="P2317" s="2" t="str">
        <f>"2170532465                    "</f>
        <v xml:space="preserve">2170532465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3.32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1</v>
      </c>
      <c r="BJ2317" s="2">
        <v>0.2</v>
      </c>
      <c r="BK2317" s="2">
        <v>1</v>
      </c>
      <c r="BL2317" s="2">
        <v>40.76</v>
      </c>
      <c r="BM2317" s="2">
        <v>5.71</v>
      </c>
      <c r="BN2317" s="2">
        <v>46.47</v>
      </c>
      <c r="BO2317" s="2">
        <v>46.47</v>
      </c>
      <c r="BP2317" s="2"/>
      <c r="BQ2317" s="2" t="s">
        <v>117</v>
      </c>
      <c r="BR2317" s="2" t="s">
        <v>83</v>
      </c>
      <c r="BS2317" s="3">
        <v>42669</v>
      </c>
      <c r="BT2317" s="4">
        <v>0.4375</v>
      </c>
      <c r="BU2317" s="2" t="s">
        <v>367</v>
      </c>
      <c r="BV2317" s="2" t="s">
        <v>85</v>
      </c>
      <c r="BW2317" s="2"/>
      <c r="BX2317" s="2"/>
      <c r="BY2317" s="2">
        <v>1200</v>
      </c>
      <c r="BZ2317" s="2"/>
      <c r="CA2317" s="2"/>
      <c r="CB2317" s="2"/>
      <c r="CC2317" s="2" t="s">
        <v>149</v>
      </c>
      <c r="CD2317" s="2">
        <v>4052</v>
      </c>
      <c r="CE2317" s="2" t="s">
        <v>108</v>
      </c>
      <c r="CF2317" s="5">
        <v>42670</v>
      </c>
      <c r="CG2317" s="2"/>
      <c r="CH2317" s="2"/>
      <c r="CI2317" s="2">
        <v>1</v>
      </c>
      <c r="CJ2317" s="2">
        <v>1</v>
      </c>
      <c r="CK2317" s="2">
        <v>21</v>
      </c>
      <c r="CL2317" s="2" t="s">
        <v>88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"FES1162509026"</f>
        <v>FES1162509026</v>
      </c>
      <c r="F2318" s="3">
        <v>42668</v>
      </c>
      <c r="G2318" s="2">
        <v>201704</v>
      </c>
      <c r="H2318" s="2" t="s">
        <v>74</v>
      </c>
      <c r="I2318" s="2" t="s">
        <v>75</v>
      </c>
      <c r="J2318" s="2" t="s">
        <v>76</v>
      </c>
      <c r="K2318" s="2" t="s">
        <v>77</v>
      </c>
      <c r="L2318" s="2" t="s">
        <v>160</v>
      </c>
      <c r="M2318" s="2" t="s">
        <v>161</v>
      </c>
      <c r="N2318" s="2" t="s">
        <v>2296</v>
      </c>
      <c r="O2318" s="2" t="s">
        <v>96</v>
      </c>
      <c r="P2318" s="2" t="str">
        <f>"2170529945                    "</f>
        <v xml:space="preserve">2170529945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14.1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4.8</v>
      </c>
      <c r="BJ2318" s="2">
        <v>8.4</v>
      </c>
      <c r="BK2318" s="2">
        <v>8.5</v>
      </c>
      <c r="BL2318" s="2">
        <v>173.22</v>
      </c>
      <c r="BM2318" s="2">
        <v>24.25</v>
      </c>
      <c r="BN2318" s="2">
        <v>197.47</v>
      </c>
      <c r="BO2318" s="2">
        <v>197.47</v>
      </c>
      <c r="BP2318" s="2"/>
      <c r="BQ2318" s="2" t="s">
        <v>2297</v>
      </c>
      <c r="BR2318" s="2" t="s">
        <v>83</v>
      </c>
      <c r="BS2318" s="3">
        <v>42669</v>
      </c>
      <c r="BT2318" s="4">
        <v>0.41666666666666669</v>
      </c>
      <c r="BU2318" s="2" t="s">
        <v>2298</v>
      </c>
      <c r="BV2318" s="2"/>
      <c r="BW2318" s="2"/>
      <c r="BX2318" s="2"/>
      <c r="BY2318" s="2">
        <v>41822.28</v>
      </c>
      <c r="BZ2318" s="2"/>
      <c r="CA2318" s="2" t="s">
        <v>129</v>
      </c>
      <c r="CB2318" s="2"/>
      <c r="CC2318" s="2" t="s">
        <v>161</v>
      </c>
      <c r="CD2318" s="2">
        <v>8000</v>
      </c>
      <c r="CE2318" s="2" t="s">
        <v>86</v>
      </c>
      <c r="CF2318" s="5">
        <v>42670</v>
      </c>
      <c r="CG2318" s="2"/>
      <c r="CH2318" s="2"/>
      <c r="CI2318" s="2">
        <v>0</v>
      </c>
      <c r="CJ2318" s="2">
        <v>0</v>
      </c>
      <c r="CK2318" s="2">
        <v>21</v>
      </c>
      <c r="CL2318" s="2" t="s">
        <v>88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"FES1162508967"</f>
        <v>FES1162508967</v>
      </c>
      <c r="F2319" s="3">
        <v>42668</v>
      </c>
      <c r="G2319" s="2">
        <v>201704</v>
      </c>
      <c r="H2319" s="2" t="s">
        <v>74</v>
      </c>
      <c r="I2319" s="2" t="s">
        <v>75</v>
      </c>
      <c r="J2319" s="2" t="s">
        <v>76</v>
      </c>
      <c r="K2319" s="2" t="s">
        <v>77</v>
      </c>
      <c r="L2319" s="2" t="s">
        <v>218</v>
      </c>
      <c r="M2319" s="2" t="s">
        <v>219</v>
      </c>
      <c r="N2319" s="2" t="s">
        <v>220</v>
      </c>
      <c r="O2319" s="2" t="s">
        <v>96</v>
      </c>
      <c r="P2319" s="2" t="str">
        <f>"2170532045                    "</f>
        <v xml:space="preserve">2170532045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4.1500000000000004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2.2999999999999998</v>
      </c>
      <c r="BJ2319" s="2">
        <v>1.6</v>
      </c>
      <c r="BK2319" s="2">
        <v>2.5</v>
      </c>
      <c r="BL2319" s="2">
        <v>50.95</v>
      </c>
      <c r="BM2319" s="2">
        <v>7.13</v>
      </c>
      <c r="BN2319" s="2">
        <v>58.08</v>
      </c>
      <c r="BO2319" s="2">
        <v>58.08</v>
      </c>
      <c r="BP2319" s="2"/>
      <c r="BQ2319" s="2" t="s">
        <v>91</v>
      </c>
      <c r="BR2319" s="2" t="s">
        <v>83</v>
      </c>
      <c r="BS2319" s="3">
        <v>42669</v>
      </c>
      <c r="BT2319" s="4">
        <v>0.41666666666666669</v>
      </c>
      <c r="BU2319" s="2" t="s">
        <v>631</v>
      </c>
      <c r="BV2319" s="2" t="s">
        <v>85</v>
      </c>
      <c r="BW2319" s="2"/>
      <c r="BX2319" s="2"/>
      <c r="BY2319" s="2">
        <v>8198.4</v>
      </c>
      <c r="BZ2319" s="2"/>
      <c r="CA2319" s="2"/>
      <c r="CB2319" s="2"/>
      <c r="CC2319" s="2" t="s">
        <v>219</v>
      </c>
      <c r="CD2319" s="2">
        <v>7600</v>
      </c>
      <c r="CE2319" s="2" t="s">
        <v>86</v>
      </c>
      <c r="CF2319" s="5">
        <v>42670</v>
      </c>
      <c r="CG2319" s="2"/>
      <c r="CH2319" s="2"/>
      <c r="CI2319" s="2">
        <v>1</v>
      </c>
      <c r="CJ2319" s="2">
        <v>1</v>
      </c>
      <c r="CK2319" s="2">
        <v>21</v>
      </c>
      <c r="CL2319" s="2" t="s">
        <v>88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"FES1162508973"</f>
        <v>FES1162508973</v>
      </c>
      <c r="F2320" s="3">
        <v>42668</v>
      </c>
      <c r="G2320" s="2">
        <v>201704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160</v>
      </c>
      <c r="M2320" s="2" t="s">
        <v>161</v>
      </c>
      <c r="N2320" s="2" t="s">
        <v>409</v>
      </c>
      <c r="O2320" s="2" t="s">
        <v>96</v>
      </c>
      <c r="P2320" s="2" t="str">
        <f>"2170532226                    "</f>
        <v xml:space="preserve">2170532226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3.32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0.5</v>
      </c>
      <c r="BJ2320" s="2">
        <v>0.2</v>
      </c>
      <c r="BK2320" s="2">
        <v>0.5</v>
      </c>
      <c r="BL2320" s="2">
        <v>40.76</v>
      </c>
      <c r="BM2320" s="2">
        <v>5.71</v>
      </c>
      <c r="BN2320" s="2">
        <v>46.47</v>
      </c>
      <c r="BO2320" s="2">
        <v>46.47</v>
      </c>
      <c r="BP2320" s="2"/>
      <c r="BQ2320" s="2" t="s">
        <v>410</v>
      </c>
      <c r="BR2320" s="2" t="s">
        <v>83</v>
      </c>
      <c r="BS2320" s="3">
        <v>42669</v>
      </c>
      <c r="BT2320" s="4">
        <v>0.375</v>
      </c>
      <c r="BU2320" s="2" t="s">
        <v>410</v>
      </c>
      <c r="BV2320" s="2" t="s">
        <v>85</v>
      </c>
      <c r="BW2320" s="2"/>
      <c r="BX2320" s="2"/>
      <c r="BY2320" s="2">
        <v>1200</v>
      </c>
      <c r="BZ2320" s="2"/>
      <c r="CA2320" s="2"/>
      <c r="CB2320" s="2"/>
      <c r="CC2320" s="2" t="s">
        <v>161</v>
      </c>
      <c r="CD2320" s="2">
        <v>7975</v>
      </c>
      <c r="CE2320" s="2" t="s">
        <v>108</v>
      </c>
      <c r="CF2320" s="5">
        <v>42670</v>
      </c>
      <c r="CG2320" s="2"/>
      <c r="CH2320" s="2"/>
      <c r="CI2320" s="2">
        <v>1</v>
      </c>
      <c r="CJ2320" s="2">
        <v>1</v>
      </c>
      <c r="CK2320" s="2">
        <v>21</v>
      </c>
      <c r="CL2320" s="2" t="s">
        <v>88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"FES1162509250"</f>
        <v>FES1162509250</v>
      </c>
      <c r="F2321" s="3">
        <v>42668</v>
      </c>
      <c r="G2321" s="2">
        <v>201704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98</v>
      </c>
      <c r="M2321" s="2" t="s">
        <v>99</v>
      </c>
      <c r="N2321" s="2" t="s">
        <v>109</v>
      </c>
      <c r="O2321" s="2" t="s">
        <v>96</v>
      </c>
      <c r="P2321" s="2" t="str">
        <f>"2170532461                    "</f>
        <v xml:space="preserve">2170532461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3.32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1</v>
      </c>
      <c r="BJ2321" s="2">
        <v>0.2</v>
      </c>
      <c r="BK2321" s="2">
        <v>1</v>
      </c>
      <c r="BL2321" s="2">
        <v>40.76</v>
      </c>
      <c r="BM2321" s="2">
        <v>5.71</v>
      </c>
      <c r="BN2321" s="2">
        <v>46.47</v>
      </c>
      <c r="BO2321" s="2">
        <v>46.47</v>
      </c>
      <c r="BP2321" s="2"/>
      <c r="BQ2321" s="2" t="s">
        <v>110</v>
      </c>
      <c r="BR2321" s="2" t="s">
        <v>83</v>
      </c>
      <c r="BS2321" s="3">
        <v>42669</v>
      </c>
      <c r="BT2321" s="4">
        <v>0.38194444444444442</v>
      </c>
      <c r="BU2321" s="2" t="s">
        <v>609</v>
      </c>
      <c r="BV2321" s="2" t="s">
        <v>85</v>
      </c>
      <c r="BW2321" s="2"/>
      <c r="BX2321" s="2"/>
      <c r="BY2321" s="2">
        <v>1200</v>
      </c>
      <c r="BZ2321" s="2"/>
      <c r="CA2321" s="2"/>
      <c r="CB2321" s="2"/>
      <c r="CC2321" s="2" t="s">
        <v>99</v>
      </c>
      <c r="CD2321" s="2">
        <v>6001</v>
      </c>
      <c r="CE2321" s="2" t="s">
        <v>108</v>
      </c>
      <c r="CF2321" s="5">
        <v>42670</v>
      </c>
      <c r="CG2321" s="2"/>
      <c r="CH2321" s="2"/>
      <c r="CI2321" s="2">
        <v>1</v>
      </c>
      <c r="CJ2321" s="2">
        <v>1</v>
      </c>
      <c r="CK2321" s="2">
        <v>21</v>
      </c>
      <c r="CL2321" s="2" t="s">
        <v>88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"FES1162509065"</f>
        <v>FES1162509065</v>
      </c>
      <c r="F2322" s="3">
        <v>42668</v>
      </c>
      <c r="G2322" s="2">
        <v>201704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898</v>
      </c>
      <c r="M2322" s="2" t="s">
        <v>899</v>
      </c>
      <c r="N2322" s="2" t="s">
        <v>2027</v>
      </c>
      <c r="O2322" s="2" t="s">
        <v>96</v>
      </c>
      <c r="P2322" s="2" t="str">
        <f>"2170531341                    "</f>
        <v xml:space="preserve">2170531341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3.32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1</v>
      </c>
      <c r="BJ2322" s="2">
        <v>0.2</v>
      </c>
      <c r="BK2322" s="2">
        <v>1</v>
      </c>
      <c r="BL2322" s="2">
        <v>40.76</v>
      </c>
      <c r="BM2322" s="2">
        <v>5.71</v>
      </c>
      <c r="BN2322" s="2">
        <v>46.47</v>
      </c>
      <c r="BO2322" s="2">
        <v>46.47</v>
      </c>
      <c r="BP2322" s="2"/>
      <c r="BQ2322" s="2" t="s">
        <v>2028</v>
      </c>
      <c r="BR2322" s="2" t="s">
        <v>83</v>
      </c>
      <c r="BS2322" s="3">
        <v>42669</v>
      </c>
      <c r="BT2322" s="4">
        <v>0.5625</v>
      </c>
      <c r="BU2322" s="2" t="s">
        <v>2299</v>
      </c>
      <c r="BV2322" s="2" t="s">
        <v>85</v>
      </c>
      <c r="BW2322" s="2"/>
      <c r="BX2322" s="2"/>
      <c r="BY2322" s="2">
        <v>1200</v>
      </c>
      <c r="BZ2322" s="2"/>
      <c r="CA2322" s="2"/>
      <c r="CB2322" s="2"/>
      <c r="CC2322" s="2" t="s">
        <v>899</v>
      </c>
      <c r="CD2322" s="2">
        <v>7655</v>
      </c>
      <c r="CE2322" s="2" t="s">
        <v>108</v>
      </c>
      <c r="CF2322" s="5">
        <v>42670</v>
      </c>
      <c r="CG2322" s="2"/>
      <c r="CH2322" s="2"/>
      <c r="CI2322" s="2">
        <v>1</v>
      </c>
      <c r="CJ2322" s="2">
        <v>1</v>
      </c>
      <c r="CK2322" s="2">
        <v>21</v>
      </c>
      <c r="CL2322" s="2" t="s">
        <v>88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"FES1162509152"</f>
        <v>FES1162509152</v>
      </c>
      <c r="F2323" s="3">
        <v>42668</v>
      </c>
      <c r="G2323" s="2">
        <v>201704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260</v>
      </c>
      <c r="M2323" s="2" t="s">
        <v>261</v>
      </c>
      <c r="N2323" s="2" t="s">
        <v>265</v>
      </c>
      <c r="O2323" s="2" t="s">
        <v>96</v>
      </c>
      <c r="P2323" s="2" t="str">
        <f>"2170532323                    "</f>
        <v xml:space="preserve">2170532323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3.32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0.4</v>
      </c>
      <c r="BJ2323" s="2">
        <v>0.6</v>
      </c>
      <c r="BK2323" s="2">
        <v>1</v>
      </c>
      <c r="BL2323" s="2">
        <v>40.76</v>
      </c>
      <c r="BM2323" s="2">
        <v>5.71</v>
      </c>
      <c r="BN2323" s="2">
        <v>46.47</v>
      </c>
      <c r="BO2323" s="2">
        <v>46.47</v>
      </c>
      <c r="BP2323" s="2"/>
      <c r="BQ2323" s="2" t="s">
        <v>91</v>
      </c>
      <c r="BR2323" s="2" t="s">
        <v>83</v>
      </c>
      <c r="BS2323" s="3">
        <v>42669</v>
      </c>
      <c r="BT2323" s="4">
        <v>0.45277777777777778</v>
      </c>
      <c r="BU2323" s="2" t="s">
        <v>2300</v>
      </c>
      <c r="BV2323" s="2" t="s">
        <v>85</v>
      </c>
      <c r="BW2323" s="2"/>
      <c r="BX2323" s="2"/>
      <c r="BY2323" s="2">
        <v>2937.31</v>
      </c>
      <c r="BZ2323" s="2"/>
      <c r="CA2323" s="2" t="s">
        <v>264</v>
      </c>
      <c r="CB2323" s="2"/>
      <c r="CC2323" s="2" t="s">
        <v>261</v>
      </c>
      <c r="CD2323" s="2">
        <v>6850</v>
      </c>
      <c r="CE2323" s="2" t="s">
        <v>108</v>
      </c>
      <c r="CF2323" s="5">
        <v>42669</v>
      </c>
      <c r="CG2323" s="2"/>
      <c r="CH2323" s="2"/>
      <c r="CI2323" s="2">
        <v>3</v>
      </c>
      <c r="CJ2323" s="2">
        <v>1</v>
      </c>
      <c r="CK2323" s="2">
        <v>21</v>
      </c>
      <c r="CL2323" s="2" t="s">
        <v>88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"FES1162509244"</f>
        <v>FES1162509244</v>
      </c>
      <c r="F2324" s="3">
        <v>42668</v>
      </c>
      <c r="G2324" s="2">
        <v>201704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98</v>
      </c>
      <c r="M2324" s="2" t="s">
        <v>99</v>
      </c>
      <c r="N2324" s="2" t="s">
        <v>369</v>
      </c>
      <c r="O2324" s="2" t="s">
        <v>96</v>
      </c>
      <c r="P2324" s="2" t="str">
        <f>"2170532451                    "</f>
        <v xml:space="preserve">2170532451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3.32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</v>
      </c>
      <c r="BJ2324" s="2">
        <v>0.2</v>
      </c>
      <c r="BK2324" s="2">
        <v>1</v>
      </c>
      <c r="BL2324" s="2">
        <v>40.76</v>
      </c>
      <c r="BM2324" s="2">
        <v>5.71</v>
      </c>
      <c r="BN2324" s="2">
        <v>46.47</v>
      </c>
      <c r="BO2324" s="2">
        <v>46.47</v>
      </c>
      <c r="BP2324" s="2"/>
      <c r="BQ2324" s="2" t="s">
        <v>370</v>
      </c>
      <c r="BR2324" s="2" t="s">
        <v>83</v>
      </c>
      <c r="BS2324" s="3">
        <v>42669</v>
      </c>
      <c r="BT2324" s="4">
        <v>0.38541666666666669</v>
      </c>
      <c r="BU2324" s="2" t="s">
        <v>2301</v>
      </c>
      <c r="BV2324" s="2" t="s">
        <v>85</v>
      </c>
      <c r="BW2324" s="2"/>
      <c r="BX2324" s="2"/>
      <c r="BY2324" s="2">
        <v>1200</v>
      </c>
      <c r="BZ2324" s="2"/>
      <c r="CA2324" s="2"/>
      <c r="CB2324" s="2"/>
      <c r="CC2324" s="2" t="s">
        <v>99</v>
      </c>
      <c r="CD2324" s="2">
        <v>6001</v>
      </c>
      <c r="CE2324" s="2" t="s">
        <v>108</v>
      </c>
      <c r="CF2324" s="5">
        <v>42670</v>
      </c>
      <c r="CG2324" s="2"/>
      <c r="CH2324" s="2"/>
      <c r="CI2324" s="2">
        <v>1</v>
      </c>
      <c r="CJ2324" s="2">
        <v>1</v>
      </c>
      <c r="CK2324" s="2">
        <v>21</v>
      </c>
      <c r="CL2324" s="2" t="s">
        <v>88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"FES1162508970"</f>
        <v>FES1162508970</v>
      </c>
      <c r="F2325" s="3">
        <v>42668</v>
      </c>
      <c r="G2325" s="2">
        <v>201704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160</v>
      </c>
      <c r="M2325" s="2" t="s">
        <v>161</v>
      </c>
      <c r="N2325" s="2" t="s">
        <v>610</v>
      </c>
      <c r="O2325" s="2" t="s">
        <v>96</v>
      </c>
      <c r="P2325" s="2" t="str">
        <f>"2170532183                    "</f>
        <v xml:space="preserve">2170532183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3.32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40.76</v>
      </c>
      <c r="BM2325" s="2">
        <v>5.71</v>
      </c>
      <c r="BN2325" s="2">
        <v>46.47</v>
      </c>
      <c r="BO2325" s="2">
        <v>46.47</v>
      </c>
      <c r="BP2325" s="2"/>
      <c r="BQ2325" s="2" t="s">
        <v>168</v>
      </c>
      <c r="BR2325" s="2" t="s">
        <v>83</v>
      </c>
      <c r="BS2325" s="3">
        <v>42669</v>
      </c>
      <c r="BT2325" s="4">
        <v>0.41666666666666669</v>
      </c>
      <c r="BU2325" s="2" t="s">
        <v>1253</v>
      </c>
      <c r="BV2325" s="2" t="s">
        <v>85</v>
      </c>
      <c r="BW2325" s="2"/>
      <c r="BX2325" s="2"/>
      <c r="BY2325" s="2">
        <v>1200</v>
      </c>
      <c r="BZ2325" s="2"/>
      <c r="CA2325" s="2"/>
      <c r="CB2325" s="2"/>
      <c r="CC2325" s="2" t="s">
        <v>161</v>
      </c>
      <c r="CD2325" s="2">
        <v>7441</v>
      </c>
      <c r="CE2325" s="2" t="s">
        <v>108</v>
      </c>
      <c r="CF2325" s="5">
        <v>42670</v>
      </c>
      <c r="CG2325" s="2"/>
      <c r="CH2325" s="2"/>
      <c r="CI2325" s="2">
        <v>1</v>
      </c>
      <c r="CJ2325" s="2">
        <v>1</v>
      </c>
      <c r="CK2325" s="2">
        <v>21</v>
      </c>
      <c r="CL2325" s="2" t="s">
        <v>88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"FES1162508981"</f>
        <v>FES1162508981</v>
      </c>
      <c r="F2326" s="3">
        <v>42668</v>
      </c>
      <c r="G2326" s="2">
        <v>201704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153</v>
      </c>
      <c r="M2326" s="2" t="s">
        <v>153</v>
      </c>
      <c r="N2326" s="2" t="s">
        <v>200</v>
      </c>
      <c r="O2326" s="2" t="s">
        <v>96</v>
      </c>
      <c r="P2326" s="2" t="str">
        <f>"2170519034                    "</f>
        <v xml:space="preserve">2170519034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3.32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1</v>
      </c>
      <c r="BJ2326" s="2">
        <v>0.2</v>
      </c>
      <c r="BK2326" s="2">
        <v>1</v>
      </c>
      <c r="BL2326" s="2">
        <v>40.76</v>
      </c>
      <c r="BM2326" s="2">
        <v>5.71</v>
      </c>
      <c r="BN2326" s="2">
        <v>46.47</v>
      </c>
      <c r="BO2326" s="2">
        <v>46.47</v>
      </c>
      <c r="BP2326" s="2"/>
      <c r="BQ2326" s="2" t="s">
        <v>201</v>
      </c>
      <c r="BR2326" s="2" t="s">
        <v>83</v>
      </c>
      <c r="BS2326" s="3">
        <v>42669</v>
      </c>
      <c r="BT2326" s="4">
        <v>0.52777777777777779</v>
      </c>
      <c r="BU2326" s="2" t="s">
        <v>202</v>
      </c>
      <c r="BV2326" s="2" t="s">
        <v>85</v>
      </c>
      <c r="BW2326" s="2"/>
      <c r="BX2326" s="2"/>
      <c r="BY2326" s="2">
        <v>1200</v>
      </c>
      <c r="BZ2326" s="2"/>
      <c r="CA2326" s="2"/>
      <c r="CB2326" s="2"/>
      <c r="CC2326" s="2" t="s">
        <v>153</v>
      </c>
      <c r="CD2326" s="2">
        <v>7646</v>
      </c>
      <c r="CE2326" s="2" t="s">
        <v>108</v>
      </c>
      <c r="CF2326" s="5">
        <v>42670</v>
      </c>
      <c r="CG2326" s="2"/>
      <c r="CH2326" s="2"/>
      <c r="CI2326" s="2">
        <v>1</v>
      </c>
      <c r="CJ2326" s="2">
        <v>1</v>
      </c>
      <c r="CK2326" s="2">
        <v>21</v>
      </c>
      <c r="CL2326" s="2" t="s">
        <v>88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"FES1162509119"</f>
        <v>FES1162509119</v>
      </c>
      <c r="F2327" s="3">
        <v>42668</v>
      </c>
      <c r="G2327" s="2">
        <v>201704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160</v>
      </c>
      <c r="M2327" s="2" t="s">
        <v>161</v>
      </c>
      <c r="N2327" s="2" t="s">
        <v>179</v>
      </c>
      <c r="O2327" s="2" t="s">
        <v>96</v>
      </c>
      <c r="P2327" s="2" t="str">
        <f>"2170532282                    "</f>
        <v xml:space="preserve">2170532282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3.32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0.3</v>
      </c>
      <c r="BJ2327" s="2">
        <v>1</v>
      </c>
      <c r="BK2327" s="2">
        <v>1</v>
      </c>
      <c r="BL2327" s="2">
        <v>40.76</v>
      </c>
      <c r="BM2327" s="2">
        <v>5.71</v>
      </c>
      <c r="BN2327" s="2">
        <v>46.47</v>
      </c>
      <c r="BO2327" s="2">
        <v>46.47</v>
      </c>
      <c r="BP2327" s="2"/>
      <c r="BQ2327" s="2" t="s">
        <v>180</v>
      </c>
      <c r="BR2327" s="2" t="s">
        <v>83</v>
      </c>
      <c r="BS2327" s="3">
        <v>42669</v>
      </c>
      <c r="BT2327" s="4">
        <v>0.41666666666666669</v>
      </c>
      <c r="BU2327" s="2" t="s">
        <v>2292</v>
      </c>
      <c r="BV2327" s="2" t="s">
        <v>85</v>
      </c>
      <c r="BW2327" s="2"/>
      <c r="BX2327" s="2"/>
      <c r="BY2327" s="2">
        <v>5052.54</v>
      </c>
      <c r="BZ2327" s="2"/>
      <c r="CA2327" s="2"/>
      <c r="CB2327" s="2"/>
      <c r="CC2327" s="2" t="s">
        <v>161</v>
      </c>
      <c r="CD2327" s="2">
        <v>7405</v>
      </c>
      <c r="CE2327" s="2" t="s">
        <v>108</v>
      </c>
      <c r="CF2327" s="5">
        <v>42670</v>
      </c>
      <c r="CG2327" s="2"/>
      <c r="CH2327" s="2"/>
      <c r="CI2327" s="2">
        <v>1</v>
      </c>
      <c r="CJ2327" s="2">
        <v>1</v>
      </c>
      <c r="CK2327" s="2">
        <v>21</v>
      </c>
      <c r="CL2327" s="2" t="s">
        <v>88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"FES1162509116"</f>
        <v>FES1162509116</v>
      </c>
      <c r="F2328" s="3">
        <v>42668</v>
      </c>
      <c r="G2328" s="2">
        <v>201704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160</v>
      </c>
      <c r="M2328" s="2" t="s">
        <v>161</v>
      </c>
      <c r="N2328" s="2" t="s">
        <v>1809</v>
      </c>
      <c r="O2328" s="2" t="s">
        <v>96</v>
      </c>
      <c r="P2328" s="2" t="str">
        <f>"2170532280                    "</f>
        <v xml:space="preserve">2170532280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3.32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0.3</v>
      </c>
      <c r="BJ2328" s="2">
        <v>1.1000000000000001</v>
      </c>
      <c r="BK2328" s="2">
        <v>1.5</v>
      </c>
      <c r="BL2328" s="2">
        <v>40.76</v>
      </c>
      <c r="BM2328" s="2">
        <v>5.71</v>
      </c>
      <c r="BN2328" s="2">
        <v>46.47</v>
      </c>
      <c r="BO2328" s="2">
        <v>46.47</v>
      </c>
      <c r="BP2328" s="2"/>
      <c r="BQ2328" s="2" t="s">
        <v>602</v>
      </c>
      <c r="BR2328" s="2" t="s">
        <v>83</v>
      </c>
      <c r="BS2328" s="3">
        <v>42669</v>
      </c>
      <c r="BT2328" s="4">
        <v>0.41666666666666669</v>
      </c>
      <c r="BU2328" s="2" t="s">
        <v>2302</v>
      </c>
      <c r="BV2328" s="2" t="s">
        <v>85</v>
      </c>
      <c r="BW2328" s="2"/>
      <c r="BX2328" s="2"/>
      <c r="BY2328" s="2">
        <v>5283.89</v>
      </c>
      <c r="BZ2328" s="2"/>
      <c r="CA2328" s="2"/>
      <c r="CB2328" s="2"/>
      <c r="CC2328" s="2" t="s">
        <v>161</v>
      </c>
      <c r="CD2328" s="2">
        <v>7405</v>
      </c>
      <c r="CE2328" s="2" t="s">
        <v>108</v>
      </c>
      <c r="CF2328" s="5">
        <v>42670</v>
      </c>
      <c r="CG2328" s="2"/>
      <c r="CH2328" s="2"/>
      <c r="CI2328" s="2">
        <v>1</v>
      </c>
      <c r="CJ2328" s="2">
        <v>1</v>
      </c>
      <c r="CK2328" s="2">
        <v>21</v>
      </c>
      <c r="CL2328" s="2" t="s">
        <v>88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"FES1162508352"</f>
        <v>FES1162508352</v>
      </c>
      <c r="F2329" s="3">
        <v>42668</v>
      </c>
      <c r="G2329" s="2">
        <v>201704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269</v>
      </c>
      <c r="M2329" s="2" t="s">
        <v>270</v>
      </c>
      <c r="N2329" s="2" t="s">
        <v>1543</v>
      </c>
      <c r="O2329" s="2" t="s">
        <v>96</v>
      </c>
      <c r="P2329" s="2" t="str">
        <f>"2170531608                    "</f>
        <v xml:space="preserve">2170531608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8.2899999999999991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3.5</v>
      </c>
      <c r="BJ2329" s="2">
        <v>4.9000000000000004</v>
      </c>
      <c r="BK2329" s="2">
        <v>5</v>
      </c>
      <c r="BL2329" s="2">
        <v>101.89</v>
      </c>
      <c r="BM2329" s="2">
        <v>14.26</v>
      </c>
      <c r="BN2329" s="2">
        <v>116.15</v>
      </c>
      <c r="BO2329" s="2">
        <v>116.15</v>
      </c>
      <c r="BP2329" s="2"/>
      <c r="BQ2329" s="2" t="s">
        <v>117</v>
      </c>
      <c r="BR2329" s="2" t="s">
        <v>83</v>
      </c>
      <c r="BS2329" s="3">
        <v>42669</v>
      </c>
      <c r="BT2329" s="4">
        <v>0.4375</v>
      </c>
      <c r="BU2329" s="2" t="s">
        <v>2303</v>
      </c>
      <c r="BV2329" s="2" t="s">
        <v>85</v>
      </c>
      <c r="BW2329" s="2"/>
      <c r="BX2329" s="2"/>
      <c r="BY2329" s="2">
        <v>24509.63</v>
      </c>
      <c r="BZ2329" s="2"/>
      <c r="CA2329" s="2" t="s">
        <v>129</v>
      </c>
      <c r="CB2329" s="2"/>
      <c r="CC2329" s="2" t="s">
        <v>270</v>
      </c>
      <c r="CD2329" s="2">
        <v>3610</v>
      </c>
      <c r="CE2329" s="2" t="s">
        <v>86</v>
      </c>
      <c r="CF2329" s="5">
        <v>42670</v>
      </c>
      <c r="CG2329" s="2"/>
      <c r="CH2329" s="2"/>
      <c r="CI2329" s="2">
        <v>1</v>
      </c>
      <c r="CJ2329" s="2">
        <v>1</v>
      </c>
      <c r="CK2329" s="2">
        <v>21</v>
      </c>
      <c r="CL2329" s="2" t="s">
        <v>88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"FES1162508988"</f>
        <v>FES1162508988</v>
      </c>
      <c r="F2330" s="3">
        <v>42668</v>
      </c>
      <c r="G2330" s="2">
        <v>201704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160</v>
      </c>
      <c r="M2330" s="2" t="s">
        <v>161</v>
      </c>
      <c r="N2330" s="2" t="s">
        <v>184</v>
      </c>
      <c r="O2330" s="2" t="s">
        <v>96</v>
      </c>
      <c r="P2330" s="2" t="str">
        <f>"2170527759                    "</f>
        <v xml:space="preserve">2170527759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3.32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40.76</v>
      </c>
      <c r="BM2330" s="2">
        <v>5.71</v>
      </c>
      <c r="BN2330" s="2">
        <v>46.47</v>
      </c>
      <c r="BO2330" s="2">
        <v>46.47</v>
      </c>
      <c r="BP2330" s="2"/>
      <c r="BQ2330" s="2" t="s">
        <v>117</v>
      </c>
      <c r="BR2330" s="2" t="s">
        <v>83</v>
      </c>
      <c r="BS2330" s="3">
        <v>42669</v>
      </c>
      <c r="BT2330" s="4">
        <v>0.41666666666666669</v>
      </c>
      <c r="BU2330" s="2" t="s">
        <v>185</v>
      </c>
      <c r="BV2330" s="2" t="s">
        <v>85</v>
      </c>
      <c r="BW2330" s="2"/>
      <c r="BX2330" s="2"/>
      <c r="BY2330" s="2">
        <v>1200</v>
      </c>
      <c r="BZ2330" s="2"/>
      <c r="CA2330" s="2"/>
      <c r="CB2330" s="2"/>
      <c r="CC2330" s="2" t="s">
        <v>161</v>
      </c>
      <c r="CD2330" s="2">
        <v>7441</v>
      </c>
      <c r="CE2330" s="2" t="s">
        <v>108</v>
      </c>
      <c r="CF2330" s="5">
        <v>42670</v>
      </c>
      <c r="CG2330" s="2"/>
      <c r="CH2330" s="2"/>
      <c r="CI2330" s="2">
        <v>1</v>
      </c>
      <c r="CJ2330" s="2">
        <v>1</v>
      </c>
      <c r="CK2330" s="2">
        <v>21</v>
      </c>
      <c r="CL2330" s="2" t="s">
        <v>88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"FES1162509188"</f>
        <v>FES1162509188</v>
      </c>
      <c r="F2331" s="3">
        <v>42668</v>
      </c>
      <c r="G2331" s="2">
        <v>201704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148</v>
      </c>
      <c r="M2331" s="2" t="s">
        <v>149</v>
      </c>
      <c r="N2331" s="2" t="s">
        <v>473</v>
      </c>
      <c r="O2331" s="2" t="s">
        <v>96</v>
      </c>
      <c r="P2331" s="2" t="str">
        <f>"2170532379                    "</f>
        <v xml:space="preserve">2170532379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3.32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0.2</v>
      </c>
      <c r="BK2331" s="2">
        <v>1</v>
      </c>
      <c r="BL2331" s="2">
        <v>40.76</v>
      </c>
      <c r="BM2331" s="2">
        <v>5.71</v>
      </c>
      <c r="BN2331" s="2">
        <v>46.47</v>
      </c>
      <c r="BO2331" s="2">
        <v>46.47</v>
      </c>
      <c r="BP2331" s="2"/>
      <c r="BQ2331" s="2" t="s">
        <v>117</v>
      </c>
      <c r="BR2331" s="2" t="s">
        <v>83</v>
      </c>
      <c r="BS2331" s="3">
        <v>42669</v>
      </c>
      <c r="BT2331" s="4">
        <v>0.4375</v>
      </c>
      <c r="BU2331" s="2" t="s">
        <v>367</v>
      </c>
      <c r="BV2331" s="2" t="s">
        <v>85</v>
      </c>
      <c r="BW2331" s="2"/>
      <c r="BX2331" s="2"/>
      <c r="BY2331" s="2">
        <v>1200</v>
      </c>
      <c r="BZ2331" s="2"/>
      <c r="CA2331" s="2"/>
      <c r="CB2331" s="2"/>
      <c r="CC2331" s="2" t="s">
        <v>149</v>
      </c>
      <c r="CD2331" s="2">
        <v>4052</v>
      </c>
      <c r="CE2331" s="2" t="s">
        <v>108</v>
      </c>
      <c r="CF2331" s="5">
        <v>42670</v>
      </c>
      <c r="CG2331" s="2"/>
      <c r="CH2331" s="2"/>
      <c r="CI2331" s="2">
        <v>1</v>
      </c>
      <c r="CJ2331" s="2">
        <v>1</v>
      </c>
      <c r="CK2331" s="2">
        <v>21</v>
      </c>
      <c r="CL2331" s="2" t="s">
        <v>88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"FES1162509141"</f>
        <v>FES1162509141</v>
      </c>
      <c r="F2332" s="3">
        <v>42668</v>
      </c>
      <c r="G2332" s="2">
        <v>201704</v>
      </c>
      <c r="H2332" s="2" t="s">
        <v>74</v>
      </c>
      <c r="I2332" s="2" t="s">
        <v>75</v>
      </c>
      <c r="J2332" s="2" t="s">
        <v>76</v>
      </c>
      <c r="K2332" s="2" t="s">
        <v>77</v>
      </c>
      <c r="L2332" s="2" t="s">
        <v>156</v>
      </c>
      <c r="M2332" s="2" t="s">
        <v>157</v>
      </c>
      <c r="N2332" s="2" t="s">
        <v>507</v>
      </c>
      <c r="O2332" s="2" t="s">
        <v>96</v>
      </c>
      <c r="P2332" s="2" t="str">
        <f>"2170530237                    "</f>
        <v xml:space="preserve">2170530237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11.61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6.9</v>
      </c>
      <c r="BJ2332" s="2">
        <v>2.1</v>
      </c>
      <c r="BK2332" s="2">
        <v>7</v>
      </c>
      <c r="BL2332" s="2">
        <v>142.65</v>
      </c>
      <c r="BM2332" s="2">
        <v>19.97</v>
      </c>
      <c r="BN2332" s="2">
        <v>162.62</v>
      </c>
      <c r="BO2332" s="2">
        <v>162.62</v>
      </c>
      <c r="BP2332" s="2"/>
      <c r="BQ2332" s="2" t="s">
        <v>508</v>
      </c>
      <c r="BR2332" s="2" t="s">
        <v>83</v>
      </c>
      <c r="BS2332" s="3">
        <v>42669</v>
      </c>
      <c r="BT2332" s="4">
        <v>0.41666666666666669</v>
      </c>
      <c r="BU2332" s="2" t="s">
        <v>1754</v>
      </c>
      <c r="BV2332" s="2" t="s">
        <v>85</v>
      </c>
      <c r="BW2332" s="2"/>
      <c r="BX2332" s="2"/>
      <c r="BY2332" s="2">
        <v>10301.82</v>
      </c>
      <c r="BZ2332" s="2"/>
      <c r="CA2332" s="2" t="s">
        <v>129</v>
      </c>
      <c r="CB2332" s="2"/>
      <c r="CC2332" s="2" t="s">
        <v>157</v>
      </c>
      <c r="CD2332" s="2">
        <v>7130</v>
      </c>
      <c r="CE2332" s="2" t="s">
        <v>86</v>
      </c>
      <c r="CF2332" s="5">
        <v>42670</v>
      </c>
      <c r="CG2332" s="2"/>
      <c r="CH2332" s="2"/>
      <c r="CI2332" s="2">
        <v>1</v>
      </c>
      <c r="CJ2332" s="2">
        <v>1</v>
      </c>
      <c r="CK2332" s="2">
        <v>21</v>
      </c>
      <c r="CL2332" s="2" t="s">
        <v>88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"FES1162509256"</f>
        <v>FES1162509256</v>
      </c>
      <c r="F2333" s="3">
        <v>42668</v>
      </c>
      <c r="G2333" s="2">
        <v>201704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207</v>
      </c>
      <c r="M2333" s="2" t="s">
        <v>208</v>
      </c>
      <c r="N2333" s="2" t="s">
        <v>1551</v>
      </c>
      <c r="O2333" s="2" t="s">
        <v>96</v>
      </c>
      <c r="P2333" s="2" t="str">
        <f>"2170528287                    "</f>
        <v xml:space="preserve">2170528287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4.9800000000000004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3</v>
      </c>
      <c r="BJ2333" s="2">
        <v>2</v>
      </c>
      <c r="BK2333" s="2">
        <v>3</v>
      </c>
      <c r="BL2333" s="2">
        <v>61.14</v>
      </c>
      <c r="BM2333" s="2">
        <v>8.56</v>
      </c>
      <c r="BN2333" s="2">
        <v>69.7</v>
      </c>
      <c r="BO2333" s="2">
        <v>69.7</v>
      </c>
      <c r="BP2333" s="2"/>
      <c r="BQ2333" s="2" t="s">
        <v>117</v>
      </c>
      <c r="BR2333" s="2" t="s">
        <v>83</v>
      </c>
      <c r="BS2333" s="3">
        <v>42669</v>
      </c>
      <c r="BT2333" s="4">
        <v>0.4375</v>
      </c>
      <c r="BU2333" s="2" t="s">
        <v>2092</v>
      </c>
      <c r="BV2333" s="2" t="s">
        <v>85</v>
      </c>
      <c r="BW2333" s="2"/>
      <c r="BX2333" s="2"/>
      <c r="BY2333" s="2">
        <v>9900</v>
      </c>
      <c r="BZ2333" s="2"/>
      <c r="CA2333" s="2"/>
      <c r="CB2333" s="2"/>
      <c r="CC2333" s="2" t="s">
        <v>208</v>
      </c>
      <c r="CD2333" s="2">
        <v>4113</v>
      </c>
      <c r="CE2333" s="2" t="s">
        <v>86</v>
      </c>
      <c r="CF2333" s="5">
        <v>42670</v>
      </c>
      <c r="CG2333" s="2"/>
      <c r="CH2333" s="2"/>
      <c r="CI2333" s="2">
        <v>1</v>
      </c>
      <c r="CJ2333" s="2">
        <v>1</v>
      </c>
      <c r="CK2333" s="2">
        <v>21</v>
      </c>
      <c r="CL2333" s="2" t="s">
        <v>88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"FES1162509237"</f>
        <v>FES1162509237</v>
      </c>
      <c r="F2334" s="3">
        <v>42668</v>
      </c>
      <c r="G2334" s="2">
        <v>201704</v>
      </c>
      <c r="H2334" s="2" t="s">
        <v>74</v>
      </c>
      <c r="I2334" s="2" t="s">
        <v>75</v>
      </c>
      <c r="J2334" s="2" t="s">
        <v>76</v>
      </c>
      <c r="K2334" s="2" t="s">
        <v>77</v>
      </c>
      <c r="L2334" s="2" t="s">
        <v>160</v>
      </c>
      <c r="M2334" s="2" t="s">
        <v>161</v>
      </c>
      <c r="N2334" s="2" t="s">
        <v>622</v>
      </c>
      <c r="O2334" s="2" t="s">
        <v>96</v>
      </c>
      <c r="P2334" s="2" t="str">
        <f>"2170532224                    "</f>
        <v xml:space="preserve">2170532224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3.32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</v>
      </c>
      <c r="BJ2334" s="2">
        <v>0.2</v>
      </c>
      <c r="BK2334" s="2">
        <v>1</v>
      </c>
      <c r="BL2334" s="2">
        <v>40.76</v>
      </c>
      <c r="BM2334" s="2">
        <v>5.71</v>
      </c>
      <c r="BN2334" s="2">
        <v>46.47</v>
      </c>
      <c r="BO2334" s="2">
        <v>46.47</v>
      </c>
      <c r="BP2334" s="2"/>
      <c r="BQ2334" s="2" t="s">
        <v>623</v>
      </c>
      <c r="BR2334" s="2" t="s">
        <v>83</v>
      </c>
      <c r="BS2334" s="3">
        <v>42669</v>
      </c>
      <c r="BT2334" s="4">
        <v>0.4381944444444445</v>
      </c>
      <c r="BU2334" s="2" t="s">
        <v>624</v>
      </c>
      <c r="BV2334" s="2" t="s">
        <v>85</v>
      </c>
      <c r="BW2334" s="2"/>
      <c r="BX2334" s="2"/>
      <c r="BY2334" s="2">
        <v>1200</v>
      </c>
      <c r="BZ2334" s="2"/>
      <c r="CA2334" s="2" t="s">
        <v>1193</v>
      </c>
      <c r="CB2334" s="2"/>
      <c r="CC2334" s="2" t="s">
        <v>161</v>
      </c>
      <c r="CD2334" s="2">
        <v>7490</v>
      </c>
      <c r="CE2334" s="2" t="s">
        <v>108</v>
      </c>
      <c r="CF2334" s="5">
        <v>42669</v>
      </c>
      <c r="CG2334" s="2"/>
      <c r="CH2334" s="2"/>
      <c r="CI2334" s="2">
        <v>1</v>
      </c>
      <c r="CJ2334" s="2">
        <v>1</v>
      </c>
      <c r="CK2334" s="2">
        <v>21</v>
      </c>
      <c r="CL2334" s="2" t="s">
        <v>88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"FES1162509235"</f>
        <v>FES1162509235</v>
      </c>
      <c r="F2335" s="3">
        <v>42668</v>
      </c>
      <c r="G2335" s="2">
        <v>201704</v>
      </c>
      <c r="H2335" s="2" t="s">
        <v>74</v>
      </c>
      <c r="I2335" s="2" t="s">
        <v>75</v>
      </c>
      <c r="J2335" s="2" t="s">
        <v>76</v>
      </c>
      <c r="K2335" s="2" t="s">
        <v>77</v>
      </c>
      <c r="L2335" s="2" t="s">
        <v>160</v>
      </c>
      <c r="M2335" s="2" t="s">
        <v>161</v>
      </c>
      <c r="N2335" s="2" t="s">
        <v>643</v>
      </c>
      <c r="O2335" s="2" t="s">
        <v>96</v>
      </c>
      <c r="P2335" s="2" t="str">
        <f>"2170531761                    "</f>
        <v xml:space="preserve">2170531761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3.32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1</v>
      </c>
      <c r="BJ2335" s="2">
        <v>0.2</v>
      </c>
      <c r="BK2335" s="2">
        <v>1</v>
      </c>
      <c r="BL2335" s="2">
        <v>40.76</v>
      </c>
      <c r="BM2335" s="2">
        <v>5.71</v>
      </c>
      <c r="BN2335" s="2">
        <v>46.47</v>
      </c>
      <c r="BO2335" s="2">
        <v>46.47</v>
      </c>
      <c r="BP2335" s="2"/>
      <c r="BQ2335" s="2" t="s">
        <v>644</v>
      </c>
      <c r="BR2335" s="2" t="s">
        <v>83</v>
      </c>
      <c r="BS2335" s="3">
        <v>42669</v>
      </c>
      <c r="BT2335" s="4">
        <v>0.41666666666666669</v>
      </c>
      <c r="BU2335" s="2" t="s">
        <v>2304</v>
      </c>
      <c r="BV2335" s="2" t="s">
        <v>85</v>
      </c>
      <c r="BW2335" s="2"/>
      <c r="BX2335" s="2"/>
      <c r="BY2335" s="2">
        <v>1200</v>
      </c>
      <c r="BZ2335" s="2"/>
      <c r="CA2335" s="2"/>
      <c r="CB2335" s="2"/>
      <c r="CC2335" s="2" t="s">
        <v>161</v>
      </c>
      <c r="CD2335" s="2">
        <v>7925</v>
      </c>
      <c r="CE2335" s="2" t="s">
        <v>108</v>
      </c>
      <c r="CF2335" s="5">
        <v>42670</v>
      </c>
      <c r="CG2335" s="2"/>
      <c r="CH2335" s="2"/>
      <c r="CI2335" s="2">
        <v>1</v>
      </c>
      <c r="CJ2335" s="2">
        <v>1</v>
      </c>
      <c r="CK2335" s="2">
        <v>21</v>
      </c>
      <c r="CL2335" s="2" t="s">
        <v>88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"FES1162509238"</f>
        <v>FES1162509238</v>
      </c>
      <c r="F2336" s="3">
        <v>42668</v>
      </c>
      <c r="G2336" s="2">
        <v>201704</v>
      </c>
      <c r="H2336" s="2" t="s">
        <v>74</v>
      </c>
      <c r="I2336" s="2" t="s">
        <v>75</v>
      </c>
      <c r="J2336" s="2" t="s">
        <v>76</v>
      </c>
      <c r="K2336" s="2" t="s">
        <v>77</v>
      </c>
      <c r="L2336" s="2" t="s">
        <v>1122</v>
      </c>
      <c r="M2336" s="2" t="s">
        <v>1123</v>
      </c>
      <c r="N2336" s="2" t="s">
        <v>1124</v>
      </c>
      <c r="O2336" s="2" t="s">
        <v>96</v>
      </c>
      <c r="P2336" s="2" t="str">
        <f>"2170532432                    "</f>
        <v xml:space="preserve">2170532432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3.32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</v>
      </c>
      <c r="BJ2336" s="2">
        <v>0.2</v>
      </c>
      <c r="BK2336" s="2">
        <v>1</v>
      </c>
      <c r="BL2336" s="2">
        <v>40.76</v>
      </c>
      <c r="BM2336" s="2">
        <v>5.71</v>
      </c>
      <c r="BN2336" s="2">
        <v>46.47</v>
      </c>
      <c r="BO2336" s="2">
        <v>46.47</v>
      </c>
      <c r="BP2336" s="2"/>
      <c r="BQ2336" s="2" t="s">
        <v>1125</v>
      </c>
      <c r="BR2336" s="2" t="s">
        <v>83</v>
      </c>
      <c r="BS2336" s="3">
        <v>42670</v>
      </c>
      <c r="BT2336" s="4">
        <v>0.41666666666666669</v>
      </c>
      <c r="BU2336" s="2">
        <v>9935662283</v>
      </c>
      <c r="BV2336" s="2" t="s">
        <v>88</v>
      </c>
      <c r="BW2336" s="2" t="s">
        <v>277</v>
      </c>
      <c r="BX2336" s="2" t="s">
        <v>2059</v>
      </c>
      <c r="BY2336" s="2">
        <v>1200</v>
      </c>
      <c r="BZ2336" s="2"/>
      <c r="CA2336" s="2"/>
      <c r="CB2336" s="2"/>
      <c r="CC2336" s="2" t="s">
        <v>1123</v>
      </c>
      <c r="CD2336" s="2">
        <v>1911</v>
      </c>
      <c r="CE2336" s="2" t="s">
        <v>108</v>
      </c>
      <c r="CF2336" s="5">
        <v>42674</v>
      </c>
      <c r="CG2336" s="2"/>
      <c r="CH2336" s="2"/>
      <c r="CI2336" s="2">
        <v>1</v>
      </c>
      <c r="CJ2336" s="2">
        <v>2</v>
      </c>
      <c r="CK2336" s="2">
        <v>21</v>
      </c>
      <c r="CL2336" s="2" t="s">
        <v>88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"FES1162509296"</f>
        <v>FES1162509296</v>
      </c>
      <c r="F2337" s="3">
        <v>42668</v>
      </c>
      <c r="G2337" s="2">
        <v>201704</v>
      </c>
      <c r="H2337" s="2" t="s">
        <v>74</v>
      </c>
      <c r="I2337" s="2" t="s">
        <v>75</v>
      </c>
      <c r="J2337" s="2" t="s">
        <v>76</v>
      </c>
      <c r="K2337" s="2" t="s">
        <v>77</v>
      </c>
      <c r="L2337" s="2" t="s">
        <v>137</v>
      </c>
      <c r="M2337" s="2" t="s">
        <v>138</v>
      </c>
      <c r="N2337" s="2" t="s">
        <v>928</v>
      </c>
      <c r="O2337" s="2" t="s">
        <v>96</v>
      </c>
      <c r="P2337" s="2" t="str">
        <f>"2170525580                    "</f>
        <v xml:space="preserve">2170525580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3.32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1</v>
      </c>
      <c r="BJ2337" s="2">
        <v>0.2</v>
      </c>
      <c r="BK2337" s="2">
        <v>1</v>
      </c>
      <c r="BL2337" s="2">
        <v>40.76</v>
      </c>
      <c r="BM2337" s="2">
        <v>5.71</v>
      </c>
      <c r="BN2337" s="2">
        <v>46.47</v>
      </c>
      <c r="BO2337" s="2">
        <v>46.47</v>
      </c>
      <c r="BP2337" s="2"/>
      <c r="BQ2337" s="2" t="s">
        <v>117</v>
      </c>
      <c r="BR2337" s="2" t="s">
        <v>83</v>
      </c>
      <c r="BS2337" s="3">
        <v>42669</v>
      </c>
      <c r="BT2337" s="4">
        <v>0.39930555555555558</v>
      </c>
      <c r="BU2337" s="2" t="s">
        <v>2116</v>
      </c>
      <c r="BV2337" s="2"/>
      <c r="BW2337" s="2"/>
      <c r="BX2337" s="2"/>
      <c r="BY2337" s="2">
        <v>1200</v>
      </c>
      <c r="BZ2337" s="2"/>
      <c r="CA2337" s="2" t="s">
        <v>613</v>
      </c>
      <c r="CB2337" s="2"/>
      <c r="CC2337" s="2" t="s">
        <v>138</v>
      </c>
      <c r="CD2337" s="2">
        <v>3201</v>
      </c>
      <c r="CE2337" s="2" t="s">
        <v>108</v>
      </c>
      <c r="CF2337" s="5">
        <v>42669</v>
      </c>
      <c r="CG2337" s="2"/>
      <c r="CH2337" s="2"/>
      <c r="CI2337" s="2">
        <v>0</v>
      </c>
      <c r="CJ2337" s="2">
        <v>0</v>
      </c>
      <c r="CK2337" s="2">
        <v>21</v>
      </c>
      <c r="CL2337" s="2" t="s">
        <v>88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"FES1162509236"</f>
        <v>FES1162509236</v>
      </c>
      <c r="F2338" s="3">
        <v>42668</v>
      </c>
      <c r="G2338" s="2">
        <v>201704</v>
      </c>
      <c r="H2338" s="2" t="s">
        <v>74</v>
      </c>
      <c r="I2338" s="2" t="s">
        <v>75</v>
      </c>
      <c r="J2338" s="2" t="s">
        <v>76</v>
      </c>
      <c r="K2338" s="2" t="s">
        <v>77</v>
      </c>
      <c r="L2338" s="2" t="s">
        <v>153</v>
      </c>
      <c r="M2338" s="2" t="s">
        <v>153</v>
      </c>
      <c r="N2338" s="2" t="s">
        <v>343</v>
      </c>
      <c r="O2338" s="2" t="s">
        <v>96</v>
      </c>
      <c r="P2338" s="2" t="str">
        <f>"2170532154                    "</f>
        <v xml:space="preserve">2170532154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3.32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1</v>
      </c>
      <c r="BJ2338" s="2">
        <v>0.2</v>
      </c>
      <c r="BK2338" s="2">
        <v>1</v>
      </c>
      <c r="BL2338" s="2">
        <v>40.76</v>
      </c>
      <c r="BM2338" s="2">
        <v>5.71</v>
      </c>
      <c r="BN2338" s="2">
        <v>46.47</v>
      </c>
      <c r="BO2338" s="2">
        <v>46.47</v>
      </c>
      <c r="BP2338" s="2"/>
      <c r="BQ2338" s="2" t="s">
        <v>344</v>
      </c>
      <c r="BR2338" s="2" t="s">
        <v>83</v>
      </c>
      <c r="BS2338" s="3">
        <v>42669</v>
      </c>
      <c r="BT2338" s="4">
        <v>0.52083333333333337</v>
      </c>
      <c r="BU2338" s="2" t="s">
        <v>720</v>
      </c>
      <c r="BV2338" s="2" t="s">
        <v>85</v>
      </c>
      <c r="BW2338" s="2"/>
      <c r="BX2338" s="2"/>
      <c r="BY2338" s="2">
        <v>1200</v>
      </c>
      <c r="BZ2338" s="2"/>
      <c r="CA2338" s="2"/>
      <c r="CB2338" s="2"/>
      <c r="CC2338" s="2" t="s">
        <v>153</v>
      </c>
      <c r="CD2338" s="2">
        <v>7646</v>
      </c>
      <c r="CE2338" s="2" t="s">
        <v>108</v>
      </c>
      <c r="CF2338" s="5">
        <v>42670</v>
      </c>
      <c r="CG2338" s="2"/>
      <c r="CH2338" s="2"/>
      <c r="CI2338" s="2">
        <v>1</v>
      </c>
      <c r="CJ2338" s="2">
        <v>1</v>
      </c>
      <c r="CK2338" s="2">
        <v>21</v>
      </c>
      <c r="CL2338" s="2" t="s">
        <v>88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"FES1162509201"</f>
        <v>FES1162509201</v>
      </c>
      <c r="F2339" s="3">
        <v>42668</v>
      </c>
      <c r="G2339" s="2">
        <v>201704</v>
      </c>
      <c r="H2339" s="2" t="s">
        <v>74</v>
      </c>
      <c r="I2339" s="2" t="s">
        <v>75</v>
      </c>
      <c r="J2339" s="2" t="s">
        <v>76</v>
      </c>
      <c r="K2339" s="2" t="s">
        <v>77</v>
      </c>
      <c r="L2339" s="2" t="s">
        <v>148</v>
      </c>
      <c r="M2339" s="2" t="s">
        <v>149</v>
      </c>
      <c r="N2339" s="2" t="s">
        <v>483</v>
      </c>
      <c r="O2339" s="2" t="s">
        <v>96</v>
      </c>
      <c r="P2339" s="2" t="str">
        <f>"2170532398                    "</f>
        <v xml:space="preserve">2170532398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4.9800000000000004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2.7</v>
      </c>
      <c r="BJ2339" s="2">
        <v>1.4</v>
      </c>
      <c r="BK2339" s="2">
        <v>3</v>
      </c>
      <c r="BL2339" s="2">
        <v>61.14</v>
      </c>
      <c r="BM2339" s="2">
        <v>8.56</v>
      </c>
      <c r="BN2339" s="2">
        <v>69.7</v>
      </c>
      <c r="BO2339" s="2">
        <v>69.7</v>
      </c>
      <c r="BP2339" s="2"/>
      <c r="BQ2339" s="2" t="s">
        <v>484</v>
      </c>
      <c r="BR2339" s="2" t="s">
        <v>83</v>
      </c>
      <c r="BS2339" s="3">
        <v>42669</v>
      </c>
      <c r="BT2339" s="4">
        <v>0.4375</v>
      </c>
      <c r="BU2339" s="2" t="s">
        <v>2017</v>
      </c>
      <c r="BV2339" s="2"/>
      <c r="BW2339" s="2"/>
      <c r="BX2339" s="2"/>
      <c r="BY2339" s="2">
        <v>7047.58</v>
      </c>
      <c r="BZ2339" s="2"/>
      <c r="CA2339" s="2"/>
      <c r="CB2339" s="2"/>
      <c r="CC2339" s="2" t="s">
        <v>149</v>
      </c>
      <c r="CD2339" s="2">
        <v>4001</v>
      </c>
      <c r="CE2339" s="2" t="s">
        <v>86</v>
      </c>
      <c r="CF2339" s="5">
        <v>42670</v>
      </c>
      <c r="CG2339" s="2"/>
      <c r="CH2339" s="2"/>
      <c r="CI2339" s="2">
        <v>0</v>
      </c>
      <c r="CJ2339" s="2">
        <v>0</v>
      </c>
      <c r="CK2339" s="2">
        <v>21</v>
      </c>
      <c r="CL2339" s="2" t="s">
        <v>88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"FES1162509053"</f>
        <v>FES1162509053</v>
      </c>
      <c r="F2340" s="3">
        <v>42668</v>
      </c>
      <c r="G2340" s="2">
        <v>201704</v>
      </c>
      <c r="H2340" s="2" t="s">
        <v>74</v>
      </c>
      <c r="I2340" s="2" t="s">
        <v>75</v>
      </c>
      <c r="J2340" s="2" t="s">
        <v>76</v>
      </c>
      <c r="K2340" s="2" t="s">
        <v>77</v>
      </c>
      <c r="L2340" s="2" t="s">
        <v>160</v>
      </c>
      <c r="M2340" s="2" t="s">
        <v>161</v>
      </c>
      <c r="N2340" s="2" t="s">
        <v>357</v>
      </c>
      <c r="O2340" s="2" t="s">
        <v>96</v>
      </c>
      <c r="P2340" s="2" t="str">
        <f>"2170530829                    "</f>
        <v xml:space="preserve">2170530829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4.9800000000000004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2.7</v>
      </c>
      <c r="BJ2340" s="2">
        <v>1.1000000000000001</v>
      </c>
      <c r="BK2340" s="2">
        <v>3</v>
      </c>
      <c r="BL2340" s="2">
        <v>61.14</v>
      </c>
      <c r="BM2340" s="2">
        <v>8.56</v>
      </c>
      <c r="BN2340" s="2">
        <v>69.7</v>
      </c>
      <c r="BO2340" s="2">
        <v>69.7</v>
      </c>
      <c r="BP2340" s="2"/>
      <c r="BQ2340" s="2" t="s">
        <v>358</v>
      </c>
      <c r="BR2340" s="2" t="s">
        <v>83</v>
      </c>
      <c r="BS2340" s="3">
        <v>42669</v>
      </c>
      <c r="BT2340" s="4">
        <v>0.41666666666666669</v>
      </c>
      <c r="BU2340" s="2" t="s">
        <v>1167</v>
      </c>
      <c r="BV2340" s="2" t="s">
        <v>85</v>
      </c>
      <c r="BW2340" s="2"/>
      <c r="BX2340" s="2"/>
      <c r="BY2340" s="2">
        <v>5395.98</v>
      </c>
      <c r="BZ2340" s="2"/>
      <c r="CA2340" s="2"/>
      <c r="CB2340" s="2"/>
      <c r="CC2340" s="2" t="s">
        <v>161</v>
      </c>
      <c r="CD2340" s="2">
        <v>7441</v>
      </c>
      <c r="CE2340" s="2" t="s">
        <v>86</v>
      </c>
      <c r="CF2340" s="5">
        <v>42670</v>
      </c>
      <c r="CG2340" s="2"/>
      <c r="CH2340" s="2"/>
      <c r="CI2340" s="2">
        <v>1</v>
      </c>
      <c r="CJ2340" s="2">
        <v>1</v>
      </c>
      <c r="CK2340" s="2">
        <v>21</v>
      </c>
      <c r="CL2340" s="2" t="s">
        <v>88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"FES1162509234"</f>
        <v>FES1162509234</v>
      </c>
      <c r="F2341" s="3">
        <v>42668</v>
      </c>
      <c r="G2341" s="2">
        <v>201704</v>
      </c>
      <c r="H2341" s="2" t="s">
        <v>74</v>
      </c>
      <c r="I2341" s="2" t="s">
        <v>75</v>
      </c>
      <c r="J2341" s="2" t="s">
        <v>76</v>
      </c>
      <c r="K2341" s="2" t="s">
        <v>77</v>
      </c>
      <c r="L2341" s="2" t="s">
        <v>153</v>
      </c>
      <c r="M2341" s="2" t="s">
        <v>153</v>
      </c>
      <c r="N2341" s="2" t="s">
        <v>200</v>
      </c>
      <c r="O2341" s="2" t="s">
        <v>96</v>
      </c>
      <c r="P2341" s="2" t="str">
        <f>"2170531707                    "</f>
        <v xml:space="preserve">2170531707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4.9800000000000004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2.9</v>
      </c>
      <c r="BJ2341" s="2">
        <v>1.7</v>
      </c>
      <c r="BK2341" s="2">
        <v>3</v>
      </c>
      <c r="BL2341" s="2">
        <v>61.14</v>
      </c>
      <c r="BM2341" s="2">
        <v>8.56</v>
      </c>
      <c r="BN2341" s="2">
        <v>69.7</v>
      </c>
      <c r="BO2341" s="2">
        <v>69.7</v>
      </c>
      <c r="BP2341" s="2"/>
      <c r="BQ2341" s="2" t="s">
        <v>201</v>
      </c>
      <c r="BR2341" s="2" t="s">
        <v>83</v>
      </c>
      <c r="BS2341" s="3">
        <v>42669</v>
      </c>
      <c r="BT2341" s="4">
        <v>0.52777777777777779</v>
      </c>
      <c r="BU2341" s="2" t="s">
        <v>202</v>
      </c>
      <c r="BV2341" s="2" t="s">
        <v>85</v>
      </c>
      <c r="BW2341" s="2"/>
      <c r="BX2341" s="2"/>
      <c r="BY2341" s="2">
        <v>8281.7999999999993</v>
      </c>
      <c r="BZ2341" s="2"/>
      <c r="CA2341" s="2"/>
      <c r="CB2341" s="2"/>
      <c r="CC2341" s="2" t="s">
        <v>153</v>
      </c>
      <c r="CD2341" s="2">
        <v>7646</v>
      </c>
      <c r="CE2341" s="2" t="s">
        <v>86</v>
      </c>
      <c r="CF2341" s="5">
        <v>42670</v>
      </c>
      <c r="CG2341" s="2"/>
      <c r="CH2341" s="2"/>
      <c r="CI2341" s="2">
        <v>1</v>
      </c>
      <c r="CJ2341" s="2">
        <v>1</v>
      </c>
      <c r="CK2341" s="2">
        <v>21</v>
      </c>
      <c r="CL2341" s="2" t="s">
        <v>88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"FES1162509297"</f>
        <v>FES1162509297</v>
      </c>
      <c r="F2342" s="3">
        <v>42668</v>
      </c>
      <c r="G2342" s="2">
        <v>201704</v>
      </c>
      <c r="H2342" s="2" t="s">
        <v>74</v>
      </c>
      <c r="I2342" s="2" t="s">
        <v>75</v>
      </c>
      <c r="J2342" s="2" t="s">
        <v>76</v>
      </c>
      <c r="K2342" s="2" t="s">
        <v>77</v>
      </c>
      <c r="L2342" s="2" t="s">
        <v>160</v>
      </c>
      <c r="M2342" s="2" t="s">
        <v>161</v>
      </c>
      <c r="N2342" s="2" t="s">
        <v>184</v>
      </c>
      <c r="O2342" s="2" t="s">
        <v>96</v>
      </c>
      <c r="P2342" s="2" t="str">
        <f>"1162508997 2170528784         "</f>
        <v xml:space="preserve">1162508997 2170528784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3.32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1</v>
      </c>
      <c r="BJ2342" s="2">
        <v>0.2</v>
      </c>
      <c r="BK2342" s="2">
        <v>1</v>
      </c>
      <c r="BL2342" s="2">
        <v>40.76</v>
      </c>
      <c r="BM2342" s="2">
        <v>5.71</v>
      </c>
      <c r="BN2342" s="2">
        <v>46.47</v>
      </c>
      <c r="BO2342" s="2">
        <v>46.47</v>
      </c>
      <c r="BP2342" s="2"/>
      <c r="BQ2342" s="2" t="s">
        <v>117</v>
      </c>
      <c r="BR2342" s="2" t="s">
        <v>83</v>
      </c>
      <c r="BS2342" s="3">
        <v>42669</v>
      </c>
      <c r="BT2342" s="4">
        <v>0.41666666666666669</v>
      </c>
      <c r="BU2342" s="2" t="s">
        <v>185</v>
      </c>
      <c r="BV2342" s="2" t="s">
        <v>85</v>
      </c>
      <c r="BW2342" s="2"/>
      <c r="BX2342" s="2"/>
      <c r="BY2342" s="2">
        <v>1200</v>
      </c>
      <c r="BZ2342" s="2"/>
      <c r="CA2342" s="2"/>
      <c r="CB2342" s="2"/>
      <c r="CC2342" s="2" t="s">
        <v>161</v>
      </c>
      <c r="CD2342" s="2">
        <v>7441</v>
      </c>
      <c r="CE2342" s="2" t="s">
        <v>108</v>
      </c>
      <c r="CF2342" s="5">
        <v>42670</v>
      </c>
      <c r="CG2342" s="2"/>
      <c r="CH2342" s="2"/>
      <c r="CI2342" s="2">
        <v>1</v>
      </c>
      <c r="CJ2342" s="2">
        <v>1</v>
      </c>
      <c r="CK2342" s="2">
        <v>21</v>
      </c>
      <c r="CL2342" s="2" t="s">
        <v>88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"FES1162509275"</f>
        <v>FES1162509275</v>
      </c>
      <c r="F2343" s="3">
        <v>42668</v>
      </c>
      <c r="G2343" s="2">
        <v>201704</v>
      </c>
      <c r="H2343" s="2" t="s">
        <v>74</v>
      </c>
      <c r="I2343" s="2" t="s">
        <v>75</v>
      </c>
      <c r="J2343" s="2" t="s">
        <v>76</v>
      </c>
      <c r="K2343" s="2" t="s">
        <v>77</v>
      </c>
      <c r="L2343" s="2" t="s">
        <v>269</v>
      </c>
      <c r="M2343" s="2" t="s">
        <v>270</v>
      </c>
      <c r="N2343" s="2" t="s">
        <v>2211</v>
      </c>
      <c r="O2343" s="2" t="s">
        <v>96</v>
      </c>
      <c r="P2343" s="2" t="str">
        <f>"2170532490                    "</f>
        <v xml:space="preserve">2170532490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7.46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1.4</v>
      </c>
      <c r="BJ2343" s="2">
        <v>4.5</v>
      </c>
      <c r="BK2343" s="2">
        <v>4.5</v>
      </c>
      <c r="BL2343" s="2">
        <v>91.7</v>
      </c>
      <c r="BM2343" s="2">
        <v>12.84</v>
      </c>
      <c r="BN2343" s="2">
        <v>104.54</v>
      </c>
      <c r="BO2343" s="2">
        <v>104.54</v>
      </c>
      <c r="BP2343" s="2"/>
      <c r="BQ2343" s="2" t="s">
        <v>91</v>
      </c>
      <c r="BR2343" s="2" t="s">
        <v>83</v>
      </c>
      <c r="BS2343" s="3">
        <v>42669</v>
      </c>
      <c r="BT2343" s="4">
        <v>0.38541666666666669</v>
      </c>
      <c r="BU2343" s="2" t="s">
        <v>2305</v>
      </c>
      <c r="BV2343" s="2" t="s">
        <v>85</v>
      </c>
      <c r="BW2343" s="2"/>
      <c r="BX2343" s="2"/>
      <c r="BY2343" s="2">
        <v>22426.95</v>
      </c>
      <c r="BZ2343" s="2"/>
      <c r="CA2343" s="2" t="s">
        <v>129</v>
      </c>
      <c r="CB2343" s="2"/>
      <c r="CC2343" s="2" t="s">
        <v>270</v>
      </c>
      <c r="CD2343" s="2">
        <v>3610</v>
      </c>
      <c r="CE2343" s="2" t="s">
        <v>108</v>
      </c>
      <c r="CF2343" s="5">
        <v>42670</v>
      </c>
      <c r="CG2343" s="2"/>
      <c r="CH2343" s="2"/>
      <c r="CI2343" s="2">
        <v>1</v>
      </c>
      <c r="CJ2343" s="2">
        <v>1</v>
      </c>
      <c r="CK2343" s="2">
        <v>21</v>
      </c>
      <c r="CL2343" s="2" t="s">
        <v>88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"FES1162509274"</f>
        <v>FES1162509274</v>
      </c>
      <c r="F2344" s="3">
        <v>42668</v>
      </c>
      <c r="G2344" s="2">
        <v>201704</v>
      </c>
      <c r="H2344" s="2" t="s">
        <v>74</v>
      </c>
      <c r="I2344" s="2" t="s">
        <v>75</v>
      </c>
      <c r="J2344" s="2" t="s">
        <v>76</v>
      </c>
      <c r="K2344" s="2" t="s">
        <v>77</v>
      </c>
      <c r="L2344" s="2" t="s">
        <v>137</v>
      </c>
      <c r="M2344" s="2" t="s">
        <v>138</v>
      </c>
      <c r="N2344" s="2" t="s">
        <v>203</v>
      </c>
      <c r="O2344" s="2" t="s">
        <v>96</v>
      </c>
      <c r="P2344" s="2" t="str">
        <f>"2170532487                    "</f>
        <v xml:space="preserve">2170532487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4.9800000000000004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3</v>
      </c>
      <c r="BJ2344" s="2">
        <v>2</v>
      </c>
      <c r="BK2344" s="2">
        <v>3</v>
      </c>
      <c r="BL2344" s="2">
        <v>61.14</v>
      </c>
      <c r="BM2344" s="2">
        <v>8.56</v>
      </c>
      <c r="BN2344" s="2">
        <v>69.7</v>
      </c>
      <c r="BO2344" s="2">
        <v>69.7</v>
      </c>
      <c r="BP2344" s="2"/>
      <c r="BQ2344" s="2" t="s">
        <v>168</v>
      </c>
      <c r="BR2344" s="2" t="s">
        <v>83</v>
      </c>
      <c r="BS2344" s="3">
        <v>42669</v>
      </c>
      <c r="BT2344" s="4">
        <v>0.4145833333333333</v>
      </c>
      <c r="BU2344" s="2" t="s">
        <v>768</v>
      </c>
      <c r="BV2344" s="2"/>
      <c r="BW2344" s="2"/>
      <c r="BX2344" s="2"/>
      <c r="BY2344" s="2">
        <v>9900</v>
      </c>
      <c r="BZ2344" s="2"/>
      <c r="CA2344" s="2" t="s">
        <v>613</v>
      </c>
      <c r="CB2344" s="2"/>
      <c r="CC2344" s="2" t="s">
        <v>138</v>
      </c>
      <c r="CD2344" s="2">
        <v>3201</v>
      </c>
      <c r="CE2344" s="2" t="s">
        <v>86</v>
      </c>
      <c r="CF2344" s="5">
        <v>42669</v>
      </c>
      <c r="CG2344" s="2"/>
      <c r="CH2344" s="2"/>
      <c r="CI2344" s="2">
        <v>0</v>
      </c>
      <c r="CJ2344" s="2">
        <v>0</v>
      </c>
      <c r="CK2344" s="2">
        <v>21</v>
      </c>
      <c r="CL2344" s="2" t="s">
        <v>88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"FES1162509273"</f>
        <v>FES1162509273</v>
      </c>
      <c r="F2345" s="3">
        <v>42668</v>
      </c>
      <c r="G2345" s="2">
        <v>201704</v>
      </c>
      <c r="H2345" s="2" t="s">
        <v>74</v>
      </c>
      <c r="I2345" s="2" t="s">
        <v>75</v>
      </c>
      <c r="J2345" s="2" t="s">
        <v>76</v>
      </c>
      <c r="K2345" s="2" t="s">
        <v>77</v>
      </c>
      <c r="L2345" s="2" t="s">
        <v>1261</v>
      </c>
      <c r="M2345" s="2" t="s">
        <v>1262</v>
      </c>
      <c r="N2345" s="2" t="s">
        <v>2306</v>
      </c>
      <c r="O2345" s="2" t="s">
        <v>96</v>
      </c>
      <c r="P2345" s="2" t="str">
        <f>"2170532122                    "</f>
        <v xml:space="preserve">2170532122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6.43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1</v>
      </c>
      <c r="BJ2345" s="2">
        <v>1.5</v>
      </c>
      <c r="BK2345" s="2">
        <v>1.5</v>
      </c>
      <c r="BL2345" s="2">
        <v>78.97</v>
      </c>
      <c r="BM2345" s="2">
        <v>11.06</v>
      </c>
      <c r="BN2345" s="2">
        <v>90.03</v>
      </c>
      <c r="BO2345" s="2">
        <v>90.03</v>
      </c>
      <c r="BP2345" s="2"/>
      <c r="BQ2345" s="2" t="s">
        <v>117</v>
      </c>
      <c r="BR2345" s="2" t="s">
        <v>83</v>
      </c>
      <c r="BS2345" s="3">
        <v>42669</v>
      </c>
      <c r="BT2345" s="4">
        <v>0.54166666666666663</v>
      </c>
      <c r="BU2345" s="2" t="s">
        <v>2307</v>
      </c>
      <c r="BV2345" s="2" t="s">
        <v>85</v>
      </c>
      <c r="BW2345" s="2"/>
      <c r="BX2345" s="2"/>
      <c r="BY2345" s="2">
        <v>7540</v>
      </c>
      <c r="BZ2345" s="2"/>
      <c r="CA2345" s="2"/>
      <c r="CB2345" s="2"/>
      <c r="CC2345" s="2" t="s">
        <v>1262</v>
      </c>
      <c r="CD2345" s="2">
        <v>4270</v>
      </c>
      <c r="CE2345" s="2" t="s">
        <v>86</v>
      </c>
      <c r="CF2345" s="5">
        <v>42670</v>
      </c>
      <c r="CG2345" s="2"/>
      <c r="CH2345" s="2"/>
      <c r="CI2345" s="2">
        <v>1</v>
      </c>
      <c r="CJ2345" s="2">
        <v>1</v>
      </c>
      <c r="CK2345" s="2">
        <v>23</v>
      </c>
      <c r="CL2345" s="2" t="s">
        <v>88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"FES1162509301"</f>
        <v>FES1162509301</v>
      </c>
      <c r="F2346" s="3">
        <v>42668</v>
      </c>
      <c r="G2346" s="2">
        <v>201704</v>
      </c>
      <c r="H2346" s="2" t="s">
        <v>74</v>
      </c>
      <c r="I2346" s="2" t="s">
        <v>75</v>
      </c>
      <c r="J2346" s="2" t="s">
        <v>76</v>
      </c>
      <c r="K2346" s="2" t="s">
        <v>77</v>
      </c>
      <c r="L2346" s="2" t="s">
        <v>160</v>
      </c>
      <c r="M2346" s="2" t="s">
        <v>161</v>
      </c>
      <c r="N2346" s="2" t="s">
        <v>179</v>
      </c>
      <c r="O2346" s="2" t="s">
        <v>96</v>
      </c>
      <c r="P2346" s="2" t="str">
        <f>"2170532526                    "</f>
        <v xml:space="preserve">2170532526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3.32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</v>
      </c>
      <c r="BJ2346" s="2">
        <v>0.2</v>
      </c>
      <c r="BK2346" s="2">
        <v>1</v>
      </c>
      <c r="BL2346" s="2">
        <v>40.76</v>
      </c>
      <c r="BM2346" s="2">
        <v>5.71</v>
      </c>
      <c r="BN2346" s="2">
        <v>46.47</v>
      </c>
      <c r="BO2346" s="2">
        <v>46.47</v>
      </c>
      <c r="BP2346" s="2"/>
      <c r="BQ2346" s="2" t="s">
        <v>180</v>
      </c>
      <c r="BR2346" s="2" t="s">
        <v>83</v>
      </c>
      <c r="BS2346" s="3">
        <v>42669</v>
      </c>
      <c r="BT2346" s="4">
        <v>0.41666666666666669</v>
      </c>
      <c r="BU2346" s="2" t="s">
        <v>238</v>
      </c>
      <c r="BV2346" s="2" t="s">
        <v>85</v>
      </c>
      <c r="BW2346" s="2"/>
      <c r="BX2346" s="2"/>
      <c r="BY2346" s="2">
        <v>1200</v>
      </c>
      <c r="BZ2346" s="2"/>
      <c r="CA2346" s="2"/>
      <c r="CB2346" s="2"/>
      <c r="CC2346" s="2" t="s">
        <v>161</v>
      </c>
      <c r="CD2346" s="2">
        <v>7405</v>
      </c>
      <c r="CE2346" s="2" t="s">
        <v>108</v>
      </c>
      <c r="CF2346" s="5">
        <v>42670</v>
      </c>
      <c r="CG2346" s="2"/>
      <c r="CH2346" s="2"/>
      <c r="CI2346" s="2">
        <v>1</v>
      </c>
      <c r="CJ2346" s="2">
        <v>1</v>
      </c>
      <c r="CK2346" s="2">
        <v>21</v>
      </c>
      <c r="CL2346" s="2" t="s">
        <v>88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"FES1162509191"</f>
        <v>FES1162509191</v>
      </c>
      <c r="F2347" s="3">
        <v>42668</v>
      </c>
      <c r="G2347" s="2">
        <v>201704</v>
      </c>
      <c r="H2347" s="2" t="s">
        <v>74</v>
      </c>
      <c r="I2347" s="2" t="s">
        <v>75</v>
      </c>
      <c r="J2347" s="2" t="s">
        <v>76</v>
      </c>
      <c r="K2347" s="2" t="s">
        <v>77</v>
      </c>
      <c r="L2347" s="2" t="s">
        <v>160</v>
      </c>
      <c r="M2347" s="2" t="s">
        <v>161</v>
      </c>
      <c r="N2347" s="2" t="s">
        <v>267</v>
      </c>
      <c r="O2347" s="2" t="s">
        <v>96</v>
      </c>
      <c r="P2347" s="2" t="str">
        <f>"2170532367                    "</f>
        <v xml:space="preserve">2170532367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3.32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1.4</v>
      </c>
      <c r="BJ2347" s="2">
        <v>0.2</v>
      </c>
      <c r="BK2347" s="2">
        <v>1.5</v>
      </c>
      <c r="BL2347" s="2">
        <v>40.76</v>
      </c>
      <c r="BM2347" s="2">
        <v>5.71</v>
      </c>
      <c r="BN2347" s="2">
        <v>46.47</v>
      </c>
      <c r="BO2347" s="2">
        <v>46.47</v>
      </c>
      <c r="BP2347" s="2"/>
      <c r="BQ2347" s="2" t="s">
        <v>117</v>
      </c>
      <c r="BR2347" s="2" t="s">
        <v>83</v>
      </c>
      <c r="BS2347" s="3">
        <v>42669</v>
      </c>
      <c r="BT2347" s="4">
        <v>0.41666666666666669</v>
      </c>
      <c r="BU2347" s="2" t="s">
        <v>2256</v>
      </c>
      <c r="BV2347" s="2" t="s">
        <v>85</v>
      </c>
      <c r="BW2347" s="2"/>
      <c r="BX2347" s="2"/>
      <c r="BY2347" s="2">
        <v>1200</v>
      </c>
      <c r="BZ2347" s="2"/>
      <c r="CA2347" s="2"/>
      <c r="CB2347" s="2"/>
      <c r="CC2347" s="2" t="s">
        <v>161</v>
      </c>
      <c r="CD2347" s="2">
        <v>7441</v>
      </c>
      <c r="CE2347" s="2" t="s">
        <v>108</v>
      </c>
      <c r="CF2347" s="5">
        <v>42670</v>
      </c>
      <c r="CG2347" s="2"/>
      <c r="CH2347" s="2"/>
      <c r="CI2347" s="2">
        <v>1</v>
      </c>
      <c r="CJ2347" s="2">
        <v>1</v>
      </c>
      <c r="CK2347" s="2">
        <v>21</v>
      </c>
      <c r="CL2347" s="2" t="s">
        <v>88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"FES1162509305"</f>
        <v>FES1162509305</v>
      </c>
      <c r="F2348" s="3">
        <v>42668</v>
      </c>
      <c r="G2348" s="2">
        <v>201704</v>
      </c>
      <c r="H2348" s="2" t="s">
        <v>74</v>
      </c>
      <c r="I2348" s="2" t="s">
        <v>75</v>
      </c>
      <c r="J2348" s="2" t="s">
        <v>76</v>
      </c>
      <c r="K2348" s="2" t="s">
        <v>77</v>
      </c>
      <c r="L2348" s="2" t="s">
        <v>98</v>
      </c>
      <c r="M2348" s="2" t="s">
        <v>99</v>
      </c>
      <c r="N2348" s="2" t="s">
        <v>109</v>
      </c>
      <c r="O2348" s="2" t="s">
        <v>96</v>
      </c>
      <c r="P2348" s="2" t="str">
        <f>"2170531781                    "</f>
        <v xml:space="preserve">2170531781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5.81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2.8</v>
      </c>
      <c r="BJ2348" s="2">
        <v>3.5</v>
      </c>
      <c r="BK2348" s="2">
        <v>3.5</v>
      </c>
      <c r="BL2348" s="2">
        <v>71.33</v>
      </c>
      <c r="BM2348" s="2">
        <v>9.99</v>
      </c>
      <c r="BN2348" s="2">
        <v>81.319999999999993</v>
      </c>
      <c r="BO2348" s="2">
        <v>81.319999999999993</v>
      </c>
      <c r="BP2348" s="2"/>
      <c r="BQ2348" s="2" t="s">
        <v>110</v>
      </c>
      <c r="BR2348" s="2" t="s">
        <v>83</v>
      </c>
      <c r="BS2348" s="3">
        <v>42669</v>
      </c>
      <c r="BT2348" s="4">
        <v>0.38194444444444442</v>
      </c>
      <c r="BU2348" s="2" t="s">
        <v>2308</v>
      </c>
      <c r="BV2348" s="2" t="s">
        <v>85</v>
      </c>
      <c r="BW2348" s="2"/>
      <c r="BX2348" s="2"/>
      <c r="BY2348" s="2">
        <v>17377.07</v>
      </c>
      <c r="BZ2348" s="2"/>
      <c r="CA2348" s="2"/>
      <c r="CB2348" s="2"/>
      <c r="CC2348" s="2" t="s">
        <v>99</v>
      </c>
      <c r="CD2348" s="2">
        <v>6001</v>
      </c>
      <c r="CE2348" s="2" t="s">
        <v>86</v>
      </c>
      <c r="CF2348" s="5">
        <v>42670</v>
      </c>
      <c r="CG2348" s="2"/>
      <c r="CH2348" s="2"/>
      <c r="CI2348" s="2">
        <v>1</v>
      </c>
      <c r="CJ2348" s="2">
        <v>1</v>
      </c>
      <c r="CK2348" s="2">
        <v>21</v>
      </c>
      <c r="CL2348" s="2" t="s">
        <v>88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"FES1162509196"</f>
        <v>FES1162509196</v>
      </c>
      <c r="F2349" s="3">
        <v>42668</v>
      </c>
      <c r="G2349" s="2">
        <v>201704</v>
      </c>
      <c r="H2349" s="2" t="s">
        <v>74</v>
      </c>
      <c r="I2349" s="2" t="s">
        <v>75</v>
      </c>
      <c r="J2349" s="2" t="s">
        <v>76</v>
      </c>
      <c r="K2349" s="2" t="s">
        <v>77</v>
      </c>
      <c r="L2349" s="2" t="s">
        <v>160</v>
      </c>
      <c r="M2349" s="2" t="s">
        <v>161</v>
      </c>
      <c r="N2349" s="2" t="s">
        <v>179</v>
      </c>
      <c r="O2349" s="2" t="s">
        <v>96</v>
      </c>
      <c r="P2349" s="2" t="str">
        <f>"2170532389                    "</f>
        <v xml:space="preserve">2170532389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3.32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1</v>
      </c>
      <c r="BJ2349" s="2">
        <v>0.2</v>
      </c>
      <c r="BK2349" s="2">
        <v>1</v>
      </c>
      <c r="BL2349" s="2">
        <v>40.76</v>
      </c>
      <c r="BM2349" s="2">
        <v>5.71</v>
      </c>
      <c r="BN2349" s="2">
        <v>46.47</v>
      </c>
      <c r="BO2349" s="2">
        <v>46.47</v>
      </c>
      <c r="BP2349" s="2"/>
      <c r="BQ2349" s="2" t="s">
        <v>180</v>
      </c>
      <c r="BR2349" s="2" t="s">
        <v>83</v>
      </c>
      <c r="BS2349" s="3">
        <v>42669</v>
      </c>
      <c r="BT2349" s="4">
        <v>0.41666666666666669</v>
      </c>
      <c r="BU2349" s="2" t="s">
        <v>2292</v>
      </c>
      <c r="BV2349" s="2" t="s">
        <v>85</v>
      </c>
      <c r="BW2349" s="2"/>
      <c r="BX2349" s="2"/>
      <c r="BY2349" s="2">
        <v>1200</v>
      </c>
      <c r="BZ2349" s="2"/>
      <c r="CA2349" s="2"/>
      <c r="CB2349" s="2"/>
      <c r="CC2349" s="2" t="s">
        <v>161</v>
      </c>
      <c r="CD2349" s="2">
        <v>7405</v>
      </c>
      <c r="CE2349" s="2" t="s">
        <v>108</v>
      </c>
      <c r="CF2349" s="5">
        <v>42670</v>
      </c>
      <c r="CG2349" s="2"/>
      <c r="CH2349" s="2"/>
      <c r="CI2349" s="2">
        <v>1</v>
      </c>
      <c r="CJ2349" s="2">
        <v>1</v>
      </c>
      <c r="CK2349" s="2">
        <v>21</v>
      </c>
      <c r="CL2349" s="2" t="s">
        <v>88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"FES1162509192"</f>
        <v>FES1162509192</v>
      </c>
      <c r="F2350" s="3">
        <v>42668</v>
      </c>
      <c r="G2350" s="2">
        <v>201704</v>
      </c>
      <c r="H2350" s="2" t="s">
        <v>74</v>
      </c>
      <c r="I2350" s="2" t="s">
        <v>75</v>
      </c>
      <c r="J2350" s="2" t="s">
        <v>76</v>
      </c>
      <c r="K2350" s="2" t="s">
        <v>77</v>
      </c>
      <c r="L2350" s="2" t="s">
        <v>160</v>
      </c>
      <c r="M2350" s="2" t="s">
        <v>161</v>
      </c>
      <c r="N2350" s="2" t="s">
        <v>420</v>
      </c>
      <c r="O2350" s="2" t="s">
        <v>96</v>
      </c>
      <c r="P2350" s="2" t="str">
        <f>"2170532371                    "</f>
        <v xml:space="preserve">2170532371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3.32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1</v>
      </c>
      <c r="BI2350" s="2">
        <v>1</v>
      </c>
      <c r="BJ2350" s="2">
        <v>0.2</v>
      </c>
      <c r="BK2350" s="2">
        <v>1</v>
      </c>
      <c r="BL2350" s="2">
        <v>40.76</v>
      </c>
      <c r="BM2350" s="2">
        <v>5.71</v>
      </c>
      <c r="BN2350" s="2">
        <v>46.47</v>
      </c>
      <c r="BO2350" s="2">
        <v>46.47</v>
      </c>
      <c r="BP2350" s="2"/>
      <c r="BQ2350" s="2" t="s">
        <v>1501</v>
      </c>
      <c r="BR2350" s="2" t="s">
        <v>83</v>
      </c>
      <c r="BS2350" s="3">
        <v>42669</v>
      </c>
      <c r="BT2350" s="4">
        <v>0.39652777777777781</v>
      </c>
      <c r="BU2350" s="2" t="s">
        <v>2309</v>
      </c>
      <c r="BV2350" s="2" t="s">
        <v>85</v>
      </c>
      <c r="BW2350" s="2"/>
      <c r="BX2350" s="2"/>
      <c r="BY2350" s="2">
        <v>1200</v>
      </c>
      <c r="BZ2350" s="2"/>
      <c r="CA2350" s="2" t="s">
        <v>129</v>
      </c>
      <c r="CB2350" s="2"/>
      <c r="CC2350" s="2" t="s">
        <v>161</v>
      </c>
      <c r="CD2350" s="2">
        <v>7560</v>
      </c>
      <c r="CE2350" s="2" t="s">
        <v>108</v>
      </c>
      <c r="CF2350" s="5">
        <v>42670</v>
      </c>
      <c r="CG2350" s="2"/>
      <c r="CH2350" s="2"/>
      <c r="CI2350" s="2">
        <v>1</v>
      </c>
      <c r="CJ2350" s="2">
        <v>1</v>
      </c>
      <c r="CK2350" s="2">
        <v>21</v>
      </c>
      <c r="CL2350" s="2" t="s">
        <v>88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"FES1162509307"</f>
        <v>FES1162509307</v>
      </c>
      <c r="F2351" s="3">
        <v>42668</v>
      </c>
      <c r="G2351" s="2">
        <v>201704</v>
      </c>
      <c r="H2351" s="2" t="s">
        <v>74</v>
      </c>
      <c r="I2351" s="2" t="s">
        <v>75</v>
      </c>
      <c r="J2351" s="2" t="s">
        <v>76</v>
      </c>
      <c r="K2351" s="2" t="s">
        <v>77</v>
      </c>
      <c r="L2351" s="2" t="s">
        <v>1122</v>
      </c>
      <c r="M2351" s="2" t="s">
        <v>1123</v>
      </c>
      <c r="N2351" s="2" t="s">
        <v>422</v>
      </c>
      <c r="O2351" s="2" t="s">
        <v>96</v>
      </c>
      <c r="P2351" s="2" t="str">
        <f>"2170532117                    "</f>
        <v xml:space="preserve">2170532117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3.32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1.1000000000000001</v>
      </c>
      <c r="BJ2351" s="2">
        <v>1.8</v>
      </c>
      <c r="BK2351" s="2">
        <v>2</v>
      </c>
      <c r="BL2351" s="2">
        <v>40.76</v>
      </c>
      <c r="BM2351" s="2">
        <v>5.71</v>
      </c>
      <c r="BN2351" s="2">
        <v>46.47</v>
      </c>
      <c r="BO2351" s="2">
        <v>46.47</v>
      </c>
      <c r="BP2351" s="2"/>
      <c r="BQ2351" s="2" t="s">
        <v>91</v>
      </c>
      <c r="BR2351" s="2" t="s">
        <v>83</v>
      </c>
      <c r="BS2351" s="3">
        <v>42669</v>
      </c>
      <c r="BT2351" s="4">
        <v>0.41666666666666669</v>
      </c>
      <c r="BU2351" s="2" t="s">
        <v>2310</v>
      </c>
      <c r="BV2351" s="2" t="s">
        <v>85</v>
      </c>
      <c r="BW2351" s="2"/>
      <c r="BX2351" s="2"/>
      <c r="BY2351" s="2">
        <v>8939.7000000000007</v>
      </c>
      <c r="BZ2351" s="2"/>
      <c r="CA2351" s="2"/>
      <c r="CB2351" s="2"/>
      <c r="CC2351" s="2" t="s">
        <v>1123</v>
      </c>
      <c r="CD2351" s="2">
        <v>1911</v>
      </c>
      <c r="CE2351" s="2" t="s">
        <v>108</v>
      </c>
      <c r="CF2351" s="5">
        <v>42671</v>
      </c>
      <c r="CG2351" s="2"/>
      <c r="CH2351" s="2"/>
      <c r="CI2351" s="2">
        <v>1</v>
      </c>
      <c r="CJ2351" s="2">
        <v>1</v>
      </c>
      <c r="CK2351" s="2">
        <v>21</v>
      </c>
      <c r="CL2351" s="2" t="s">
        <v>88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"FES1162509259"</f>
        <v>FES1162509259</v>
      </c>
      <c r="F2352" s="3">
        <v>42668</v>
      </c>
      <c r="G2352" s="2">
        <v>201704</v>
      </c>
      <c r="H2352" s="2" t="s">
        <v>74</v>
      </c>
      <c r="I2352" s="2" t="s">
        <v>75</v>
      </c>
      <c r="J2352" s="2" t="s">
        <v>76</v>
      </c>
      <c r="K2352" s="2" t="s">
        <v>77</v>
      </c>
      <c r="L2352" s="2" t="s">
        <v>1261</v>
      </c>
      <c r="M2352" s="2" t="s">
        <v>1262</v>
      </c>
      <c r="N2352" s="2" t="s">
        <v>2306</v>
      </c>
      <c r="O2352" s="2" t="s">
        <v>96</v>
      </c>
      <c r="P2352" s="2" t="str">
        <f>"2170532122                    "</f>
        <v xml:space="preserve">2170532122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9.33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3</v>
      </c>
      <c r="BJ2352" s="2">
        <v>2</v>
      </c>
      <c r="BK2352" s="2">
        <v>3</v>
      </c>
      <c r="BL2352" s="2">
        <v>114.63</v>
      </c>
      <c r="BM2352" s="2">
        <v>16.05</v>
      </c>
      <c r="BN2352" s="2">
        <v>130.68</v>
      </c>
      <c r="BO2352" s="2">
        <v>130.68</v>
      </c>
      <c r="BP2352" s="2"/>
      <c r="BQ2352" s="2" t="s">
        <v>117</v>
      </c>
      <c r="BR2352" s="2" t="s">
        <v>83</v>
      </c>
      <c r="BS2352" s="3">
        <v>42669</v>
      </c>
      <c r="BT2352" s="4">
        <v>0.54166666666666663</v>
      </c>
      <c r="BU2352" s="2" t="s">
        <v>2307</v>
      </c>
      <c r="BV2352" s="2" t="s">
        <v>85</v>
      </c>
      <c r="BW2352" s="2"/>
      <c r="BX2352" s="2"/>
      <c r="BY2352" s="2">
        <v>9900</v>
      </c>
      <c r="BZ2352" s="2"/>
      <c r="CA2352" s="2"/>
      <c r="CB2352" s="2"/>
      <c r="CC2352" s="2" t="s">
        <v>1262</v>
      </c>
      <c r="CD2352" s="2">
        <v>4270</v>
      </c>
      <c r="CE2352" s="2" t="s">
        <v>86</v>
      </c>
      <c r="CF2352" s="5">
        <v>42670</v>
      </c>
      <c r="CG2352" s="2"/>
      <c r="CH2352" s="2"/>
      <c r="CI2352" s="2">
        <v>1</v>
      </c>
      <c r="CJ2352" s="2">
        <v>1</v>
      </c>
      <c r="CK2352" s="2">
        <v>23</v>
      </c>
      <c r="CL2352" s="2" t="s">
        <v>88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"FES1162509303"</f>
        <v>FES1162509303</v>
      </c>
      <c r="F2353" s="3">
        <v>42668</v>
      </c>
      <c r="G2353" s="2">
        <v>201704</v>
      </c>
      <c r="H2353" s="2" t="s">
        <v>74</v>
      </c>
      <c r="I2353" s="2" t="s">
        <v>75</v>
      </c>
      <c r="J2353" s="2" t="s">
        <v>76</v>
      </c>
      <c r="K2353" s="2" t="s">
        <v>77</v>
      </c>
      <c r="L2353" s="2" t="s">
        <v>143</v>
      </c>
      <c r="M2353" s="2" t="s">
        <v>144</v>
      </c>
      <c r="N2353" s="2" t="s">
        <v>475</v>
      </c>
      <c r="O2353" s="2" t="s">
        <v>96</v>
      </c>
      <c r="P2353" s="2" t="str">
        <f>"2170531606                    "</f>
        <v xml:space="preserve">2170531606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5.81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3.3</v>
      </c>
      <c r="BJ2353" s="2">
        <v>3.5</v>
      </c>
      <c r="BK2353" s="2">
        <v>3.5</v>
      </c>
      <c r="BL2353" s="2">
        <v>71.33</v>
      </c>
      <c r="BM2353" s="2">
        <v>9.99</v>
      </c>
      <c r="BN2353" s="2">
        <v>81.319999999999993</v>
      </c>
      <c r="BO2353" s="2">
        <v>81.319999999999993</v>
      </c>
      <c r="BP2353" s="2"/>
      <c r="BQ2353" s="2" t="s">
        <v>476</v>
      </c>
      <c r="BR2353" s="2" t="s">
        <v>83</v>
      </c>
      <c r="BS2353" s="3">
        <v>42669</v>
      </c>
      <c r="BT2353" s="4">
        <v>0.4375</v>
      </c>
      <c r="BU2353" s="2" t="s">
        <v>477</v>
      </c>
      <c r="BV2353" s="2" t="s">
        <v>85</v>
      </c>
      <c r="BW2353" s="2"/>
      <c r="BX2353" s="2"/>
      <c r="BY2353" s="2">
        <v>17527.95</v>
      </c>
      <c r="BZ2353" s="2"/>
      <c r="CA2353" s="2"/>
      <c r="CB2353" s="2"/>
      <c r="CC2353" s="2" t="s">
        <v>144</v>
      </c>
      <c r="CD2353" s="2">
        <v>5201</v>
      </c>
      <c r="CE2353" s="2" t="s">
        <v>86</v>
      </c>
      <c r="CF2353" s="5">
        <v>42671</v>
      </c>
      <c r="CG2353" s="2"/>
      <c r="CH2353" s="2"/>
      <c r="CI2353" s="2">
        <v>1</v>
      </c>
      <c r="CJ2353" s="2">
        <v>1</v>
      </c>
      <c r="CK2353" s="2">
        <v>21</v>
      </c>
      <c r="CL2353" s="2" t="s">
        <v>88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"FES1162509228"</f>
        <v>FES1162509228</v>
      </c>
      <c r="F2354" s="3">
        <v>42668</v>
      </c>
      <c r="G2354" s="2">
        <v>201704</v>
      </c>
      <c r="H2354" s="2" t="s">
        <v>74</v>
      </c>
      <c r="I2354" s="2" t="s">
        <v>75</v>
      </c>
      <c r="J2354" s="2" t="s">
        <v>76</v>
      </c>
      <c r="K2354" s="2" t="s">
        <v>77</v>
      </c>
      <c r="L2354" s="2" t="s">
        <v>160</v>
      </c>
      <c r="M2354" s="2" t="s">
        <v>161</v>
      </c>
      <c r="N2354" s="2" t="s">
        <v>930</v>
      </c>
      <c r="O2354" s="2" t="s">
        <v>96</v>
      </c>
      <c r="P2354" s="2" t="str">
        <f>"2170532427                    "</f>
        <v xml:space="preserve">2170532427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4.9800000000000004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2.7</v>
      </c>
      <c r="BJ2354" s="2">
        <v>1.6</v>
      </c>
      <c r="BK2354" s="2">
        <v>3</v>
      </c>
      <c r="BL2354" s="2">
        <v>61.14</v>
      </c>
      <c r="BM2354" s="2">
        <v>8.56</v>
      </c>
      <c r="BN2354" s="2">
        <v>69.7</v>
      </c>
      <c r="BO2354" s="2">
        <v>69.7</v>
      </c>
      <c r="BP2354" s="2"/>
      <c r="BQ2354" s="2" t="s">
        <v>931</v>
      </c>
      <c r="BR2354" s="2" t="s">
        <v>83</v>
      </c>
      <c r="BS2354" s="3">
        <v>42669</v>
      </c>
      <c r="BT2354" s="4">
        <v>0.41666666666666669</v>
      </c>
      <c r="BU2354" s="2" t="s">
        <v>2311</v>
      </c>
      <c r="BV2354" s="2" t="s">
        <v>85</v>
      </c>
      <c r="BW2354" s="2"/>
      <c r="BX2354" s="2"/>
      <c r="BY2354" s="2">
        <v>8224.02</v>
      </c>
      <c r="BZ2354" s="2"/>
      <c r="CA2354" s="2"/>
      <c r="CB2354" s="2"/>
      <c r="CC2354" s="2" t="s">
        <v>161</v>
      </c>
      <c r="CD2354" s="2">
        <v>7460</v>
      </c>
      <c r="CE2354" s="2" t="s">
        <v>86</v>
      </c>
      <c r="CF2354" s="5">
        <v>42670</v>
      </c>
      <c r="CG2354" s="2"/>
      <c r="CH2354" s="2"/>
      <c r="CI2354" s="2">
        <v>1</v>
      </c>
      <c r="CJ2354" s="2">
        <v>1</v>
      </c>
      <c r="CK2354" s="2">
        <v>21</v>
      </c>
      <c r="CL2354" s="2" t="s">
        <v>88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"FES1162509269"</f>
        <v>FES1162509269</v>
      </c>
      <c r="F2355" s="3">
        <v>42668</v>
      </c>
      <c r="G2355" s="2">
        <v>201704</v>
      </c>
      <c r="H2355" s="2" t="s">
        <v>74</v>
      </c>
      <c r="I2355" s="2" t="s">
        <v>75</v>
      </c>
      <c r="J2355" s="2" t="s">
        <v>76</v>
      </c>
      <c r="K2355" s="2" t="s">
        <v>77</v>
      </c>
      <c r="L2355" s="2" t="s">
        <v>148</v>
      </c>
      <c r="M2355" s="2" t="s">
        <v>149</v>
      </c>
      <c r="N2355" s="2" t="s">
        <v>293</v>
      </c>
      <c r="O2355" s="2" t="s">
        <v>96</v>
      </c>
      <c r="P2355" s="2" t="str">
        <f>"2170532488                    "</f>
        <v xml:space="preserve">2170532488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15.76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8</v>
      </c>
      <c r="BJ2355" s="2">
        <v>9.1</v>
      </c>
      <c r="BK2355" s="2">
        <v>9.5</v>
      </c>
      <c r="BL2355" s="2">
        <v>193.6</v>
      </c>
      <c r="BM2355" s="2">
        <v>27.1</v>
      </c>
      <c r="BN2355" s="2">
        <v>220.7</v>
      </c>
      <c r="BO2355" s="2">
        <v>220.7</v>
      </c>
      <c r="BP2355" s="2"/>
      <c r="BQ2355" s="2" t="s">
        <v>1352</v>
      </c>
      <c r="BR2355" s="2" t="s">
        <v>83</v>
      </c>
      <c r="BS2355" s="3">
        <v>42669</v>
      </c>
      <c r="BT2355" s="4">
        <v>0.4375</v>
      </c>
      <c r="BU2355" s="2" t="s">
        <v>295</v>
      </c>
      <c r="BV2355" s="2" t="s">
        <v>85</v>
      </c>
      <c r="BW2355" s="2"/>
      <c r="BX2355" s="2"/>
      <c r="BY2355" s="2">
        <v>45632</v>
      </c>
      <c r="BZ2355" s="2"/>
      <c r="CA2355" s="2"/>
      <c r="CB2355" s="2"/>
      <c r="CC2355" s="2" t="s">
        <v>149</v>
      </c>
      <c r="CD2355" s="2">
        <v>4051</v>
      </c>
      <c r="CE2355" s="2" t="s">
        <v>86</v>
      </c>
      <c r="CF2355" s="5">
        <v>42670</v>
      </c>
      <c r="CG2355" s="2"/>
      <c r="CH2355" s="2"/>
      <c r="CI2355" s="2">
        <v>1</v>
      </c>
      <c r="CJ2355" s="2">
        <v>1</v>
      </c>
      <c r="CK2355" s="2">
        <v>21</v>
      </c>
      <c r="CL2355" s="2" t="s">
        <v>88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"FES1162509298"</f>
        <v>FES1162509298</v>
      </c>
      <c r="F2356" s="3">
        <v>42668</v>
      </c>
      <c r="G2356" s="2">
        <v>201704</v>
      </c>
      <c r="H2356" s="2" t="s">
        <v>74</v>
      </c>
      <c r="I2356" s="2" t="s">
        <v>75</v>
      </c>
      <c r="J2356" s="2" t="s">
        <v>76</v>
      </c>
      <c r="K2356" s="2" t="s">
        <v>77</v>
      </c>
      <c r="L2356" s="2" t="s">
        <v>160</v>
      </c>
      <c r="M2356" s="2" t="s">
        <v>161</v>
      </c>
      <c r="N2356" s="2" t="s">
        <v>1282</v>
      </c>
      <c r="O2356" s="2" t="s">
        <v>96</v>
      </c>
      <c r="P2356" s="2" t="str">
        <f>"2170532518                    "</f>
        <v xml:space="preserve">2170532518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3.32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</v>
      </c>
      <c r="BJ2356" s="2">
        <v>0.2</v>
      </c>
      <c r="BK2356" s="2">
        <v>1</v>
      </c>
      <c r="BL2356" s="2">
        <v>40.76</v>
      </c>
      <c r="BM2356" s="2">
        <v>5.71</v>
      </c>
      <c r="BN2356" s="2">
        <v>46.47</v>
      </c>
      <c r="BO2356" s="2">
        <v>46.47</v>
      </c>
      <c r="BP2356" s="2"/>
      <c r="BQ2356" s="2" t="s">
        <v>91</v>
      </c>
      <c r="BR2356" s="2" t="s">
        <v>83</v>
      </c>
      <c r="BS2356" s="3">
        <v>42669</v>
      </c>
      <c r="BT2356" s="4">
        <v>0.36319444444444443</v>
      </c>
      <c r="BU2356" s="2" t="s">
        <v>2302</v>
      </c>
      <c r="BV2356" s="2" t="s">
        <v>85</v>
      </c>
      <c r="BW2356" s="2"/>
      <c r="BX2356" s="2"/>
      <c r="BY2356" s="2">
        <v>1200</v>
      </c>
      <c r="BZ2356" s="2"/>
      <c r="CA2356" s="2"/>
      <c r="CB2356" s="2"/>
      <c r="CC2356" s="2" t="s">
        <v>161</v>
      </c>
      <c r="CD2356" s="2">
        <v>7493</v>
      </c>
      <c r="CE2356" s="2" t="s">
        <v>108</v>
      </c>
      <c r="CF2356" s="5">
        <v>42670</v>
      </c>
      <c r="CG2356" s="2"/>
      <c r="CH2356" s="2"/>
      <c r="CI2356" s="2">
        <v>1</v>
      </c>
      <c r="CJ2356" s="2">
        <v>1</v>
      </c>
      <c r="CK2356" s="2">
        <v>21</v>
      </c>
      <c r="CL2356" s="2" t="s">
        <v>88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"FES1162509245"</f>
        <v>FES1162509245</v>
      </c>
      <c r="F2357" s="3">
        <v>42668</v>
      </c>
      <c r="G2357" s="2">
        <v>201704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160</v>
      </c>
      <c r="M2357" s="2" t="s">
        <v>161</v>
      </c>
      <c r="N2357" s="2" t="s">
        <v>2312</v>
      </c>
      <c r="O2357" s="2" t="s">
        <v>96</v>
      </c>
      <c r="P2357" s="2" t="str">
        <f>"2170532455                    "</f>
        <v xml:space="preserve">2170532455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3.32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40.76</v>
      </c>
      <c r="BM2357" s="2">
        <v>5.71</v>
      </c>
      <c r="BN2357" s="2">
        <v>46.47</v>
      </c>
      <c r="BO2357" s="2">
        <v>46.47</v>
      </c>
      <c r="BP2357" s="2"/>
      <c r="BQ2357" s="2" t="s">
        <v>2313</v>
      </c>
      <c r="BR2357" s="2" t="s">
        <v>83</v>
      </c>
      <c r="BS2357" s="3">
        <v>42669</v>
      </c>
      <c r="BT2357" s="4">
        <v>0.41666666666666669</v>
      </c>
      <c r="BU2357" s="2" t="s">
        <v>2314</v>
      </c>
      <c r="BV2357" s="2" t="s">
        <v>85</v>
      </c>
      <c r="BW2357" s="2"/>
      <c r="BX2357" s="2"/>
      <c r="BY2357" s="2">
        <v>1200</v>
      </c>
      <c r="BZ2357" s="2"/>
      <c r="CA2357" s="2"/>
      <c r="CB2357" s="2"/>
      <c r="CC2357" s="2" t="s">
        <v>161</v>
      </c>
      <c r="CD2357" s="2">
        <v>7405</v>
      </c>
      <c r="CE2357" s="2" t="s">
        <v>108</v>
      </c>
      <c r="CF2357" s="5">
        <v>42670</v>
      </c>
      <c r="CG2357" s="2"/>
      <c r="CH2357" s="2"/>
      <c r="CI2357" s="2">
        <v>1</v>
      </c>
      <c r="CJ2357" s="2">
        <v>1</v>
      </c>
      <c r="CK2357" s="2">
        <v>21</v>
      </c>
      <c r="CL2357" s="2" t="s">
        <v>88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"FES1162509049"</f>
        <v>FES1162509049</v>
      </c>
      <c r="F2358" s="3">
        <v>42668</v>
      </c>
      <c r="G2358" s="2">
        <v>201704</v>
      </c>
      <c r="H2358" s="2" t="s">
        <v>74</v>
      </c>
      <c r="I2358" s="2" t="s">
        <v>75</v>
      </c>
      <c r="J2358" s="2" t="s">
        <v>76</v>
      </c>
      <c r="K2358" s="2" t="s">
        <v>77</v>
      </c>
      <c r="L2358" s="2" t="s">
        <v>160</v>
      </c>
      <c r="M2358" s="2" t="s">
        <v>161</v>
      </c>
      <c r="N2358" s="2" t="s">
        <v>267</v>
      </c>
      <c r="O2358" s="2" t="s">
        <v>96</v>
      </c>
      <c r="P2358" s="2" t="str">
        <f>"2170530208                    "</f>
        <v xml:space="preserve">2170530208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34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18</v>
      </c>
      <c r="BJ2358" s="2">
        <v>20.2</v>
      </c>
      <c r="BK2358" s="2">
        <v>20.5</v>
      </c>
      <c r="BL2358" s="2">
        <v>417.76</v>
      </c>
      <c r="BM2358" s="2">
        <v>58.49</v>
      </c>
      <c r="BN2358" s="2">
        <v>476.25</v>
      </c>
      <c r="BO2358" s="2">
        <v>476.25</v>
      </c>
      <c r="BP2358" s="2"/>
      <c r="BQ2358" s="2" t="s">
        <v>117</v>
      </c>
      <c r="BR2358" s="2" t="s">
        <v>83</v>
      </c>
      <c r="BS2358" s="3">
        <v>42669</v>
      </c>
      <c r="BT2358" s="4">
        <v>0.41666666666666669</v>
      </c>
      <c r="BU2358" s="2" t="s">
        <v>1430</v>
      </c>
      <c r="BV2358" s="2" t="s">
        <v>85</v>
      </c>
      <c r="BW2358" s="2"/>
      <c r="BX2358" s="2"/>
      <c r="BY2358" s="2">
        <v>100800</v>
      </c>
      <c r="BZ2358" s="2"/>
      <c r="CA2358" s="2"/>
      <c r="CB2358" s="2"/>
      <c r="CC2358" s="2" t="s">
        <v>161</v>
      </c>
      <c r="CD2358" s="2">
        <v>7441</v>
      </c>
      <c r="CE2358" s="2" t="s">
        <v>368</v>
      </c>
      <c r="CF2358" s="5">
        <v>42670</v>
      </c>
      <c r="CG2358" s="2"/>
      <c r="CH2358" s="2"/>
      <c r="CI2358" s="2">
        <v>1</v>
      </c>
      <c r="CJ2358" s="2">
        <v>1</v>
      </c>
      <c r="CK2358" s="2">
        <v>21</v>
      </c>
      <c r="CL2358" s="2" t="s">
        <v>88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"FES1162509299"</f>
        <v>FES1162509299</v>
      </c>
      <c r="F2359" s="3">
        <v>42668</v>
      </c>
      <c r="G2359" s="2">
        <v>201704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160</v>
      </c>
      <c r="M2359" s="2" t="s">
        <v>161</v>
      </c>
      <c r="N2359" s="2" t="s">
        <v>2315</v>
      </c>
      <c r="O2359" s="2" t="s">
        <v>96</v>
      </c>
      <c r="P2359" s="2" t="str">
        <f>"2170532521                    "</f>
        <v xml:space="preserve">2170532521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11.61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6.8</v>
      </c>
      <c r="BJ2359" s="2">
        <v>3.1</v>
      </c>
      <c r="BK2359" s="2">
        <v>7</v>
      </c>
      <c r="BL2359" s="2">
        <v>142.65</v>
      </c>
      <c r="BM2359" s="2">
        <v>19.97</v>
      </c>
      <c r="BN2359" s="2">
        <v>162.62</v>
      </c>
      <c r="BO2359" s="2">
        <v>162.62</v>
      </c>
      <c r="BP2359" s="2"/>
      <c r="BQ2359" s="2" t="s">
        <v>2316</v>
      </c>
      <c r="BR2359" s="2" t="s">
        <v>83</v>
      </c>
      <c r="BS2359" s="3">
        <v>42671</v>
      </c>
      <c r="BT2359" s="4">
        <v>0.41666666666666669</v>
      </c>
      <c r="BU2359" s="2" t="s">
        <v>1438</v>
      </c>
      <c r="BV2359" s="2" t="s">
        <v>88</v>
      </c>
      <c r="BW2359" s="2" t="s">
        <v>277</v>
      </c>
      <c r="BX2359" s="2" t="s">
        <v>223</v>
      </c>
      <c r="BY2359" s="2">
        <v>15286.03</v>
      </c>
      <c r="BZ2359" s="2"/>
      <c r="CA2359" s="2"/>
      <c r="CB2359" s="2"/>
      <c r="CC2359" s="2" t="s">
        <v>161</v>
      </c>
      <c r="CD2359" s="2">
        <v>7460</v>
      </c>
      <c r="CE2359" s="2" t="s">
        <v>86</v>
      </c>
      <c r="CF2359" s="5">
        <v>42674</v>
      </c>
      <c r="CG2359" s="2"/>
      <c r="CH2359" s="2"/>
      <c r="CI2359" s="2">
        <v>1</v>
      </c>
      <c r="CJ2359" s="2">
        <v>3</v>
      </c>
      <c r="CK2359" s="2">
        <v>21</v>
      </c>
      <c r="CL2359" s="2" t="s">
        <v>88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"009932186822"</f>
        <v>009932186822</v>
      </c>
      <c r="F2360" s="3">
        <v>42668</v>
      </c>
      <c r="G2360" s="2">
        <v>201704</v>
      </c>
      <c r="H2360" s="2" t="s">
        <v>74</v>
      </c>
      <c r="I2360" s="2" t="s">
        <v>75</v>
      </c>
      <c r="J2360" s="2" t="s">
        <v>76</v>
      </c>
      <c r="K2360" s="2" t="s">
        <v>77</v>
      </c>
      <c r="L2360" s="2" t="s">
        <v>93</v>
      </c>
      <c r="M2360" s="2" t="s">
        <v>94</v>
      </c>
      <c r="N2360" s="2" t="s">
        <v>130</v>
      </c>
      <c r="O2360" s="2" t="s">
        <v>191</v>
      </c>
      <c r="P2360" s="2" t="str">
        <f>"1162509113                    "</f>
        <v xml:space="preserve">1162509113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351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34.42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1</v>
      </c>
      <c r="BJ2360" s="2">
        <v>1.1000000000000001</v>
      </c>
      <c r="BK2360" s="2">
        <v>1.5</v>
      </c>
      <c r="BL2360" s="2">
        <v>422.86</v>
      </c>
      <c r="BM2360" s="2">
        <v>59.2</v>
      </c>
      <c r="BN2360" s="2">
        <v>482.06</v>
      </c>
      <c r="BO2360" s="2">
        <v>482.06</v>
      </c>
      <c r="BP2360" s="2" t="s">
        <v>2317</v>
      </c>
      <c r="BQ2360" s="2" t="s">
        <v>131</v>
      </c>
      <c r="BR2360" s="2" t="s">
        <v>83</v>
      </c>
      <c r="BS2360" s="3">
        <v>42668</v>
      </c>
      <c r="BT2360" s="4">
        <v>0.625</v>
      </c>
      <c r="BU2360" s="2" t="s">
        <v>2318</v>
      </c>
      <c r="BV2360" s="2" t="s">
        <v>85</v>
      </c>
      <c r="BW2360" s="2"/>
      <c r="BX2360" s="2"/>
      <c r="BY2360" s="2">
        <v>5320</v>
      </c>
      <c r="BZ2360" s="2" t="s">
        <v>395</v>
      </c>
      <c r="CA2360" s="2"/>
      <c r="CB2360" s="2"/>
      <c r="CC2360" s="2" t="s">
        <v>94</v>
      </c>
      <c r="CD2360" s="2">
        <v>4302</v>
      </c>
      <c r="CE2360" s="2" t="s">
        <v>86</v>
      </c>
      <c r="CF2360" s="5">
        <v>42670</v>
      </c>
      <c r="CG2360" s="2"/>
      <c r="CH2360" s="2"/>
      <c r="CI2360" s="2">
        <v>0</v>
      </c>
      <c r="CJ2360" s="2">
        <v>0</v>
      </c>
      <c r="CK2360" s="2">
        <v>21</v>
      </c>
      <c r="CL2360" s="2" t="s">
        <v>88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"FES1162508998"</f>
        <v>FES1162508998</v>
      </c>
      <c r="F2361" s="3">
        <v>42668</v>
      </c>
      <c r="G2361" s="2">
        <v>201704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98</v>
      </c>
      <c r="M2361" s="2" t="s">
        <v>99</v>
      </c>
      <c r="N2361" s="2" t="s">
        <v>104</v>
      </c>
      <c r="O2361" s="2" t="s">
        <v>96</v>
      </c>
      <c r="P2361" s="2" t="str">
        <f>"2170528871                    "</f>
        <v xml:space="preserve">2170528871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20.73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12.5</v>
      </c>
      <c r="BJ2361" s="2">
        <v>3.8</v>
      </c>
      <c r="BK2361" s="2">
        <v>12.5</v>
      </c>
      <c r="BL2361" s="2">
        <v>254.73</v>
      </c>
      <c r="BM2361" s="2">
        <v>35.659999999999997</v>
      </c>
      <c r="BN2361" s="2">
        <v>290.39</v>
      </c>
      <c r="BO2361" s="2">
        <v>290.39</v>
      </c>
      <c r="BP2361" s="2"/>
      <c r="BQ2361" s="2" t="s">
        <v>105</v>
      </c>
      <c r="BR2361" s="2" t="s">
        <v>83</v>
      </c>
      <c r="BS2361" s="3">
        <v>42669</v>
      </c>
      <c r="BT2361" s="4">
        <v>0.3743055555555555</v>
      </c>
      <c r="BU2361" s="2" t="s">
        <v>105</v>
      </c>
      <c r="BV2361" s="2" t="s">
        <v>85</v>
      </c>
      <c r="BW2361" s="2"/>
      <c r="BX2361" s="2"/>
      <c r="BY2361" s="2">
        <v>18757.490000000002</v>
      </c>
      <c r="BZ2361" s="2"/>
      <c r="CA2361" s="2"/>
      <c r="CB2361" s="2"/>
      <c r="CC2361" s="2" t="s">
        <v>99</v>
      </c>
      <c r="CD2361" s="2">
        <v>6001</v>
      </c>
      <c r="CE2361" s="2" t="s">
        <v>86</v>
      </c>
      <c r="CF2361" s="5">
        <v>42670</v>
      </c>
      <c r="CG2361" s="2"/>
      <c r="CH2361" s="2"/>
      <c r="CI2361" s="2">
        <v>1</v>
      </c>
      <c r="CJ2361" s="2">
        <v>1</v>
      </c>
      <c r="CK2361" s="2">
        <v>21</v>
      </c>
      <c r="CL2361" s="2" t="s">
        <v>88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"FES1162509033"</f>
        <v>FES1162509033</v>
      </c>
      <c r="F2362" s="3">
        <v>42668</v>
      </c>
      <c r="G2362" s="2">
        <v>201704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143</v>
      </c>
      <c r="M2362" s="2" t="s">
        <v>144</v>
      </c>
      <c r="N2362" s="2" t="s">
        <v>216</v>
      </c>
      <c r="O2362" s="2" t="s">
        <v>96</v>
      </c>
      <c r="P2362" s="2" t="str">
        <f>"2170529984                    "</f>
        <v xml:space="preserve">2170529984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3.32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</v>
      </c>
      <c r="BJ2362" s="2">
        <v>0.2</v>
      </c>
      <c r="BK2362" s="2">
        <v>1</v>
      </c>
      <c r="BL2362" s="2">
        <v>40.76</v>
      </c>
      <c r="BM2362" s="2">
        <v>5.71</v>
      </c>
      <c r="BN2362" s="2">
        <v>46.47</v>
      </c>
      <c r="BO2362" s="2">
        <v>46.47</v>
      </c>
      <c r="BP2362" s="2"/>
      <c r="BQ2362" s="2" t="s">
        <v>91</v>
      </c>
      <c r="BR2362" s="2" t="s">
        <v>83</v>
      </c>
      <c r="BS2362" s="3">
        <v>42669</v>
      </c>
      <c r="BT2362" s="4">
        <v>0.44513888888888892</v>
      </c>
      <c r="BU2362" s="2" t="s">
        <v>2319</v>
      </c>
      <c r="BV2362" s="2" t="s">
        <v>85</v>
      </c>
      <c r="BW2362" s="2"/>
      <c r="BX2362" s="2"/>
      <c r="BY2362" s="2">
        <v>1200</v>
      </c>
      <c r="BZ2362" s="2"/>
      <c r="CA2362" s="2"/>
      <c r="CB2362" s="2"/>
      <c r="CC2362" s="2" t="s">
        <v>144</v>
      </c>
      <c r="CD2362" s="2">
        <v>5201</v>
      </c>
      <c r="CE2362" s="2" t="s">
        <v>108</v>
      </c>
      <c r="CF2362" s="5">
        <v>42671</v>
      </c>
      <c r="CG2362" s="2"/>
      <c r="CH2362" s="2"/>
      <c r="CI2362" s="2">
        <v>1</v>
      </c>
      <c r="CJ2362" s="2">
        <v>1</v>
      </c>
      <c r="CK2362" s="2">
        <v>21</v>
      </c>
      <c r="CL2362" s="2" t="s">
        <v>88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"FES1162508965"</f>
        <v>FES1162508965</v>
      </c>
      <c r="F2363" s="3">
        <v>42668</v>
      </c>
      <c r="G2363" s="2">
        <v>201704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98</v>
      </c>
      <c r="M2363" s="2" t="s">
        <v>99</v>
      </c>
      <c r="N2363" s="2" t="s">
        <v>1031</v>
      </c>
      <c r="O2363" s="2" t="s">
        <v>96</v>
      </c>
      <c r="P2363" s="2" t="str">
        <f>"2170531976                    "</f>
        <v xml:space="preserve">2170531976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3.32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2</v>
      </c>
      <c r="BJ2363" s="2">
        <v>1.8</v>
      </c>
      <c r="BK2363" s="2">
        <v>2</v>
      </c>
      <c r="BL2363" s="2">
        <v>40.76</v>
      </c>
      <c r="BM2363" s="2">
        <v>5.71</v>
      </c>
      <c r="BN2363" s="2">
        <v>46.47</v>
      </c>
      <c r="BO2363" s="2">
        <v>46.47</v>
      </c>
      <c r="BP2363" s="2"/>
      <c r="BQ2363" s="2" t="s">
        <v>1032</v>
      </c>
      <c r="BR2363" s="2" t="s">
        <v>83</v>
      </c>
      <c r="BS2363" s="3">
        <v>42669</v>
      </c>
      <c r="BT2363" s="4">
        <v>0.41666666666666669</v>
      </c>
      <c r="BU2363" s="2" t="s">
        <v>723</v>
      </c>
      <c r="BV2363" s="2" t="s">
        <v>85</v>
      </c>
      <c r="BW2363" s="2"/>
      <c r="BX2363" s="2"/>
      <c r="BY2363" s="2">
        <v>8936.4599999999991</v>
      </c>
      <c r="BZ2363" s="2"/>
      <c r="CA2363" s="2"/>
      <c r="CB2363" s="2"/>
      <c r="CC2363" s="2" t="s">
        <v>99</v>
      </c>
      <c r="CD2363" s="2">
        <v>6001</v>
      </c>
      <c r="CE2363" s="2" t="s">
        <v>108</v>
      </c>
      <c r="CF2363" s="5">
        <v>42670</v>
      </c>
      <c r="CG2363" s="2"/>
      <c r="CH2363" s="2"/>
      <c r="CI2363" s="2">
        <v>1</v>
      </c>
      <c r="CJ2363" s="2">
        <v>1</v>
      </c>
      <c r="CK2363" s="2">
        <v>21</v>
      </c>
      <c r="CL2363" s="2" t="s">
        <v>88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"FES1162509088"</f>
        <v>FES1162509088</v>
      </c>
      <c r="F2364" s="3">
        <v>42668</v>
      </c>
      <c r="G2364" s="2">
        <v>201704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143</v>
      </c>
      <c r="M2364" s="2" t="s">
        <v>144</v>
      </c>
      <c r="N2364" s="2" t="s">
        <v>273</v>
      </c>
      <c r="O2364" s="2" t="s">
        <v>96</v>
      </c>
      <c r="P2364" s="2" t="str">
        <f>"2170531981                    "</f>
        <v xml:space="preserve">2170531981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3.32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0.5</v>
      </c>
      <c r="BJ2364" s="2">
        <v>0.2</v>
      </c>
      <c r="BK2364" s="2">
        <v>0.5</v>
      </c>
      <c r="BL2364" s="2">
        <v>40.76</v>
      </c>
      <c r="BM2364" s="2">
        <v>5.71</v>
      </c>
      <c r="BN2364" s="2">
        <v>46.47</v>
      </c>
      <c r="BO2364" s="2">
        <v>46.47</v>
      </c>
      <c r="BP2364" s="2"/>
      <c r="BQ2364" s="2" t="s">
        <v>274</v>
      </c>
      <c r="BR2364" s="2" t="s">
        <v>83</v>
      </c>
      <c r="BS2364" s="3">
        <v>42669</v>
      </c>
      <c r="BT2364" s="4">
        <v>0.4375</v>
      </c>
      <c r="BU2364" s="2" t="s">
        <v>2135</v>
      </c>
      <c r="BV2364" s="2" t="s">
        <v>85</v>
      </c>
      <c r="BW2364" s="2"/>
      <c r="BX2364" s="2"/>
      <c r="BY2364" s="2">
        <v>1200</v>
      </c>
      <c r="BZ2364" s="2"/>
      <c r="CA2364" s="2"/>
      <c r="CB2364" s="2"/>
      <c r="CC2364" s="2" t="s">
        <v>144</v>
      </c>
      <c r="CD2364" s="2">
        <v>5201</v>
      </c>
      <c r="CE2364" s="2" t="s">
        <v>108</v>
      </c>
      <c r="CF2364" s="5">
        <v>42671</v>
      </c>
      <c r="CG2364" s="2"/>
      <c r="CH2364" s="2"/>
      <c r="CI2364" s="2">
        <v>1</v>
      </c>
      <c r="CJ2364" s="2">
        <v>1</v>
      </c>
      <c r="CK2364" s="2">
        <v>21</v>
      </c>
      <c r="CL2364" s="2" t="s">
        <v>88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"FES1162509153"</f>
        <v>FES1162509153</v>
      </c>
      <c r="F2365" s="3">
        <v>42668</v>
      </c>
      <c r="G2365" s="2">
        <v>201704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98</v>
      </c>
      <c r="M2365" s="2" t="s">
        <v>99</v>
      </c>
      <c r="N2365" s="2" t="s">
        <v>176</v>
      </c>
      <c r="O2365" s="2" t="s">
        <v>96</v>
      </c>
      <c r="P2365" s="2" t="str">
        <f>"2170532324                    "</f>
        <v xml:space="preserve">2170532324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4.1500000000000004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1.3</v>
      </c>
      <c r="BJ2365" s="2">
        <v>2.1</v>
      </c>
      <c r="BK2365" s="2">
        <v>2.5</v>
      </c>
      <c r="BL2365" s="2">
        <v>50.95</v>
      </c>
      <c r="BM2365" s="2">
        <v>7.13</v>
      </c>
      <c r="BN2365" s="2">
        <v>58.08</v>
      </c>
      <c r="BO2365" s="2">
        <v>58.08</v>
      </c>
      <c r="BP2365" s="2"/>
      <c r="BQ2365" s="2" t="s">
        <v>91</v>
      </c>
      <c r="BR2365" s="2" t="s">
        <v>83</v>
      </c>
      <c r="BS2365" s="3">
        <v>42669</v>
      </c>
      <c r="BT2365" s="4">
        <v>0.3611111111111111</v>
      </c>
      <c r="BU2365" s="2" t="s">
        <v>2104</v>
      </c>
      <c r="BV2365" s="2" t="s">
        <v>85</v>
      </c>
      <c r="BW2365" s="2"/>
      <c r="BX2365" s="2"/>
      <c r="BY2365" s="2">
        <v>10325.26</v>
      </c>
      <c r="BZ2365" s="2"/>
      <c r="CA2365" s="2"/>
      <c r="CB2365" s="2"/>
      <c r="CC2365" s="2" t="s">
        <v>99</v>
      </c>
      <c r="CD2365" s="2">
        <v>6020</v>
      </c>
      <c r="CE2365" s="2" t="s">
        <v>108</v>
      </c>
      <c r="CF2365" s="5">
        <v>42670</v>
      </c>
      <c r="CG2365" s="2"/>
      <c r="CH2365" s="2"/>
      <c r="CI2365" s="2">
        <v>1</v>
      </c>
      <c r="CJ2365" s="2">
        <v>1</v>
      </c>
      <c r="CK2365" s="2">
        <v>21</v>
      </c>
      <c r="CL2365" s="2" t="s">
        <v>88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"FES1162508964"</f>
        <v>FES1162508964</v>
      </c>
      <c r="F2366" s="3">
        <v>42668</v>
      </c>
      <c r="G2366" s="2">
        <v>201704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98</v>
      </c>
      <c r="M2366" s="2" t="s">
        <v>99</v>
      </c>
      <c r="N2366" s="2" t="s">
        <v>894</v>
      </c>
      <c r="O2366" s="2" t="s">
        <v>96</v>
      </c>
      <c r="P2366" s="2" t="str">
        <f>"2170531962                    "</f>
        <v xml:space="preserve">2170531962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3.32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0.1</v>
      </c>
      <c r="BJ2366" s="2">
        <v>1</v>
      </c>
      <c r="BK2366" s="2">
        <v>1</v>
      </c>
      <c r="BL2366" s="2">
        <v>40.76</v>
      </c>
      <c r="BM2366" s="2">
        <v>5.71</v>
      </c>
      <c r="BN2366" s="2">
        <v>46.47</v>
      </c>
      <c r="BO2366" s="2">
        <v>46.47</v>
      </c>
      <c r="BP2366" s="2"/>
      <c r="BQ2366" s="2" t="s">
        <v>895</v>
      </c>
      <c r="BR2366" s="2" t="s">
        <v>83</v>
      </c>
      <c r="BS2366" s="3">
        <v>42669</v>
      </c>
      <c r="BT2366" s="4">
        <v>0.3034722222222222</v>
      </c>
      <c r="BU2366" s="2" t="s">
        <v>2198</v>
      </c>
      <c r="BV2366" s="2" t="s">
        <v>85</v>
      </c>
      <c r="BW2366" s="2"/>
      <c r="BX2366" s="2"/>
      <c r="BY2366" s="2">
        <v>5019.5200000000004</v>
      </c>
      <c r="BZ2366" s="2"/>
      <c r="CA2366" s="2"/>
      <c r="CB2366" s="2"/>
      <c r="CC2366" s="2" t="s">
        <v>99</v>
      </c>
      <c r="CD2366" s="2">
        <v>6012</v>
      </c>
      <c r="CE2366" s="2" t="s">
        <v>108</v>
      </c>
      <c r="CF2366" s="5">
        <v>42670</v>
      </c>
      <c r="CG2366" s="2"/>
      <c r="CH2366" s="2"/>
      <c r="CI2366" s="2">
        <v>1</v>
      </c>
      <c r="CJ2366" s="2">
        <v>1</v>
      </c>
      <c r="CK2366" s="2">
        <v>21</v>
      </c>
      <c r="CL2366" s="2" t="s">
        <v>88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"FES1162509074"</f>
        <v>FES1162509074</v>
      </c>
      <c r="F2367" s="3">
        <v>42668</v>
      </c>
      <c r="G2367" s="2">
        <v>201704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98</v>
      </c>
      <c r="M2367" s="2" t="s">
        <v>99</v>
      </c>
      <c r="N2367" s="2" t="s">
        <v>1553</v>
      </c>
      <c r="O2367" s="2" t="s">
        <v>96</v>
      </c>
      <c r="P2367" s="2" t="str">
        <f>"2170531509                    "</f>
        <v xml:space="preserve">2170531509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3.32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0.6</v>
      </c>
      <c r="BJ2367" s="2">
        <v>1.5</v>
      </c>
      <c r="BK2367" s="2">
        <v>1.5</v>
      </c>
      <c r="BL2367" s="2">
        <v>40.76</v>
      </c>
      <c r="BM2367" s="2">
        <v>5.71</v>
      </c>
      <c r="BN2367" s="2">
        <v>46.47</v>
      </c>
      <c r="BO2367" s="2">
        <v>46.47</v>
      </c>
      <c r="BP2367" s="2"/>
      <c r="BQ2367" s="2" t="s">
        <v>1554</v>
      </c>
      <c r="BR2367" s="2" t="s">
        <v>83</v>
      </c>
      <c r="BS2367" s="3">
        <v>42669</v>
      </c>
      <c r="BT2367" s="4">
        <v>0.33333333333333331</v>
      </c>
      <c r="BU2367" s="2" t="s">
        <v>1325</v>
      </c>
      <c r="BV2367" s="2" t="s">
        <v>85</v>
      </c>
      <c r="BW2367" s="2"/>
      <c r="BX2367" s="2"/>
      <c r="BY2367" s="2">
        <v>7302.96</v>
      </c>
      <c r="BZ2367" s="2"/>
      <c r="CA2367" s="2" t="s">
        <v>129</v>
      </c>
      <c r="CB2367" s="2"/>
      <c r="CC2367" s="2" t="s">
        <v>99</v>
      </c>
      <c r="CD2367" s="2">
        <v>6001</v>
      </c>
      <c r="CE2367" s="2" t="s">
        <v>108</v>
      </c>
      <c r="CF2367" s="5">
        <v>42670</v>
      </c>
      <c r="CG2367" s="2"/>
      <c r="CH2367" s="2"/>
      <c r="CI2367" s="2">
        <v>1</v>
      </c>
      <c r="CJ2367" s="2">
        <v>1</v>
      </c>
      <c r="CK2367" s="2">
        <v>21</v>
      </c>
      <c r="CL2367" s="2" t="s">
        <v>88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"FES1162509118"</f>
        <v>FES1162509118</v>
      </c>
      <c r="F2368" s="3">
        <v>42668</v>
      </c>
      <c r="G2368" s="2">
        <v>201704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119</v>
      </c>
      <c r="M2368" s="2" t="s">
        <v>120</v>
      </c>
      <c r="N2368" s="2" t="s">
        <v>591</v>
      </c>
      <c r="O2368" s="2" t="s">
        <v>96</v>
      </c>
      <c r="P2368" s="2" t="str">
        <f>"2170532276                    "</f>
        <v xml:space="preserve">2170532276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3.32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40.76</v>
      </c>
      <c r="BM2368" s="2">
        <v>5.71</v>
      </c>
      <c r="BN2368" s="2">
        <v>46.47</v>
      </c>
      <c r="BO2368" s="2">
        <v>46.47</v>
      </c>
      <c r="BP2368" s="2"/>
      <c r="BQ2368" s="2" t="s">
        <v>91</v>
      </c>
      <c r="BR2368" s="2" t="s">
        <v>83</v>
      </c>
      <c r="BS2368" s="3">
        <v>42669</v>
      </c>
      <c r="BT2368" s="4">
        <v>0.40972222222222227</v>
      </c>
      <c r="BU2368" s="2" t="s">
        <v>2320</v>
      </c>
      <c r="BV2368" s="2" t="s">
        <v>85</v>
      </c>
      <c r="BW2368" s="2"/>
      <c r="BX2368" s="2"/>
      <c r="BY2368" s="2">
        <v>1200</v>
      </c>
      <c r="BZ2368" s="2"/>
      <c r="CA2368" s="2"/>
      <c r="CB2368" s="2"/>
      <c r="CC2368" s="2" t="s">
        <v>120</v>
      </c>
      <c r="CD2368" s="2">
        <v>6229</v>
      </c>
      <c r="CE2368" s="2" t="s">
        <v>108</v>
      </c>
      <c r="CF2368" s="5">
        <v>42670</v>
      </c>
      <c r="CG2368" s="2"/>
      <c r="CH2368" s="2"/>
      <c r="CI2368" s="2">
        <v>1</v>
      </c>
      <c r="CJ2368" s="2">
        <v>1</v>
      </c>
      <c r="CK2368" s="2">
        <v>21</v>
      </c>
      <c r="CL2368" s="2" t="s">
        <v>88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"FES1162509138"</f>
        <v>FES1162509138</v>
      </c>
      <c r="F2369" s="3">
        <v>42668</v>
      </c>
      <c r="G2369" s="2">
        <v>201704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98</v>
      </c>
      <c r="M2369" s="2" t="s">
        <v>99</v>
      </c>
      <c r="N2369" s="2" t="s">
        <v>1011</v>
      </c>
      <c r="O2369" s="2" t="s">
        <v>96</v>
      </c>
      <c r="P2369" s="2" t="str">
        <f>"2170532275                    "</f>
        <v xml:space="preserve">2170532275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3.32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1</v>
      </c>
      <c r="BJ2369" s="2">
        <v>0.2</v>
      </c>
      <c r="BK2369" s="2">
        <v>1</v>
      </c>
      <c r="BL2369" s="2">
        <v>40.76</v>
      </c>
      <c r="BM2369" s="2">
        <v>5.71</v>
      </c>
      <c r="BN2369" s="2">
        <v>46.47</v>
      </c>
      <c r="BO2369" s="2">
        <v>46.47</v>
      </c>
      <c r="BP2369" s="2"/>
      <c r="BQ2369" s="2" t="s">
        <v>117</v>
      </c>
      <c r="BR2369" s="2" t="s">
        <v>83</v>
      </c>
      <c r="BS2369" s="3">
        <v>42669</v>
      </c>
      <c r="BT2369" s="4">
        <v>0.2951388888888889</v>
      </c>
      <c r="BU2369" s="2" t="s">
        <v>1325</v>
      </c>
      <c r="BV2369" s="2" t="s">
        <v>85</v>
      </c>
      <c r="BW2369" s="2"/>
      <c r="BX2369" s="2"/>
      <c r="BY2369" s="2">
        <v>1200</v>
      </c>
      <c r="BZ2369" s="2"/>
      <c r="CA2369" s="2" t="s">
        <v>129</v>
      </c>
      <c r="CB2369" s="2"/>
      <c r="CC2369" s="2" t="s">
        <v>99</v>
      </c>
      <c r="CD2369" s="2">
        <v>6001</v>
      </c>
      <c r="CE2369" s="2" t="s">
        <v>108</v>
      </c>
      <c r="CF2369" s="5">
        <v>42670</v>
      </c>
      <c r="CG2369" s="2"/>
      <c r="CH2369" s="2"/>
      <c r="CI2369" s="2">
        <v>1</v>
      </c>
      <c r="CJ2369" s="2">
        <v>1</v>
      </c>
      <c r="CK2369" s="2">
        <v>21</v>
      </c>
      <c r="CL2369" s="2" t="s">
        <v>88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"FES1162509068"</f>
        <v>FES1162509068</v>
      </c>
      <c r="F2370" s="3">
        <v>42668</v>
      </c>
      <c r="G2370" s="2">
        <v>201704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119</v>
      </c>
      <c r="M2370" s="2" t="s">
        <v>120</v>
      </c>
      <c r="N2370" s="2" t="s">
        <v>585</v>
      </c>
      <c r="O2370" s="2" t="s">
        <v>96</v>
      </c>
      <c r="P2370" s="2" t="str">
        <f>"2170531396                    "</f>
        <v xml:space="preserve">2170531396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3.32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1</v>
      </c>
      <c r="BJ2370" s="2">
        <v>0.2</v>
      </c>
      <c r="BK2370" s="2">
        <v>1</v>
      </c>
      <c r="BL2370" s="2">
        <v>40.76</v>
      </c>
      <c r="BM2370" s="2">
        <v>5.71</v>
      </c>
      <c r="BN2370" s="2">
        <v>46.47</v>
      </c>
      <c r="BO2370" s="2">
        <v>46.47</v>
      </c>
      <c r="BP2370" s="2"/>
      <c r="BQ2370" s="2" t="s">
        <v>586</v>
      </c>
      <c r="BR2370" s="2" t="s">
        <v>83</v>
      </c>
      <c r="BS2370" s="3">
        <v>42669</v>
      </c>
      <c r="BT2370" s="4">
        <v>0.38750000000000001</v>
      </c>
      <c r="BU2370" s="2" t="s">
        <v>587</v>
      </c>
      <c r="BV2370" s="2" t="s">
        <v>85</v>
      </c>
      <c r="BW2370" s="2"/>
      <c r="BX2370" s="2"/>
      <c r="BY2370" s="2">
        <v>1200</v>
      </c>
      <c r="BZ2370" s="2"/>
      <c r="CA2370" s="2"/>
      <c r="CB2370" s="2"/>
      <c r="CC2370" s="2" t="s">
        <v>120</v>
      </c>
      <c r="CD2370" s="2">
        <v>6229</v>
      </c>
      <c r="CE2370" s="2" t="s">
        <v>108</v>
      </c>
      <c r="CF2370" s="5">
        <v>42670</v>
      </c>
      <c r="CG2370" s="2"/>
      <c r="CH2370" s="2"/>
      <c r="CI2370" s="2">
        <v>1</v>
      </c>
      <c r="CJ2370" s="2">
        <v>1</v>
      </c>
      <c r="CK2370" s="2">
        <v>21</v>
      </c>
      <c r="CL2370" s="2" t="s">
        <v>88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"FES1162509114"</f>
        <v>FES1162509114</v>
      </c>
      <c r="F2371" s="3">
        <v>42668</v>
      </c>
      <c r="G2371" s="2">
        <v>201704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98</v>
      </c>
      <c r="M2371" s="2" t="s">
        <v>99</v>
      </c>
      <c r="N2371" s="2" t="s">
        <v>1098</v>
      </c>
      <c r="O2371" s="2" t="s">
        <v>96</v>
      </c>
      <c r="P2371" s="2" t="str">
        <f>"2170532272                    "</f>
        <v xml:space="preserve">2170532272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3.32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40.76</v>
      </c>
      <c r="BM2371" s="2">
        <v>5.71</v>
      </c>
      <c r="BN2371" s="2">
        <v>46.47</v>
      </c>
      <c r="BO2371" s="2">
        <v>46.47</v>
      </c>
      <c r="BP2371" s="2"/>
      <c r="BQ2371" s="2" t="s">
        <v>1099</v>
      </c>
      <c r="BR2371" s="2" t="s">
        <v>83</v>
      </c>
      <c r="BS2371" s="3">
        <v>42669</v>
      </c>
      <c r="BT2371" s="4">
        <v>0.31597222222222221</v>
      </c>
      <c r="BU2371" s="2" t="s">
        <v>602</v>
      </c>
      <c r="BV2371" s="2" t="s">
        <v>85</v>
      </c>
      <c r="BW2371" s="2"/>
      <c r="BX2371" s="2"/>
      <c r="BY2371" s="2">
        <v>1200</v>
      </c>
      <c r="BZ2371" s="2"/>
      <c r="CA2371" s="2"/>
      <c r="CB2371" s="2"/>
      <c r="CC2371" s="2" t="s">
        <v>99</v>
      </c>
      <c r="CD2371" s="2">
        <v>6012</v>
      </c>
      <c r="CE2371" s="2" t="s">
        <v>108</v>
      </c>
      <c r="CF2371" s="5">
        <v>42670</v>
      </c>
      <c r="CG2371" s="2"/>
      <c r="CH2371" s="2"/>
      <c r="CI2371" s="2">
        <v>1</v>
      </c>
      <c r="CJ2371" s="2">
        <v>1</v>
      </c>
      <c r="CK2371" s="2">
        <v>21</v>
      </c>
      <c r="CL2371" s="2" t="s">
        <v>88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"FES1162509213"</f>
        <v>FES1162509213</v>
      </c>
      <c r="F2372" s="3">
        <v>42668</v>
      </c>
      <c r="G2372" s="2">
        <v>201704</v>
      </c>
      <c r="H2372" s="2" t="s">
        <v>74</v>
      </c>
      <c r="I2372" s="2" t="s">
        <v>75</v>
      </c>
      <c r="J2372" s="2" t="s">
        <v>76</v>
      </c>
      <c r="K2372" s="2" t="s">
        <v>77</v>
      </c>
      <c r="L2372" s="2" t="s">
        <v>119</v>
      </c>
      <c r="M2372" s="2" t="s">
        <v>120</v>
      </c>
      <c r="N2372" s="2" t="s">
        <v>337</v>
      </c>
      <c r="O2372" s="2" t="s">
        <v>96</v>
      </c>
      <c r="P2372" s="2" t="str">
        <f>"2170532403                    "</f>
        <v xml:space="preserve">2170532403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5.81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0.4</v>
      </c>
      <c r="BJ2372" s="2">
        <v>3.2</v>
      </c>
      <c r="BK2372" s="2">
        <v>3.5</v>
      </c>
      <c r="BL2372" s="2">
        <v>71.33</v>
      </c>
      <c r="BM2372" s="2">
        <v>9.99</v>
      </c>
      <c r="BN2372" s="2">
        <v>81.319999999999993</v>
      </c>
      <c r="BO2372" s="2">
        <v>81.319999999999993</v>
      </c>
      <c r="BP2372" s="2"/>
      <c r="BQ2372" s="2" t="s">
        <v>338</v>
      </c>
      <c r="BR2372" s="2" t="s">
        <v>83</v>
      </c>
      <c r="BS2372" s="3">
        <v>42669</v>
      </c>
      <c r="BT2372" s="4">
        <v>0.40902777777777777</v>
      </c>
      <c r="BU2372" s="2" t="s">
        <v>2321</v>
      </c>
      <c r="BV2372" s="2" t="s">
        <v>85</v>
      </c>
      <c r="BW2372" s="2"/>
      <c r="BX2372" s="2"/>
      <c r="BY2372" s="2">
        <v>16012</v>
      </c>
      <c r="BZ2372" s="2"/>
      <c r="CA2372" s="2"/>
      <c r="CB2372" s="2"/>
      <c r="CC2372" s="2" t="s">
        <v>120</v>
      </c>
      <c r="CD2372" s="2">
        <v>6230</v>
      </c>
      <c r="CE2372" s="2" t="s">
        <v>108</v>
      </c>
      <c r="CF2372" s="5">
        <v>42670</v>
      </c>
      <c r="CG2372" s="2"/>
      <c r="CH2372" s="2"/>
      <c r="CI2372" s="2">
        <v>1</v>
      </c>
      <c r="CJ2372" s="2">
        <v>1</v>
      </c>
      <c r="CK2372" s="2">
        <v>21</v>
      </c>
      <c r="CL2372" s="2" t="s">
        <v>88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"FES1162509028"</f>
        <v>FES1162509028</v>
      </c>
      <c r="F2373" s="3">
        <v>42668</v>
      </c>
      <c r="G2373" s="2">
        <v>201704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98</v>
      </c>
      <c r="M2373" s="2" t="s">
        <v>99</v>
      </c>
      <c r="N2373" s="2" t="s">
        <v>638</v>
      </c>
      <c r="O2373" s="2" t="s">
        <v>96</v>
      </c>
      <c r="P2373" s="2" t="str">
        <f>"2170529961                    "</f>
        <v xml:space="preserve">2170529961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3.32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40.76</v>
      </c>
      <c r="BM2373" s="2">
        <v>5.71</v>
      </c>
      <c r="BN2373" s="2">
        <v>46.47</v>
      </c>
      <c r="BO2373" s="2">
        <v>46.47</v>
      </c>
      <c r="BP2373" s="2"/>
      <c r="BQ2373" s="2" t="s">
        <v>639</v>
      </c>
      <c r="BR2373" s="2" t="s">
        <v>83</v>
      </c>
      <c r="BS2373" s="3">
        <v>42669</v>
      </c>
      <c r="BT2373" s="4">
        <v>0.3576388888888889</v>
      </c>
      <c r="BU2373" s="2" t="s">
        <v>2138</v>
      </c>
      <c r="BV2373" s="2"/>
      <c r="BW2373" s="2"/>
      <c r="BX2373" s="2"/>
      <c r="BY2373" s="2">
        <v>1200</v>
      </c>
      <c r="BZ2373" s="2"/>
      <c r="CA2373" s="2"/>
      <c r="CB2373" s="2"/>
      <c r="CC2373" s="2" t="s">
        <v>99</v>
      </c>
      <c r="CD2373" s="2">
        <v>6001</v>
      </c>
      <c r="CE2373" s="2" t="s">
        <v>108</v>
      </c>
      <c r="CF2373" s="5">
        <v>42670</v>
      </c>
      <c r="CG2373" s="2"/>
      <c r="CH2373" s="2"/>
      <c r="CI2373" s="2">
        <v>0</v>
      </c>
      <c r="CJ2373" s="2">
        <v>0</v>
      </c>
      <c r="CK2373" s="2">
        <v>21</v>
      </c>
      <c r="CL2373" s="2" t="s">
        <v>88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"FES1162509101"</f>
        <v>FES1162509101</v>
      </c>
      <c r="F2374" s="3">
        <v>42668</v>
      </c>
      <c r="G2374" s="2">
        <v>201704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98</v>
      </c>
      <c r="M2374" s="2" t="s">
        <v>99</v>
      </c>
      <c r="N2374" s="2" t="s">
        <v>190</v>
      </c>
      <c r="O2374" s="2" t="s">
        <v>96</v>
      </c>
      <c r="P2374" s="2" t="str">
        <f>"2170532258                    "</f>
        <v xml:space="preserve">2170532258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3.32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2</v>
      </c>
      <c r="BJ2374" s="2">
        <v>0.2</v>
      </c>
      <c r="BK2374" s="2">
        <v>2</v>
      </c>
      <c r="BL2374" s="2">
        <v>40.76</v>
      </c>
      <c r="BM2374" s="2">
        <v>5.71</v>
      </c>
      <c r="BN2374" s="2">
        <v>46.47</v>
      </c>
      <c r="BO2374" s="2">
        <v>46.47</v>
      </c>
      <c r="BP2374" s="2"/>
      <c r="BQ2374" s="2" t="s">
        <v>1034</v>
      </c>
      <c r="BR2374" s="2" t="s">
        <v>83</v>
      </c>
      <c r="BS2374" s="3">
        <v>42669</v>
      </c>
      <c r="BT2374" s="4">
        <v>0.28472222222222221</v>
      </c>
      <c r="BU2374" s="2" t="s">
        <v>2274</v>
      </c>
      <c r="BV2374" s="2" t="s">
        <v>85</v>
      </c>
      <c r="BW2374" s="2"/>
      <c r="BX2374" s="2"/>
      <c r="BY2374" s="2">
        <v>1200</v>
      </c>
      <c r="BZ2374" s="2"/>
      <c r="CA2374" s="2" t="s">
        <v>129</v>
      </c>
      <c r="CB2374" s="2"/>
      <c r="CC2374" s="2" t="s">
        <v>99</v>
      </c>
      <c r="CD2374" s="2">
        <v>6001</v>
      </c>
      <c r="CE2374" s="2" t="s">
        <v>108</v>
      </c>
      <c r="CF2374" s="5">
        <v>42670</v>
      </c>
      <c r="CG2374" s="2"/>
      <c r="CH2374" s="2"/>
      <c r="CI2374" s="2">
        <v>1</v>
      </c>
      <c r="CJ2374" s="2">
        <v>1</v>
      </c>
      <c r="CK2374" s="2">
        <v>21</v>
      </c>
      <c r="CL2374" s="2" t="s">
        <v>88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"FES1162509037"</f>
        <v>FES1162509037</v>
      </c>
      <c r="F2375" s="3">
        <v>42668</v>
      </c>
      <c r="G2375" s="2">
        <v>201704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98</v>
      </c>
      <c r="M2375" s="2" t="s">
        <v>99</v>
      </c>
      <c r="N2375" s="2" t="s">
        <v>1512</v>
      </c>
      <c r="O2375" s="2" t="s">
        <v>96</v>
      </c>
      <c r="P2375" s="2" t="str">
        <f>"2170530131                    "</f>
        <v xml:space="preserve">2170530131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9.9499999999999993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6</v>
      </c>
      <c r="BJ2375" s="2">
        <v>4.0999999999999996</v>
      </c>
      <c r="BK2375" s="2">
        <v>6</v>
      </c>
      <c r="BL2375" s="2">
        <v>122.27</v>
      </c>
      <c r="BM2375" s="2">
        <v>17.12</v>
      </c>
      <c r="BN2375" s="2">
        <v>139.38999999999999</v>
      </c>
      <c r="BO2375" s="2">
        <v>139.38999999999999</v>
      </c>
      <c r="BP2375" s="2"/>
      <c r="BQ2375" s="2"/>
      <c r="BR2375" s="2" t="s">
        <v>83</v>
      </c>
      <c r="BS2375" s="3">
        <v>42669</v>
      </c>
      <c r="BT2375" s="4">
        <v>0.4368055555555555</v>
      </c>
      <c r="BU2375" s="2" t="s">
        <v>2104</v>
      </c>
      <c r="BV2375" s="2" t="s">
        <v>85</v>
      </c>
      <c r="BW2375" s="2"/>
      <c r="BX2375" s="2"/>
      <c r="BY2375" s="2">
        <v>20358</v>
      </c>
      <c r="BZ2375" s="2"/>
      <c r="CA2375" s="2"/>
      <c r="CB2375" s="2"/>
      <c r="CC2375" s="2" t="s">
        <v>99</v>
      </c>
      <c r="CD2375" s="2">
        <v>6014</v>
      </c>
      <c r="CE2375" s="2" t="s">
        <v>86</v>
      </c>
      <c r="CF2375" s="5">
        <v>42670</v>
      </c>
      <c r="CG2375" s="2"/>
      <c r="CH2375" s="2"/>
      <c r="CI2375" s="2">
        <v>1</v>
      </c>
      <c r="CJ2375" s="2">
        <v>1</v>
      </c>
      <c r="CK2375" s="2">
        <v>21</v>
      </c>
      <c r="CL2375" s="2" t="s">
        <v>88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"FES1162509189"</f>
        <v>FES1162509189</v>
      </c>
      <c r="F2376" s="3">
        <v>42668</v>
      </c>
      <c r="G2376" s="2">
        <v>201704</v>
      </c>
      <c r="H2376" s="2" t="s">
        <v>74</v>
      </c>
      <c r="I2376" s="2" t="s">
        <v>75</v>
      </c>
      <c r="J2376" s="2" t="s">
        <v>76</v>
      </c>
      <c r="K2376" s="2" t="s">
        <v>77</v>
      </c>
      <c r="L2376" s="2" t="s">
        <v>98</v>
      </c>
      <c r="M2376" s="2" t="s">
        <v>99</v>
      </c>
      <c r="N2376" s="2" t="s">
        <v>2102</v>
      </c>
      <c r="O2376" s="2" t="s">
        <v>96</v>
      </c>
      <c r="P2376" s="2" t="str">
        <f>"2170532381                    "</f>
        <v xml:space="preserve">2170532381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3.32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0.1</v>
      </c>
      <c r="BJ2376" s="2">
        <v>1.4</v>
      </c>
      <c r="BK2376" s="2">
        <v>1.5</v>
      </c>
      <c r="BL2376" s="2">
        <v>40.76</v>
      </c>
      <c r="BM2376" s="2">
        <v>5.71</v>
      </c>
      <c r="BN2376" s="2">
        <v>46.47</v>
      </c>
      <c r="BO2376" s="2">
        <v>46.47</v>
      </c>
      <c r="BP2376" s="2"/>
      <c r="BQ2376" s="2" t="s">
        <v>1032</v>
      </c>
      <c r="BR2376" s="2" t="s">
        <v>83</v>
      </c>
      <c r="BS2376" s="3">
        <v>42669</v>
      </c>
      <c r="BT2376" s="4">
        <v>0.38541666666666669</v>
      </c>
      <c r="BU2376" s="2" t="s">
        <v>2322</v>
      </c>
      <c r="BV2376" s="2" t="s">
        <v>85</v>
      </c>
      <c r="BW2376" s="2"/>
      <c r="BX2376" s="2"/>
      <c r="BY2376" s="2">
        <v>6792.96</v>
      </c>
      <c r="BZ2376" s="2"/>
      <c r="CA2376" s="2"/>
      <c r="CB2376" s="2"/>
      <c r="CC2376" s="2" t="s">
        <v>99</v>
      </c>
      <c r="CD2376" s="2">
        <v>6001</v>
      </c>
      <c r="CE2376" s="2" t="s">
        <v>108</v>
      </c>
      <c r="CF2376" s="5">
        <v>42670</v>
      </c>
      <c r="CG2376" s="2"/>
      <c r="CH2376" s="2"/>
      <c r="CI2376" s="2">
        <v>1</v>
      </c>
      <c r="CJ2376" s="2">
        <v>1</v>
      </c>
      <c r="CK2376" s="2">
        <v>21</v>
      </c>
      <c r="CL2376" s="2" t="s">
        <v>88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"FES1162509055"</f>
        <v>FES1162509055</v>
      </c>
      <c r="F2377" s="3">
        <v>42668</v>
      </c>
      <c r="G2377" s="2">
        <v>201704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143</v>
      </c>
      <c r="M2377" s="2" t="s">
        <v>144</v>
      </c>
      <c r="N2377" s="2" t="s">
        <v>317</v>
      </c>
      <c r="O2377" s="2" t="s">
        <v>96</v>
      </c>
      <c r="P2377" s="2" t="str">
        <f>"2170531056                    "</f>
        <v xml:space="preserve">2170531056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3.32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0.5</v>
      </c>
      <c r="BJ2377" s="2">
        <v>0.2</v>
      </c>
      <c r="BK2377" s="2">
        <v>0.5</v>
      </c>
      <c r="BL2377" s="2">
        <v>40.76</v>
      </c>
      <c r="BM2377" s="2">
        <v>5.71</v>
      </c>
      <c r="BN2377" s="2">
        <v>46.47</v>
      </c>
      <c r="BO2377" s="2">
        <v>46.47</v>
      </c>
      <c r="BP2377" s="2"/>
      <c r="BQ2377" s="2" t="s">
        <v>318</v>
      </c>
      <c r="BR2377" s="2" t="s">
        <v>83</v>
      </c>
      <c r="BS2377" s="3">
        <v>42669</v>
      </c>
      <c r="BT2377" s="4">
        <v>0.41666666666666669</v>
      </c>
      <c r="BU2377" s="2" t="s">
        <v>539</v>
      </c>
      <c r="BV2377" s="2"/>
      <c r="BW2377" s="2"/>
      <c r="BX2377" s="2"/>
      <c r="BY2377" s="2">
        <v>1200</v>
      </c>
      <c r="BZ2377" s="2"/>
      <c r="CA2377" s="2"/>
      <c r="CB2377" s="2"/>
      <c r="CC2377" s="2" t="s">
        <v>144</v>
      </c>
      <c r="CD2377" s="2">
        <v>5200</v>
      </c>
      <c r="CE2377" s="2" t="s">
        <v>108</v>
      </c>
      <c r="CF2377" s="5">
        <v>42671</v>
      </c>
      <c r="CG2377" s="2"/>
      <c r="CH2377" s="2"/>
      <c r="CI2377" s="2">
        <v>0</v>
      </c>
      <c r="CJ2377" s="2">
        <v>0</v>
      </c>
      <c r="CK2377" s="2">
        <v>21</v>
      </c>
      <c r="CL2377" s="2" t="s">
        <v>88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"FES1162509183"</f>
        <v>FES1162509183</v>
      </c>
      <c r="F2378" s="3">
        <v>42668</v>
      </c>
      <c r="G2378" s="2">
        <v>201704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98</v>
      </c>
      <c r="M2378" s="2" t="s">
        <v>99</v>
      </c>
      <c r="N2378" s="2" t="s">
        <v>176</v>
      </c>
      <c r="O2378" s="2" t="s">
        <v>96</v>
      </c>
      <c r="P2378" s="2" t="str">
        <f>"2170532370                    "</f>
        <v xml:space="preserve">2170532370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3.32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1</v>
      </c>
      <c r="BJ2378" s="2">
        <v>0.2</v>
      </c>
      <c r="BK2378" s="2">
        <v>1</v>
      </c>
      <c r="BL2378" s="2">
        <v>40.76</v>
      </c>
      <c r="BM2378" s="2">
        <v>5.71</v>
      </c>
      <c r="BN2378" s="2">
        <v>46.47</v>
      </c>
      <c r="BO2378" s="2">
        <v>46.47</v>
      </c>
      <c r="BP2378" s="2"/>
      <c r="BQ2378" s="2" t="s">
        <v>91</v>
      </c>
      <c r="BR2378" s="2" t="s">
        <v>83</v>
      </c>
      <c r="BS2378" s="3">
        <v>42669</v>
      </c>
      <c r="BT2378" s="4">
        <v>0.3611111111111111</v>
      </c>
      <c r="BU2378" s="2" t="s">
        <v>2323</v>
      </c>
      <c r="BV2378" s="2" t="s">
        <v>85</v>
      </c>
      <c r="BW2378" s="2"/>
      <c r="BX2378" s="2"/>
      <c r="BY2378" s="2">
        <v>1200</v>
      </c>
      <c r="BZ2378" s="2"/>
      <c r="CA2378" s="2"/>
      <c r="CB2378" s="2"/>
      <c r="CC2378" s="2" t="s">
        <v>99</v>
      </c>
      <c r="CD2378" s="2">
        <v>6020</v>
      </c>
      <c r="CE2378" s="2" t="s">
        <v>108</v>
      </c>
      <c r="CF2378" s="5">
        <v>42670</v>
      </c>
      <c r="CG2378" s="2"/>
      <c r="CH2378" s="2"/>
      <c r="CI2378" s="2">
        <v>1</v>
      </c>
      <c r="CJ2378" s="2">
        <v>1</v>
      </c>
      <c r="CK2378" s="2">
        <v>21</v>
      </c>
      <c r="CL2378" s="2" t="s">
        <v>88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"FES1162509215"</f>
        <v>FES1162509215</v>
      </c>
      <c r="F2379" s="3">
        <v>42668</v>
      </c>
      <c r="G2379" s="2">
        <v>201704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98</v>
      </c>
      <c r="M2379" s="2" t="s">
        <v>99</v>
      </c>
      <c r="N2379" s="2" t="s">
        <v>190</v>
      </c>
      <c r="O2379" s="2" t="s">
        <v>96</v>
      </c>
      <c r="P2379" s="2" t="str">
        <f>"2170532413                    "</f>
        <v xml:space="preserve">2170532413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3.32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1</v>
      </c>
      <c r="BJ2379" s="2">
        <v>0.2</v>
      </c>
      <c r="BK2379" s="2">
        <v>1</v>
      </c>
      <c r="BL2379" s="2">
        <v>40.76</v>
      </c>
      <c r="BM2379" s="2">
        <v>5.71</v>
      </c>
      <c r="BN2379" s="2">
        <v>46.47</v>
      </c>
      <c r="BO2379" s="2">
        <v>46.47</v>
      </c>
      <c r="BP2379" s="2"/>
      <c r="BQ2379" s="2" t="s">
        <v>1034</v>
      </c>
      <c r="BR2379" s="2" t="s">
        <v>83</v>
      </c>
      <c r="BS2379" s="3">
        <v>42669</v>
      </c>
      <c r="BT2379" s="4">
        <v>0.33333333333333331</v>
      </c>
      <c r="BU2379" s="2" t="s">
        <v>2324</v>
      </c>
      <c r="BV2379" s="2" t="s">
        <v>85</v>
      </c>
      <c r="BW2379" s="2"/>
      <c r="BX2379" s="2"/>
      <c r="BY2379" s="2">
        <v>1200</v>
      </c>
      <c r="BZ2379" s="2"/>
      <c r="CA2379" s="2"/>
      <c r="CB2379" s="2"/>
      <c r="CC2379" s="2" t="s">
        <v>99</v>
      </c>
      <c r="CD2379" s="2">
        <v>6001</v>
      </c>
      <c r="CE2379" s="2" t="s">
        <v>108</v>
      </c>
      <c r="CF2379" s="5">
        <v>42670</v>
      </c>
      <c r="CG2379" s="2"/>
      <c r="CH2379" s="2"/>
      <c r="CI2379" s="2">
        <v>1</v>
      </c>
      <c r="CJ2379" s="2">
        <v>1</v>
      </c>
      <c r="CK2379" s="2">
        <v>21</v>
      </c>
      <c r="CL2379" s="2" t="s">
        <v>88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"FES1162509014"</f>
        <v>FES1162509014</v>
      </c>
      <c r="F2380" s="3">
        <v>42668</v>
      </c>
      <c r="G2380" s="2">
        <v>201704</v>
      </c>
      <c r="H2380" s="2" t="s">
        <v>74</v>
      </c>
      <c r="I2380" s="2" t="s">
        <v>75</v>
      </c>
      <c r="J2380" s="2" t="s">
        <v>76</v>
      </c>
      <c r="K2380" s="2" t="s">
        <v>77</v>
      </c>
      <c r="L2380" s="2" t="s">
        <v>114</v>
      </c>
      <c r="M2380" s="2" t="s">
        <v>115</v>
      </c>
      <c r="N2380" s="2" t="s">
        <v>116</v>
      </c>
      <c r="O2380" s="2" t="s">
        <v>96</v>
      </c>
      <c r="P2380" s="2" t="str">
        <f>"2170529610                    "</f>
        <v xml:space="preserve">2170529610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9.33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3</v>
      </c>
      <c r="BJ2380" s="2">
        <v>0.2</v>
      </c>
      <c r="BK2380" s="2">
        <v>3</v>
      </c>
      <c r="BL2380" s="2">
        <v>114.63</v>
      </c>
      <c r="BM2380" s="2">
        <v>16.05</v>
      </c>
      <c r="BN2380" s="2">
        <v>130.68</v>
      </c>
      <c r="BO2380" s="2">
        <v>130.68</v>
      </c>
      <c r="BP2380" s="2"/>
      <c r="BQ2380" s="2" t="s">
        <v>117</v>
      </c>
      <c r="BR2380" s="2" t="s">
        <v>83</v>
      </c>
      <c r="BS2380" s="3">
        <v>42669</v>
      </c>
      <c r="BT2380" s="4">
        <v>0.64583333333333337</v>
      </c>
      <c r="BU2380" s="2" t="s">
        <v>2325</v>
      </c>
      <c r="BV2380" s="2" t="s">
        <v>85</v>
      </c>
      <c r="BW2380" s="2"/>
      <c r="BX2380" s="2"/>
      <c r="BY2380" s="2">
        <v>1200</v>
      </c>
      <c r="BZ2380" s="2"/>
      <c r="CA2380" s="2"/>
      <c r="CB2380" s="2"/>
      <c r="CC2380" s="2" t="s">
        <v>115</v>
      </c>
      <c r="CD2380" s="2">
        <v>5850</v>
      </c>
      <c r="CE2380" s="2" t="s">
        <v>108</v>
      </c>
      <c r="CF2380" s="5">
        <v>42671</v>
      </c>
      <c r="CG2380" s="2"/>
      <c r="CH2380" s="2"/>
      <c r="CI2380" s="2">
        <v>3</v>
      </c>
      <c r="CJ2380" s="2">
        <v>1</v>
      </c>
      <c r="CK2380" s="2">
        <v>23</v>
      </c>
      <c r="CL2380" s="2" t="s">
        <v>88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"FES1162509121"</f>
        <v>FES1162509121</v>
      </c>
      <c r="F2381" s="3">
        <v>42668</v>
      </c>
      <c r="G2381" s="2">
        <v>201704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98</v>
      </c>
      <c r="M2381" s="2" t="s">
        <v>99</v>
      </c>
      <c r="N2381" s="2" t="s">
        <v>934</v>
      </c>
      <c r="O2381" s="2" t="s">
        <v>96</v>
      </c>
      <c r="P2381" s="2" t="str">
        <f>"2170532285                    "</f>
        <v xml:space="preserve">2170532285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3.32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0.2</v>
      </c>
      <c r="BJ2381" s="2">
        <v>1.1000000000000001</v>
      </c>
      <c r="BK2381" s="2">
        <v>1.5</v>
      </c>
      <c r="BL2381" s="2">
        <v>40.76</v>
      </c>
      <c r="BM2381" s="2">
        <v>5.71</v>
      </c>
      <c r="BN2381" s="2">
        <v>46.47</v>
      </c>
      <c r="BO2381" s="2">
        <v>46.47</v>
      </c>
      <c r="BP2381" s="2"/>
      <c r="BQ2381" s="2" t="s">
        <v>935</v>
      </c>
      <c r="BR2381" s="2" t="s">
        <v>83</v>
      </c>
      <c r="BS2381" s="3">
        <v>42669</v>
      </c>
      <c r="BT2381" s="4">
        <v>0.33333333333333331</v>
      </c>
      <c r="BU2381" s="2" t="s">
        <v>2326</v>
      </c>
      <c r="BV2381" s="2" t="s">
        <v>85</v>
      </c>
      <c r="BW2381" s="2"/>
      <c r="BX2381" s="2"/>
      <c r="BY2381" s="2">
        <v>5649.16</v>
      </c>
      <c r="BZ2381" s="2"/>
      <c r="CA2381" s="2" t="s">
        <v>129</v>
      </c>
      <c r="CB2381" s="2"/>
      <c r="CC2381" s="2" t="s">
        <v>99</v>
      </c>
      <c r="CD2381" s="2">
        <v>6001</v>
      </c>
      <c r="CE2381" s="2" t="s">
        <v>108</v>
      </c>
      <c r="CF2381" s="5">
        <v>42670</v>
      </c>
      <c r="CG2381" s="2"/>
      <c r="CH2381" s="2"/>
      <c r="CI2381" s="2">
        <v>1</v>
      </c>
      <c r="CJ2381" s="2">
        <v>1</v>
      </c>
      <c r="CK2381" s="2">
        <v>21</v>
      </c>
      <c r="CL2381" s="2" t="s">
        <v>88</v>
      </c>
      <c r="CM2381" s="2"/>
    </row>
    <row r="2382" spans="1:91">
      <c r="A2382" s="2" t="s">
        <v>71</v>
      </c>
      <c r="B2382" s="2" t="s">
        <v>72</v>
      </c>
      <c r="C2382" s="2" t="s">
        <v>73</v>
      </c>
      <c r="D2382" s="2"/>
      <c r="E2382" s="2" t="str">
        <f>"FES1162509099"</f>
        <v>FES1162509099</v>
      </c>
      <c r="F2382" s="3">
        <v>42668</v>
      </c>
      <c r="G2382" s="2">
        <v>201704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98</v>
      </c>
      <c r="M2382" s="2" t="s">
        <v>99</v>
      </c>
      <c r="N2382" s="2" t="s">
        <v>350</v>
      </c>
      <c r="O2382" s="2" t="s">
        <v>96</v>
      </c>
      <c r="P2382" s="2" t="str">
        <f>"2170532256                    "</f>
        <v xml:space="preserve">2170532256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5.81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2.4</v>
      </c>
      <c r="BJ2382" s="2">
        <v>3.4</v>
      </c>
      <c r="BK2382" s="2">
        <v>3.5</v>
      </c>
      <c r="BL2382" s="2">
        <v>71.33</v>
      </c>
      <c r="BM2382" s="2">
        <v>9.99</v>
      </c>
      <c r="BN2382" s="2">
        <v>81.319999999999993</v>
      </c>
      <c r="BO2382" s="2">
        <v>81.319999999999993</v>
      </c>
      <c r="BP2382" s="2"/>
      <c r="BQ2382" s="2" t="s">
        <v>351</v>
      </c>
      <c r="BR2382" s="2" t="s">
        <v>83</v>
      </c>
      <c r="BS2382" s="3">
        <v>42669</v>
      </c>
      <c r="BT2382" s="4">
        <v>0.41319444444444442</v>
      </c>
      <c r="BU2382" s="2" t="s">
        <v>600</v>
      </c>
      <c r="BV2382" s="2" t="s">
        <v>85</v>
      </c>
      <c r="BW2382" s="2"/>
      <c r="BX2382" s="2"/>
      <c r="BY2382" s="2">
        <v>16821.5</v>
      </c>
      <c r="BZ2382" s="2"/>
      <c r="CA2382" s="2"/>
      <c r="CB2382" s="2"/>
      <c r="CC2382" s="2" t="s">
        <v>99</v>
      </c>
      <c r="CD2382" s="2">
        <v>6001</v>
      </c>
      <c r="CE2382" s="2" t="s">
        <v>86</v>
      </c>
      <c r="CF2382" s="5">
        <v>42670</v>
      </c>
      <c r="CG2382" s="2"/>
      <c r="CH2382" s="2"/>
      <c r="CI2382" s="2">
        <v>1</v>
      </c>
      <c r="CJ2382" s="2">
        <v>1</v>
      </c>
      <c r="CK2382" s="2">
        <v>21</v>
      </c>
      <c r="CL2382" s="2" t="s">
        <v>88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"FES1162509098"</f>
        <v>FES1162509098</v>
      </c>
      <c r="F2383" s="3">
        <v>42668</v>
      </c>
      <c r="G2383" s="2">
        <v>201704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98</v>
      </c>
      <c r="M2383" s="2" t="s">
        <v>99</v>
      </c>
      <c r="N2383" s="2" t="s">
        <v>350</v>
      </c>
      <c r="O2383" s="2" t="s">
        <v>96</v>
      </c>
      <c r="P2383" s="2" t="str">
        <f>"2170532255                    "</f>
        <v xml:space="preserve">2170532255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5.81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1</v>
      </c>
      <c r="BI2383" s="2">
        <v>2.5</v>
      </c>
      <c r="BJ2383" s="2">
        <v>3.4</v>
      </c>
      <c r="BK2383" s="2">
        <v>3.5</v>
      </c>
      <c r="BL2383" s="2">
        <v>71.33</v>
      </c>
      <c r="BM2383" s="2">
        <v>9.99</v>
      </c>
      <c r="BN2383" s="2">
        <v>81.319999999999993</v>
      </c>
      <c r="BO2383" s="2">
        <v>81.319999999999993</v>
      </c>
      <c r="BP2383" s="2"/>
      <c r="BQ2383" s="2" t="s">
        <v>351</v>
      </c>
      <c r="BR2383" s="2" t="s">
        <v>83</v>
      </c>
      <c r="BS2383" s="3">
        <v>42669</v>
      </c>
      <c r="BT2383" s="4">
        <v>0.41319444444444442</v>
      </c>
      <c r="BU2383" s="2" t="s">
        <v>600</v>
      </c>
      <c r="BV2383" s="2" t="s">
        <v>85</v>
      </c>
      <c r="BW2383" s="2"/>
      <c r="BX2383" s="2"/>
      <c r="BY2383" s="2">
        <v>17118.95</v>
      </c>
      <c r="BZ2383" s="2"/>
      <c r="CA2383" s="2"/>
      <c r="CB2383" s="2"/>
      <c r="CC2383" s="2" t="s">
        <v>99</v>
      </c>
      <c r="CD2383" s="2">
        <v>6001</v>
      </c>
      <c r="CE2383" s="2" t="s">
        <v>86</v>
      </c>
      <c r="CF2383" s="5">
        <v>42670</v>
      </c>
      <c r="CG2383" s="2"/>
      <c r="CH2383" s="2"/>
      <c r="CI2383" s="2">
        <v>1</v>
      </c>
      <c r="CJ2383" s="2">
        <v>1</v>
      </c>
      <c r="CK2383" s="2">
        <v>21</v>
      </c>
      <c r="CL2383" s="2" t="s">
        <v>88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"FES1162509102"</f>
        <v>FES1162509102</v>
      </c>
      <c r="F2384" s="3">
        <v>42668</v>
      </c>
      <c r="G2384" s="2">
        <v>201704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98</v>
      </c>
      <c r="M2384" s="2" t="s">
        <v>99</v>
      </c>
      <c r="N2384" s="2" t="s">
        <v>104</v>
      </c>
      <c r="O2384" s="2" t="s">
        <v>96</v>
      </c>
      <c r="P2384" s="2" t="str">
        <f>"2170532259                    "</f>
        <v xml:space="preserve">2170532259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6.63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3.9</v>
      </c>
      <c r="BJ2384" s="2">
        <v>1.7</v>
      </c>
      <c r="BK2384" s="2">
        <v>4</v>
      </c>
      <c r="BL2384" s="2">
        <v>81.510000000000005</v>
      </c>
      <c r="BM2384" s="2">
        <v>11.41</v>
      </c>
      <c r="BN2384" s="2">
        <v>92.92</v>
      </c>
      <c r="BO2384" s="2">
        <v>92.92</v>
      </c>
      <c r="BP2384" s="2"/>
      <c r="BQ2384" s="2" t="s">
        <v>105</v>
      </c>
      <c r="BR2384" s="2" t="s">
        <v>83</v>
      </c>
      <c r="BS2384" s="3">
        <v>42669</v>
      </c>
      <c r="BT2384" s="4">
        <v>0.3743055555555555</v>
      </c>
      <c r="BU2384" s="2" t="s">
        <v>105</v>
      </c>
      <c r="BV2384" s="2" t="s">
        <v>85</v>
      </c>
      <c r="BW2384" s="2"/>
      <c r="BX2384" s="2"/>
      <c r="BY2384" s="2">
        <v>8355.1299999999992</v>
      </c>
      <c r="BZ2384" s="2"/>
      <c r="CA2384" s="2"/>
      <c r="CB2384" s="2"/>
      <c r="CC2384" s="2" t="s">
        <v>99</v>
      </c>
      <c r="CD2384" s="2">
        <v>6001</v>
      </c>
      <c r="CE2384" s="2" t="s">
        <v>86</v>
      </c>
      <c r="CF2384" s="5">
        <v>42670</v>
      </c>
      <c r="CG2384" s="2"/>
      <c r="CH2384" s="2"/>
      <c r="CI2384" s="2">
        <v>1</v>
      </c>
      <c r="CJ2384" s="2">
        <v>1</v>
      </c>
      <c r="CK2384" s="2">
        <v>21</v>
      </c>
      <c r="CL2384" s="2" t="s">
        <v>88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"FES1162509085"</f>
        <v>FES1162509085</v>
      </c>
      <c r="F2385" s="3">
        <v>42668</v>
      </c>
      <c r="G2385" s="2">
        <v>201704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119</v>
      </c>
      <c r="M2385" s="2" t="s">
        <v>120</v>
      </c>
      <c r="N2385" s="2" t="s">
        <v>121</v>
      </c>
      <c r="O2385" s="2" t="s">
        <v>96</v>
      </c>
      <c r="P2385" s="2" t="str">
        <f>"2170531887                    "</f>
        <v xml:space="preserve">2170531887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19.899999999999999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11.6</v>
      </c>
      <c r="BJ2385" s="2">
        <v>8.9</v>
      </c>
      <c r="BK2385" s="2">
        <v>12</v>
      </c>
      <c r="BL2385" s="2">
        <v>244.54</v>
      </c>
      <c r="BM2385" s="2">
        <v>34.24</v>
      </c>
      <c r="BN2385" s="2">
        <v>278.77999999999997</v>
      </c>
      <c r="BO2385" s="2">
        <v>278.77999999999997</v>
      </c>
      <c r="BP2385" s="2"/>
      <c r="BQ2385" s="2" t="s">
        <v>122</v>
      </c>
      <c r="BR2385" s="2" t="s">
        <v>83</v>
      </c>
      <c r="BS2385" s="3">
        <v>42669</v>
      </c>
      <c r="BT2385" s="4">
        <v>0.31527777777777777</v>
      </c>
      <c r="BU2385" s="2" t="s">
        <v>871</v>
      </c>
      <c r="BV2385" s="2" t="s">
        <v>85</v>
      </c>
      <c r="BW2385" s="2"/>
      <c r="BX2385" s="2"/>
      <c r="BY2385" s="2">
        <v>44368.63</v>
      </c>
      <c r="BZ2385" s="2"/>
      <c r="CA2385" s="2"/>
      <c r="CB2385" s="2"/>
      <c r="CC2385" s="2" t="s">
        <v>120</v>
      </c>
      <c r="CD2385" s="2">
        <v>6229</v>
      </c>
      <c r="CE2385" s="2" t="s">
        <v>86</v>
      </c>
      <c r="CF2385" s="5">
        <v>42670</v>
      </c>
      <c r="CG2385" s="2"/>
      <c r="CH2385" s="2"/>
      <c r="CI2385" s="2">
        <v>1</v>
      </c>
      <c r="CJ2385" s="2">
        <v>1</v>
      </c>
      <c r="CK2385" s="2">
        <v>21</v>
      </c>
      <c r="CL2385" s="2" t="s">
        <v>88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"FES1162509198"</f>
        <v>FES1162509198</v>
      </c>
      <c r="F2386" s="3">
        <v>42668</v>
      </c>
      <c r="G2386" s="2">
        <v>201704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98</v>
      </c>
      <c r="M2386" s="2" t="s">
        <v>99</v>
      </c>
      <c r="N2386" s="2" t="s">
        <v>109</v>
      </c>
      <c r="O2386" s="2" t="s">
        <v>96</v>
      </c>
      <c r="P2386" s="2" t="str">
        <f>"2170531105                    "</f>
        <v xml:space="preserve">2170531105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4.9800000000000004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2.6</v>
      </c>
      <c r="BJ2386" s="2">
        <v>1</v>
      </c>
      <c r="BK2386" s="2">
        <v>3</v>
      </c>
      <c r="BL2386" s="2">
        <v>61.14</v>
      </c>
      <c r="BM2386" s="2">
        <v>8.56</v>
      </c>
      <c r="BN2386" s="2">
        <v>69.7</v>
      </c>
      <c r="BO2386" s="2">
        <v>69.7</v>
      </c>
      <c r="BP2386" s="2"/>
      <c r="BQ2386" s="2" t="s">
        <v>110</v>
      </c>
      <c r="BR2386" s="2" t="s">
        <v>83</v>
      </c>
      <c r="BS2386" s="3">
        <v>42669</v>
      </c>
      <c r="BT2386" s="4">
        <v>0.38194444444444442</v>
      </c>
      <c r="BU2386" s="2" t="s">
        <v>2327</v>
      </c>
      <c r="BV2386" s="2" t="s">
        <v>85</v>
      </c>
      <c r="BW2386" s="2"/>
      <c r="BX2386" s="2"/>
      <c r="BY2386" s="2">
        <v>5208.1899999999996</v>
      </c>
      <c r="BZ2386" s="2"/>
      <c r="CA2386" s="2"/>
      <c r="CB2386" s="2"/>
      <c r="CC2386" s="2" t="s">
        <v>99</v>
      </c>
      <c r="CD2386" s="2">
        <v>6001</v>
      </c>
      <c r="CE2386" s="2" t="s">
        <v>86</v>
      </c>
      <c r="CF2386" s="5">
        <v>42670</v>
      </c>
      <c r="CG2386" s="2"/>
      <c r="CH2386" s="2"/>
      <c r="CI2386" s="2">
        <v>1</v>
      </c>
      <c r="CJ2386" s="2">
        <v>1</v>
      </c>
      <c r="CK2386" s="2">
        <v>21</v>
      </c>
      <c r="CL2386" s="2" t="s">
        <v>88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"FES1162508996"</f>
        <v>FES1162508996</v>
      </c>
      <c r="F2387" s="3">
        <v>42668</v>
      </c>
      <c r="G2387" s="2">
        <v>201704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137</v>
      </c>
      <c r="M2387" s="2" t="s">
        <v>138</v>
      </c>
      <c r="N2387" s="2" t="s">
        <v>526</v>
      </c>
      <c r="O2387" s="2" t="s">
        <v>96</v>
      </c>
      <c r="P2387" s="2" t="str">
        <f>"2170528757                    "</f>
        <v xml:space="preserve">2170528757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5.81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2.9</v>
      </c>
      <c r="BJ2387" s="2">
        <v>3.3</v>
      </c>
      <c r="BK2387" s="2">
        <v>3.5</v>
      </c>
      <c r="BL2387" s="2">
        <v>71.33</v>
      </c>
      <c r="BM2387" s="2">
        <v>9.99</v>
      </c>
      <c r="BN2387" s="2">
        <v>81.319999999999993</v>
      </c>
      <c r="BO2387" s="2">
        <v>81.319999999999993</v>
      </c>
      <c r="BP2387" s="2"/>
      <c r="BQ2387" s="2" t="s">
        <v>117</v>
      </c>
      <c r="BR2387" s="2" t="s">
        <v>83</v>
      </c>
      <c r="BS2387" s="3">
        <v>42669</v>
      </c>
      <c r="BT2387" s="4">
        <v>0.39583333333333331</v>
      </c>
      <c r="BU2387" s="2" t="s">
        <v>2328</v>
      </c>
      <c r="BV2387" s="2"/>
      <c r="BW2387" s="2"/>
      <c r="BX2387" s="2"/>
      <c r="BY2387" s="2">
        <v>16535.419999999998</v>
      </c>
      <c r="BZ2387" s="2"/>
      <c r="CA2387" s="2"/>
      <c r="CB2387" s="2"/>
      <c r="CC2387" s="2" t="s">
        <v>138</v>
      </c>
      <c r="CD2387" s="2">
        <v>3201</v>
      </c>
      <c r="CE2387" s="2" t="s">
        <v>86</v>
      </c>
      <c r="CF2387" s="5">
        <v>42670</v>
      </c>
      <c r="CG2387" s="2"/>
      <c r="CH2387" s="2"/>
      <c r="CI2387" s="2">
        <v>0</v>
      </c>
      <c r="CJ2387" s="2">
        <v>0</v>
      </c>
      <c r="CK2387" s="2">
        <v>21</v>
      </c>
      <c r="CL2387" s="2" t="s">
        <v>88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"FES1162509122"</f>
        <v>FES1162509122</v>
      </c>
      <c r="F2388" s="3">
        <v>42668</v>
      </c>
      <c r="G2388" s="2">
        <v>201704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160</v>
      </c>
      <c r="M2388" s="2" t="s">
        <v>161</v>
      </c>
      <c r="N2388" s="2" t="s">
        <v>179</v>
      </c>
      <c r="O2388" s="2" t="s">
        <v>96</v>
      </c>
      <c r="P2388" s="2" t="str">
        <f>"2170532286                    "</f>
        <v xml:space="preserve">2170532286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4.1500000000000004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0.6</v>
      </c>
      <c r="BJ2388" s="2">
        <v>2.5</v>
      </c>
      <c r="BK2388" s="2">
        <v>2.5</v>
      </c>
      <c r="BL2388" s="2">
        <v>50.95</v>
      </c>
      <c r="BM2388" s="2">
        <v>7.13</v>
      </c>
      <c r="BN2388" s="2">
        <v>58.08</v>
      </c>
      <c r="BO2388" s="2">
        <v>58.08</v>
      </c>
      <c r="BP2388" s="2"/>
      <c r="BQ2388" s="2" t="s">
        <v>180</v>
      </c>
      <c r="BR2388" s="2" t="s">
        <v>83</v>
      </c>
      <c r="BS2388" s="3">
        <v>42669</v>
      </c>
      <c r="BT2388" s="4">
        <v>0.41666666666666669</v>
      </c>
      <c r="BU2388" s="2" t="s">
        <v>2292</v>
      </c>
      <c r="BV2388" s="2" t="s">
        <v>85</v>
      </c>
      <c r="BW2388" s="2"/>
      <c r="BX2388" s="2"/>
      <c r="BY2388" s="2">
        <v>12398.86</v>
      </c>
      <c r="BZ2388" s="2"/>
      <c r="CA2388" s="2"/>
      <c r="CB2388" s="2"/>
      <c r="CC2388" s="2" t="s">
        <v>161</v>
      </c>
      <c r="CD2388" s="2">
        <v>7405</v>
      </c>
      <c r="CE2388" s="2" t="s">
        <v>108</v>
      </c>
      <c r="CF2388" s="5">
        <v>42670</v>
      </c>
      <c r="CG2388" s="2"/>
      <c r="CH2388" s="2"/>
      <c r="CI2388" s="2">
        <v>1</v>
      </c>
      <c r="CJ2388" s="2">
        <v>1</v>
      </c>
      <c r="CK2388" s="2">
        <v>21</v>
      </c>
      <c r="CL2388" s="2" t="s">
        <v>88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"FES1162509162"</f>
        <v>FES1162509162</v>
      </c>
      <c r="F2389" s="3">
        <v>42668</v>
      </c>
      <c r="G2389" s="2">
        <v>201704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160</v>
      </c>
      <c r="M2389" s="2" t="s">
        <v>161</v>
      </c>
      <c r="N2389" s="2" t="s">
        <v>1995</v>
      </c>
      <c r="O2389" s="2" t="s">
        <v>96</v>
      </c>
      <c r="P2389" s="2" t="str">
        <f>"2170532339                    "</f>
        <v xml:space="preserve">2170532339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3.32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1</v>
      </c>
      <c r="BJ2389" s="2">
        <v>0.2</v>
      </c>
      <c r="BK2389" s="2">
        <v>1</v>
      </c>
      <c r="BL2389" s="2">
        <v>40.76</v>
      </c>
      <c r="BM2389" s="2">
        <v>5.71</v>
      </c>
      <c r="BN2389" s="2">
        <v>46.47</v>
      </c>
      <c r="BO2389" s="2">
        <v>46.47</v>
      </c>
      <c r="BP2389" s="2"/>
      <c r="BQ2389" s="2" t="s">
        <v>1996</v>
      </c>
      <c r="BR2389" s="2" t="s">
        <v>83</v>
      </c>
      <c r="BS2389" s="3">
        <v>42669</v>
      </c>
      <c r="BT2389" s="4">
        <v>0.41666666666666669</v>
      </c>
      <c r="BU2389" s="2" t="s">
        <v>2283</v>
      </c>
      <c r="BV2389" s="2" t="s">
        <v>85</v>
      </c>
      <c r="BW2389" s="2"/>
      <c r="BX2389" s="2"/>
      <c r="BY2389" s="2">
        <v>1200</v>
      </c>
      <c r="BZ2389" s="2"/>
      <c r="CA2389" s="2"/>
      <c r="CB2389" s="2"/>
      <c r="CC2389" s="2" t="s">
        <v>161</v>
      </c>
      <c r="CD2389" s="2">
        <v>7460</v>
      </c>
      <c r="CE2389" s="2" t="s">
        <v>108</v>
      </c>
      <c r="CF2389" s="5">
        <v>42670</v>
      </c>
      <c r="CG2389" s="2"/>
      <c r="CH2389" s="2"/>
      <c r="CI2389" s="2">
        <v>1</v>
      </c>
      <c r="CJ2389" s="2">
        <v>1</v>
      </c>
      <c r="CK2389" s="2">
        <v>21</v>
      </c>
      <c r="CL2389" s="2" t="s">
        <v>88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"FES1162509010"</f>
        <v>FES1162509010</v>
      </c>
      <c r="F2390" s="3">
        <v>42668</v>
      </c>
      <c r="G2390" s="2">
        <v>201704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160</v>
      </c>
      <c r="M2390" s="2" t="s">
        <v>161</v>
      </c>
      <c r="N2390" s="2" t="s">
        <v>1588</v>
      </c>
      <c r="O2390" s="2" t="s">
        <v>96</v>
      </c>
      <c r="P2390" s="2" t="str">
        <f>"2170529505                    "</f>
        <v xml:space="preserve">2170529505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3.32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0.2</v>
      </c>
      <c r="BJ2390" s="2">
        <v>1.1000000000000001</v>
      </c>
      <c r="BK2390" s="2">
        <v>1.5</v>
      </c>
      <c r="BL2390" s="2">
        <v>40.76</v>
      </c>
      <c r="BM2390" s="2">
        <v>5.71</v>
      </c>
      <c r="BN2390" s="2">
        <v>46.47</v>
      </c>
      <c r="BO2390" s="2">
        <v>46.47</v>
      </c>
      <c r="BP2390" s="2"/>
      <c r="BQ2390" s="2" t="s">
        <v>1589</v>
      </c>
      <c r="BR2390" s="2" t="s">
        <v>83</v>
      </c>
      <c r="BS2390" s="3">
        <v>42669</v>
      </c>
      <c r="BT2390" s="4">
        <v>0.4375</v>
      </c>
      <c r="BU2390" s="2" t="s">
        <v>949</v>
      </c>
      <c r="BV2390" s="2" t="s">
        <v>85</v>
      </c>
      <c r="BW2390" s="2"/>
      <c r="BX2390" s="2"/>
      <c r="BY2390" s="2">
        <v>5261.02</v>
      </c>
      <c r="BZ2390" s="2"/>
      <c r="CA2390" s="2"/>
      <c r="CB2390" s="2"/>
      <c r="CC2390" s="2" t="s">
        <v>161</v>
      </c>
      <c r="CD2390" s="2">
        <v>7945</v>
      </c>
      <c r="CE2390" s="2" t="s">
        <v>108</v>
      </c>
      <c r="CF2390" s="5">
        <v>42670</v>
      </c>
      <c r="CG2390" s="2"/>
      <c r="CH2390" s="2"/>
      <c r="CI2390" s="2">
        <v>1</v>
      </c>
      <c r="CJ2390" s="2">
        <v>1</v>
      </c>
      <c r="CK2390" s="2">
        <v>21</v>
      </c>
      <c r="CL2390" s="2" t="s">
        <v>88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"FES1162509082"</f>
        <v>FES1162509082</v>
      </c>
      <c r="F2391" s="3">
        <v>42668</v>
      </c>
      <c r="G2391" s="2">
        <v>201704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160</v>
      </c>
      <c r="M2391" s="2" t="s">
        <v>161</v>
      </c>
      <c r="N2391" s="2" t="s">
        <v>420</v>
      </c>
      <c r="O2391" s="2" t="s">
        <v>96</v>
      </c>
      <c r="P2391" s="2" t="str">
        <f>"2170531682                    "</f>
        <v xml:space="preserve">2170531682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3.32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1</v>
      </c>
      <c r="BJ2391" s="2">
        <v>0.2</v>
      </c>
      <c r="BK2391" s="2">
        <v>1</v>
      </c>
      <c r="BL2391" s="2">
        <v>40.76</v>
      </c>
      <c r="BM2391" s="2">
        <v>5.71</v>
      </c>
      <c r="BN2391" s="2">
        <v>46.47</v>
      </c>
      <c r="BO2391" s="2">
        <v>46.47</v>
      </c>
      <c r="BP2391" s="2"/>
      <c r="BQ2391" s="2" t="s">
        <v>1501</v>
      </c>
      <c r="BR2391" s="2" t="s">
        <v>83</v>
      </c>
      <c r="BS2391" s="3">
        <v>42669</v>
      </c>
      <c r="BT2391" s="4">
        <v>0.39652777777777781</v>
      </c>
      <c r="BU2391" s="2" t="s">
        <v>2309</v>
      </c>
      <c r="BV2391" s="2" t="s">
        <v>85</v>
      </c>
      <c r="BW2391" s="2"/>
      <c r="BX2391" s="2"/>
      <c r="BY2391" s="2">
        <v>1200</v>
      </c>
      <c r="BZ2391" s="2"/>
      <c r="CA2391" s="2" t="s">
        <v>129</v>
      </c>
      <c r="CB2391" s="2"/>
      <c r="CC2391" s="2" t="s">
        <v>161</v>
      </c>
      <c r="CD2391" s="2">
        <v>7560</v>
      </c>
      <c r="CE2391" s="2" t="s">
        <v>108</v>
      </c>
      <c r="CF2391" s="5">
        <v>42670</v>
      </c>
      <c r="CG2391" s="2"/>
      <c r="CH2391" s="2"/>
      <c r="CI2391" s="2">
        <v>1</v>
      </c>
      <c r="CJ2391" s="2">
        <v>1</v>
      </c>
      <c r="CK2391" s="2">
        <v>21</v>
      </c>
      <c r="CL2391" s="2" t="s">
        <v>88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"FES1162509024"</f>
        <v>FES1162509024</v>
      </c>
      <c r="F2392" s="3">
        <v>42668</v>
      </c>
      <c r="G2392" s="2">
        <v>201704</v>
      </c>
      <c r="H2392" s="2" t="s">
        <v>74</v>
      </c>
      <c r="I2392" s="2" t="s">
        <v>75</v>
      </c>
      <c r="J2392" s="2" t="s">
        <v>76</v>
      </c>
      <c r="K2392" s="2" t="s">
        <v>77</v>
      </c>
      <c r="L2392" s="2" t="s">
        <v>160</v>
      </c>
      <c r="M2392" s="2" t="s">
        <v>161</v>
      </c>
      <c r="N2392" s="2" t="s">
        <v>176</v>
      </c>
      <c r="O2392" s="2" t="s">
        <v>96</v>
      </c>
      <c r="P2392" s="2" t="str">
        <f>"2170529934                    "</f>
        <v xml:space="preserve">2170529934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3.32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1</v>
      </c>
      <c r="BJ2392" s="2">
        <v>0.2</v>
      </c>
      <c r="BK2392" s="2">
        <v>1</v>
      </c>
      <c r="BL2392" s="2">
        <v>40.76</v>
      </c>
      <c r="BM2392" s="2">
        <v>5.71</v>
      </c>
      <c r="BN2392" s="2">
        <v>46.47</v>
      </c>
      <c r="BO2392" s="2">
        <v>46.47</v>
      </c>
      <c r="BP2392" s="2"/>
      <c r="BQ2392" s="2" t="s">
        <v>177</v>
      </c>
      <c r="BR2392" s="2" t="s">
        <v>83</v>
      </c>
      <c r="BS2392" s="3">
        <v>42669</v>
      </c>
      <c r="BT2392" s="4">
        <v>0.4201388888888889</v>
      </c>
      <c r="BU2392" s="2" t="s">
        <v>178</v>
      </c>
      <c r="BV2392" s="2" t="s">
        <v>85</v>
      </c>
      <c r="BW2392" s="2"/>
      <c r="BX2392" s="2"/>
      <c r="BY2392" s="2">
        <v>1200</v>
      </c>
      <c r="BZ2392" s="2"/>
      <c r="CA2392" s="2"/>
      <c r="CB2392" s="2"/>
      <c r="CC2392" s="2" t="s">
        <v>161</v>
      </c>
      <c r="CD2392" s="2">
        <v>7530</v>
      </c>
      <c r="CE2392" s="2" t="s">
        <v>108</v>
      </c>
      <c r="CF2392" s="5">
        <v>42670</v>
      </c>
      <c r="CG2392" s="2"/>
      <c r="CH2392" s="2"/>
      <c r="CI2392" s="2">
        <v>1</v>
      </c>
      <c r="CJ2392" s="2">
        <v>1</v>
      </c>
      <c r="CK2392" s="2">
        <v>21</v>
      </c>
      <c r="CL2392" s="2" t="s">
        <v>88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"FES1162509046"</f>
        <v>FES1162509046</v>
      </c>
      <c r="F2393" s="3">
        <v>42668</v>
      </c>
      <c r="G2393" s="2">
        <v>201704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148</v>
      </c>
      <c r="M2393" s="2" t="s">
        <v>149</v>
      </c>
      <c r="N2393" s="2" t="s">
        <v>473</v>
      </c>
      <c r="O2393" s="2" t="s">
        <v>96</v>
      </c>
      <c r="P2393" s="2" t="str">
        <f>"2170530193                    "</f>
        <v xml:space="preserve">2170530193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3.32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</v>
      </c>
      <c r="BJ2393" s="2">
        <v>0.2</v>
      </c>
      <c r="BK2393" s="2">
        <v>1</v>
      </c>
      <c r="BL2393" s="2">
        <v>40.76</v>
      </c>
      <c r="BM2393" s="2">
        <v>5.71</v>
      </c>
      <c r="BN2393" s="2">
        <v>46.47</v>
      </c>
      <c r="BO2393" s="2">
        <v>46.47</v>
      </c>
      <c r="BP2393" s="2"/>
      <c r="BQ2393" s="2" t="s">
        <v>117</v>
      </c>
      <c r="BR2393" s="2" t="s">
        <v>83</v>
      </c>
      <c r="BS2393" s="3">
        <v>42669</v>
      </c>
      <c r="BT2393" s="4">
        <v>0.4375</v>
      </c>
      <c r="BU2393" s="2" t="s">
        <v>367</v>
      </c>
      <c r="BV2393" s="2" t="s">
        <v>85</v>
      </c>
      <c r="BW2393" s="2"/>
      <c r="BX2393" s="2"/>
      <c r="BY2393" s="2">
        <v>1200</v>
      </c>
      <c r="BZ2393" s="2"/>
      <c r="CA2393" s="2"/>
      <c r="CB2393" s="2"/>
      <c r="CC2393" s="2" t="s">
        <v>149</v>
      </c>
      <c r="CD2393" s="2">
        <v>4052</v>
      </c>
      <c r="CE2393" s="2" t="s">
        <v>108</v>
      </c>
      <c r="CF2393" s="5">
        <v>42670</v>
      </c>
      <c r="CG2393" s="2"/>
      <c r="CH2393" s="2"/>
      <c r="CI2393" s="2">
        <v>1</v>
      </c>
      <c r="CJ2393" s="2">
        <v>1</v>
      </c>
      <c r="CK2393" s="2">
        <v>21</v>
      </c>
      <c r="CL2393" s="2" t="s">
        <v>88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"FES1162508979"</f>
        <v>FES1162508979</v>
      </c>
      <c r="F2394" s="3">
        <v>42668</v>
      </c>
      <c r="G2394" s="2">
        <v>201704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823</v>
      </c>
      <c r="M2394" s="2" t="s">
        <v>824</v>
      </c>
      <c r="N2394" s="2" t="s">
        <v>825</v>
      </c>
      <c r="O2394" s="2" t="s">
        <v>81</v>
      </c>
      <c r="P2394" s="2" t="str">
        <f>"2170532248                    "</f>
        <v xml:space="preserve">2170532248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6.79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6.4</v>
      </c>
      <c r="BJ2394" s="2">
        <v>4.4000000000000004</v>
      </c>
      <c r="BK2394" s="2">
        <v>7</v>
      </c>
      <c r="BL2394" s="2">
        <v>88.43</v>
      </c>
      <c r="BM2394" s="2">
        <v>12.38</v>
      </c>
      <c r="BN2394" s="2">
        <v>100.81</v>
      </c>
      <c r="BO2394" s="2">
        <v>100.81</v>
      </c>
      <c r="BP2394" s="2"/>
      <c r="BQ2394" s="2" t="s">
        <v>91</v>
      </c>
      <c r="BR2394" s="2" t="s">
        <v>83</v>
      </c>
      <c r="BS2394" s="3">
        <v>42669</v>
      </c>
      <c r="BT2394" s="4">
        <v>0.41666666666666669</v>
      </c>
      <c r="BU2394" s="2" t="s">
        <v>2044</v>
      </c>
      <c r="BV2394" s="2"/>
      <c r="BW2394" s="2"/>
      <c r="BX2394" s="2"/>
      <c r="BY2394" s="2">
        <v>21874.28</v>
      </c>
      <c r="BZ2394" s="2"/>
      <c r="CA2394" s="2"/>
      <c r="CB2394" s="2"/>
      <c r="CC2394" s="2" t="s">
        <v>824</v>
      </c>
      <c r="CD2394" s="2">
        <v>2410</v>
      </c>
      <c r="CE2394" s="2" t="s">
        <v>368</v>
      </c>
      <c r="CF2394" s="5">
        <v>42671</v>
      </c>
      <c r="CG2394" s="2"/>
      <c r="CH2394" s="2"/>
      <c r="CI2394" s="2">
        <v>0</v>
      </c>
      <c r="CJ2394" s="2">
        <v>0</v>
      </c>
      <c r="CK2394" s="2" t="s">
        <v>1063</v>
      </c>
      <c r="CL2394" s="2" t="s">
        <v>88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"FES1162509084"</f>
        <v>FES1162509084</v>
      </c>
      <c r="F2395" s="3">
        <v>42668</v>
      </c>
      <c r="G2395" s="2">
        <v>201704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676</v>
      </c>
      <c r="M2395" s="2" t="s">
        <v>677</v>
      </c>
      <c r="N2395" s="2" t="s">
        <v>989</v>
      </c>
      <c r="O2395" s="2" t="s">
        <v>81</v>
      </c>
      <c r="P2395" s="2" t="str">
        <f>"2170531763                    "</f>
        <v xml:space="preserve">2170531763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8.0399999999999991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2</v>
      </c>
      <c r="BI2395" s="2">
        <v>22.5</v>
      </c>
      <c r="BJ2395" s="2">
        <v>17.600000000000001</v>
      </c>
      <c r="BK2395" s="2">
        <v>23</v>
      </c>
      <c r="BL2395" s="2">
        <v>103.8</v>
      </c>
      <c r="BM2395" s="2">
        <v>14.53</v>
      </c>
      <c r="BN2395" s="2">
        <v>118.33</v>
      </c>
      <c r="BO2395" s="2">
        <v>118.33</v>
      </c>
      <c r="BP2395" s="2"/>
      <c r="BQ2395" s="2" t="s">
        <v>2329</v>
      </c>
      <c r="BR2395" s="2" t="s">
        <v>83</v>
      </c>
      <c r="BS2395" s="3">
        <v>42669</v>
      </c>
      <c r="BT2395" s="4">
        <v>0.54166666666666663</v>
      </c>
      <c r="BU2395" s="2" t="s">
        <v>2330</v>
      </c>
      <c r="BV2395" s="2" t="s">
        <v>85</v>
      </c>
      <c r="BW2395" s="2"/>
      <c r="BX2395" s="2"/>
      <c r="BY2395" s="2">
        <v>88061.24</v>
      </c>
      <c r="BZ2395" s="2"/>
      <c r="CA2395" s="2"/>
      <c r="CB2395" s="2"/>
      <c r="CC2395" s="2" t="s">
        <v>677</v>
      </c>
      <c r="CD2395" s="2">
        <v>1779</v>
      </c>
      <c r="CE2395" s="2" t="s">
        <v>86</v>
      </c>
      <c r="CF2395" s="5">
        <v>42670</v>
      </c>
      <c r="CG2395" s="2"/>
      <c r="CH2395" s="2"/>
      <c r="CI2395" s="2">
        <v>1</v>
      </c>
      <c r="CJ2395" s="2">
        <v>1</v>
      </c>
      <c r="CK2395" s="2" t="s">
        <v>366</v>
      </c>
      <c r="CL2395" s="2" t="s">
        <v>88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"FES1162509086"</f>
        <v>FES1162509086</v>
      </c>
      <c r="F2396" s="3">
        <v>42668</v>
      </c>
      <c r="G2396" s="2">
        <v>201704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160</v>
      </c>
      <c r="M2396" s="2" t="s">
        <v>161</v>
      </c>
      <c r="N2396" s="2" t="s">
        <v>420</v>
      </c>
      <c r="O2396" s="2" t="s">
        <v>96</v>
      </c>
      <c r="P2396" s="2" t="str">
        <f>"2170531919                    "</f>
        <v xml:space="preserve">2170531919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3.32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0.5</v>
      </c>
      <c r="BJ2396" s="2">
        <v>0.2</v>
      </c>
      <c r="BK2396" s="2">
        <v>0.5</v>
      </c>
      <c r="BL2396" s="2">
        <v>40.76</v>
      </c>
      <c r="BM2396" s="2">
        <v>5.71</v>
      </c>
      <c r="BN2396" s="2">
        <v>46.47</v>
      </c>
      <c r="BO2396" s="2">
        <v>46.47</v>
      </c>
      <c r="BP2396" s="2"/>
      <c r="BQ2396" s="2" t="s">
        <v>1501</v>
      </c>
      <c r="BR2396" s="2" t="s">
        <v>83</v>
      </c>
      <c r="BS2396" s="3">
        <v>42669</v>
      </c>
      <c r="BT2396" s="4">
        <v>0.39652777777777781</v>
      </c>
      <c r="BU2396" s="2" t="s">
        <v>2309</v>
      </c>
      <c r="BV2396" s="2" t="s">
        <v>85</v>
      </c>
      <c r="BW2396" s="2"/>
      <c r="BX2396" s="2"/>
      <c r="BY2396" s="2">
        <v>1200</v>
      </c>
      <c r="BZ2396" s="2"/>
      <c r="CA2396" s="2" t="s">
        <v>129</v>
      </c>
      <c r="CB2396" s="2"/>
      <c r="CC2396" s="2" t="s">
        <v>161</v>
      </c>
      <c r="CD2396" s="2">
        <v>7560</v>
      </c>
      <c r="CE2396" s="2" t="s">
        <v>108</v>
      </c>
      <c r="CF2396" s="5">
        <v>42670</v>
      </c>
      <c r="CG2396" s="2"/>
      <c r="CH2396" s="2"/>
      <c r="CI2396" s="2">
        <v>1</v>
      </c>
      <c r="CJ2396" s="2">
        <v>1</v>
      </c>
      <c r="CK2396" s="2">
        <v>21</v>
      </c>
      <c r="CL2396" s="2" t="s">
        <v>88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"FES1162508975"</f>
        <v>FES1162508975</v>
      </c>
      <c r="F2397" s="3">
        <v>42668</v>
      </c>
      <c r="G2397" s="2">
        <v>201704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160</v>
      </c>
      <c r="M2397" s="2" t="s">
        <v>161</v>
      </c>
      <c r="N2397" s="2" t="s">
        <v>2331</v>
      </c>
      <c r="O2397" s="2" t="s">
        <v>96</v>
      </c>
      <c r="P2397" s="2" t="str">
        <f>"2170532242                    "</f>
        <v xml:space="preserve">2170532242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3.32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0.5</v>
      </c>
      <c r="BJ2397" s="2">
        <v>0.2</v>
      </c>
      <c r="BK2397" s="2">
        <v>0.5</v>
      </c>
      <c r="BL2397" s="2">
        <v>40.76</v>
      </c>
      <c r="BM2397" s="2">
        <v>5.71</v>
      </c>
      <c r="BN2397" s="2">
        <v>46.47</v>
      </c>
      <c r="BO2397" s="2">
        <v>46.47</v>
      </c>
      <c r="BP2397" s="2"/>
      <c r="BQ2397" s="2" t="s">
        <v>91</v>
      </c>
      <c r="BR2397" s="2" t="s">
        <v>83</v>
      </c>
      <c r="BS2397" s="3">
        <v>42669</v>
      </c>
      <c r="BT2397" s="4">
        <v>0.3527777777777778</v>
      </c>
      <c r="BU2397" s="2" t="s">
        <v>2332</v>
      </c>
      <c r="BV2397" s="2" t="s">
        <v>85</v>
      </c>
      <c r="BW2397" s="2"/>
      <c r="BX2397" s="2"/>
      <c r="BY2397" s="2">
        <v>1200</v>
      </c>
      <c r="BZ2397" s="2"/>
      <c r="CA2397" s="2" t="s">
        <v>229</v>
      </c>
      <c r="CB2397" s="2"/>
      <c r="CC2397" s="2" t="s">
        <v>161</v>
      </c>
      <c r="CD2397" s="2">
        <v>7460</v>
      </c>
      <c r="CE2397" s="2" t="s">
        <v>108</v>
      </c>
      <c r="CF2397" s="5">
        <v>42669</v>
      </c>
      <c r="CG2397" s="2"/>
      <c r="CH2397" s="2"/>
      <c r="CI2397" s="2">
        <v>1</v>
      </c>
      <c r="CJ2397" s="2">
        <v>1</v>
      </c>
      <c r="CK2397" s="2">
        <v>21</v>
      </c>
      <c r="CL2397" s="2" t="s">
        <v>88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"FES1162509243"</f>
        <v>FES1162509243</v>
      </c>
      <c r="F2398" s="3">
        <v>42668</v>
      </c>
      <c r="G2398" s="2">
        <v>201704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98</v>
      </c>
      <c r="M2398" s="2" t="s">
        <v>99</v>
      </c>
      <c r="N2398" s="2" t="s">
        <v>1752</v>
      </c>
      <c r="O2398" s="2" t="s">
        <v>96</v>
      </c>
      <c r="P2398" s="2" t="str">
        <f>"2170532449                    "</f>
        <v xml:space="preserve">2170532449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3.32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1.3</v>
      </c>
      <c r="BJ2398" s="2">
        <v>2</v>
      </c>
      <c r="BK2398" s="2">
        <v>2</v>
      </c>
      <c r="BL2398" s="2">
        <v>40.76</v>
      </c>
      <c r="BM2398" s="2">
        <v>5.71</v>
      </c>
      <c r="BN2398" s="2">
        <v>46.47</v>
      </c>
      <c r="BO2398" s="2">
        <v>46.47</v>
      </c>
      <c r="BP2398" s="2"/>
      <c r="BQ2398" s="2" t="s">
        <v>91</v>
      </c>
      <c r="BR2398" s="2" t="s">
        <v>83</v>
      </c>
      <c r="BS2398" s="3">
        <v>42669</v>
      </c>
      <c r="BT2398" s="4">
        <v>0.40972222222222227</v>
      </c>
      <c r="BU2398" s="2" t="s">
        <v>2274</v>
      </c>
      <c r="BV2398" s="2" t="s">
        <v>85</v>
      </c>
      <c r="BW2398" s="2"/>
      <c r="BX2398" s="2"/>
      <c r="BY2398" s="2">
        <v>9850.9699999999993</v>
      </c>
      <c r="BZ2398" s="2"/>
      <c r="CA2398" s="2" t="s">
        <v>129</v>
      </c>
      <c r="CB2398" s="2"/>
      <c r="CC2398" s="2" t="s">
        <v>99</v>
      </c>
      <c r="CD2398" s="2">
        <v>6045</v>
      </c>
      <c r="CE2398" s="2" t="s">
        <v>108</v>
      </c>
      <c r="CF2398" s="5">
        <v>42670</v>
      </c>
      <c r="CG2398" s="2"/>
      <c r="CH2398" s="2"/>
      <c r="CI2398" s="2">
        <v>1</v>
      </c>
      <c r="CJ2398" s="2">
        <v>1</v>
      </c>
      <c r="CK2398" s="2">
        <v>21</v>
      </c>
      <c r="CL2398" s="2" t="s">
        <v>88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"FES1162509120"</f>
        <v>FES1162509120</v>
      </c>
      <c r="F2399" s="3">
        <v>42668</v>
      </c>
      <c r="G2399" s="2">
        <v>201704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160</v>
      </c>
      <c r="M2399" s="2" t="s">
        <v>161</v>
      </c>
      <c r="N2399" s="2" t="s">
        <v>179</v>
      </c>
      <c r="O2399" s="2" t="s">
        <v>96</v>
      </c>
      <c r="P2399" s="2" t="str">
        <f>"2170532284                    "</f>
        <v xml:space="preserve">2170532284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3.32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0.5</v>
      </c>
      <c r="BJ2399" s="2">
        <v>0.2</v>
      </c>
      <c r="BK2399" s="2">
        <v>0.5</v>
      </c>
      <c r="BL2399" s="2">
        <v>40.76</v>
      </c>
      <c r="BM2399" s="2">
        <v>5.71</v>
      </c>
      <c r="BN2399" s="2">
        <v>46.47</v>
      </c>
      <c r="BO2399" s="2">
        <v>46.47</v>
      </c>
      <c r="BP2399" s="2"/>
      <c r="BQ2399" s="2" t="s">
        <v>180</v>
      </c>
      <c r="BR2399" s="2" t="s">
        <v>83</v>
      </c>
      <c r="BS2399" s="3">
        <v>42669</v>
      </c>
      <c r="BT2399" s="4">
        <v>0.41666666666666669</v>
      </c>
      <c r="BU2399" s="2" t="s">
        <v>2292</v>
      </c>
      <c r="BV2399" s="2" t="s">
        <v>85</v>
      </c>
      <c r="BW2399" s="2"/>
      <c r="BX2399" s="2"/>
      <c r="BY2399" s="2">
        <v>1200</v>
      </c>
      <c r="BZ2399" s="2"/>
      <c r="CA2399" s="2"/>
      <c r="CB2399" s="2"/>
      <c r="CC2399" s="2" t="s">
        <v>161</v>
      </c>
      <c r="CD2399" s="2">
        <v>7405</v>
      </c>
      <c r="CE2399" s="2" t="s">
        <v>108</v>
      </c>
      <c r="CF2399" s="5">
        <v>42670</v>
      </c>
      <c r="CG2399" s="2"/>
      <c r="CH2399" s="2"/>
      <c r="CI2399" s="2">
        <v>1</v>
      </c>
      <c r="CJ2399" s="2">
        <v>1</v>
      </c>
      <c r="CK2399" s="2">
        <v>21</v>
      </c>
      <c r="CL2399" s="2" t="s">
        <v>88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"FES1162509142"</f>
        <v>FES1162509142</v>
      </c>
      <c r="F2400" s="3">
        <v>42668</v>
      </c>
      <c r="G2400" s="2">
        <v>201704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137</v>
      </c>
      <c r="M2400" s="2" t="s">
        <v>138</v>
      </c>
      <c r="N2400" s="2" t="s">
        <v>420</v>
      </c>
      <c r="O2400" s="2" t="s">
        <v>96</v>
      </c>
      <c r="P2400" s="2" t="str">
        <f>"2170532277                    "</f>
        <v xml:space="preserve">2170532277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15.76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5.6</v>
      </c>
      <c r="BJ2400" s="2">
        <v>9.1999999999999993</v>
      </c>
      <c r="BK2400" s="2">
        <v>9.5</v>
      </c>
      <c r="BL2400" s="2">
        <v>193.6</v>
      </c>
      <c r="BM2400" s="2">
        <v>27.1</v>
      </c>
      <c r="BN2400" s="2">
        <v>220.7</v>
      </c>
      <c r="BO2400" s="2">
        <v>220.7</v>
      </c>
      <c r="BP2400" s="2"/>
      <c r="BQ2400" s="2" t="s">
        <v>117</v>
      </c>
      <c r="BR2400" s="2" t="s">
        <v>83</v>
      </c>
      <c r="BS2400" s="3">
        <v>42669</v>
      </c>
      <c r="BT2400" s="4">
        <v>0.3756944444444445</v>
      </c>
      <c r="BU2400" s="2" t="s">
        <v>720</v>
      </c>
      <c r="BV2400" s="2" t="s">
        <v>85</v>
      </c>
      <c r="BW2400" s="2"/>
      <c r="BX2400" s="2"/>
      <c r="BY2400" s="2">
        <v>46239.05</v>
      </c>
      <c r="BZ2400" s="2"/>
      <c r="CA2400" s="2"/>
      <c r="CB2400" s="2"/>
      <c r="CC2400" s="2" t="s">
        <v>138</v>
      </c>
      <c r="CD2400" s="2">
        <v>3201</v>
      </c>
      <c r="CE2400" s="2" t="s">
        <v>86</v>
      </c>
      <c r="CF2400" s="5">
        <v>42670</v>
      </c>
      <c r="CG2400" s="2"/>
      <c r="CH2400" s="2"/>
      <c r="CI2400" s="2">
        <v>1</v>
      </c>
      <c r="CJ2400" s="2">
        <v>1</v>
      </c>
      <c r="CK2400" s="2">
        <v>21</v>
      </c>
      <c r="CL2400" s="2" t="s">
        <v>88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"FES1162509130"</f>
        <v>FES1162509130</v>
      </c>
      <c r="F2401" s="3">
        <v>42668</v>
      </c>
      <c r="G2401" s="2">
        <v>201704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98</v>
      </c>
      <c r="M2401" s="2" t="s">
        <v>99</v>
      </c>
      <c r="N2401" s="2" t="s">
        <v>2333</v>
      </c>
      <c r="O2401" s="2" t="s">
        <v>96</v>
      </c>
      <c r="P2401" s="2" t="str">
        <f>"2170532296                    "</f>
        <v xml:space="preserve">2170532296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15.76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6.6</v>
      </c>
      <c r="BJ2401" s="2">
        <v>9.1999999999999993</v>
      </c>
      <c r="BK2401" s="2">
        <v>9.5</v>
      </c>
      <c r="BL2401" s="2">
        <v>193.6</v>
      </c>
      <c r="BM2401" s="2">
        <v>27.1</v>
      </c>
      <c r="BN2401" s="2">
        <v>220.7</v>
      </c>
      <c r="BO2401" s="2">
        <v>220.7</v>
      </c>
      <c r="BP2401" s="2"/>
      <c r="BQ2401" s="2" t="s">
        <v>2334</v>
      </c>
      <c r="BR2401" s="2" t="s">
        <v>83</v>
      </c>
      <c r="BS2401" s="3">
        <v>42669</v>
      </c>
      <c r="BT2401" s="4">
        <v>0.43402777777777773</v>
      </c>
      <c r="BU2401" s="2" t="s">
        <v>2104</v>
      </c>
      <c r="BV2401" s="2"/>
      <c r="BW2401" s="2"/>
      <c r="BX2401" s="2"/>
      <c r="BY2401" s="2">
        <v>45837.56</v>
      </c>
      <c r="BZ2401" s="2"/>
      <c r="CA2401" s="2"/>
      <c r="CB2401" s="2"/>
      <c r="CC2401" s="2" t="s">
        <v>99</v>
      </c>
      <c r="CD2401" s="2">
        <v>6001</v>
      </c>
      <c r="CE2401" s="2" t="s">
        <v>86</v>
      </c>
      <c r="CF2401" s="5">
        <v>42670</v>
      </c>
      <c r="CG2401" s="2"/>
      <c r="CH2401" s="2"/>
      <c r="CI2401" s="2">
        <v>0</v>
      </c>
      <c r="CJ2401" s="2">
        <v>0</v>
      </c>
      <c r="CK2401" s="2">
        <v>21</v>
      </c>
      <c r="CL2401" s="2" t="s">
        <v>88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"FES1162509075"</f>
        <v>FES1162509075</v>
      </c>
      <c r="F2402" s="3">
        <v>42668</v>
      </c>
      <c r="G2402" s="2">
        <v>201704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160</v>
      </c>
      <c r="M2402" s="2" t="s">
        <v>161</v>
      </c>
      <c r="N2402" s="2" t="s">
        <v>176</v>
      </c>
      <c r="O2402" s="2" t="s">
        <v>96</v>
      </c>
      <c r="P2402" s="2" t="str">
        <f>"2170531535                    "</f>
        <v xml:space="preserve">2170531535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3.32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0.5</v>
      </c>
      <c r="BJ2402" s="2">
        <v>0.2</v>
      </c>
      <c r="BK2402" s="2">
        <v>0.5</v>
      </c>
      <c r="BL2402" s="2">
        <v>40.76</v>
      </c>
      <c r="BM2402" s="2">
        <v>5.71</v>
      </c>
      <c r="BN2402" s="2">
        <v>46.47</v>
      </c>
      <c r="BO2402" s="2">
        <v>46.47</v>
      </c>
      <c r="BP2402" s="2"/>
      <c r="BQ2402" s="2" t="s">
        <v>258</v>
      </c>
      <c r="BR2402" s="2" t="s">
        <v>83</v>
      </c>
      <c r="BS2402" s="3">
        <v>42669</v>
      </c>
      <c r="BT2402" s="4">
        <v>0.41666666666666669</v>
      </c>
      <c r="BU2402" s="2" t="s">
        <v>146</v>
      </c>
      <c r="BV2402" s="2" t="s">
        <v>85</v>
      </c>
      <c r="BW2402" s="2"/>
      <c r="BX2402" s="2"/>
      <c r="BY2402" s="2">
        <v>1200</v>
      </c>
      <c r="BZ2402" s="2"/>
      <c r="CA2402" s="2"/>
      <c r="CB2402" s="2"/>
      <c r="CC2402" s="2" t="s">
        <v>161</v>
      </c>
      <c r="CD2402" s="2">
        <v>7405</v>
      </c>
      <c r="CE2402" s="2" t="s">
        <v>108</v>
      </c>
      <c r="CF2402" s="5">
        <v>42670</v>
      </c>
      <c r="CG2402" s="2"/>
      <c r="CH2402" s="2"/>
      <c r="CI2402" s="2">
        <v>1</v>
      </c>
      <c r="CJ2402" s="2">
        <v>1</v>
      </c>
      <c r="CK2402" s="2">
        <v>21</v>
      </c>
      <c r="CL2402" s="2" t="s">
        <v>88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"FES1162509087"</f>
        <v>FES1162509087</v>
      </c>
      <c r="F2403" s="3">
        <v>42668</v>
      </c>
      <c r="G2403" s="2">
        <v>201704</v>
      </c>
      <c r="H2403" s="2" t="s">
        <v>74</v>
      </c>
      <c r="I2403" s="2" t="s">
        <v>75</v>
      </c>
      <c r="J2403" s="2" t="s">
        <v>76</v>
      </c>
      <c r="K2403" s="2" t="s">
        <v>77</v>
      </c>
      <c r="L2403" s="2" t="s">
        <v>160</v>
      </c>
      <c r="M2403" s="2" t="s">
        <v>161</v>
      </c>
      <c r="N2403" s="2" t="s">
        <v>754</v>
      </c>
      <c r="O2403" s="2" t="s">
        <v>96</v>
      </c>
      <c r="P2403" s="2" t="str">
        <f>"2170531966                    "</f>
        <v xml:space="preserve">2170531966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3.32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0.5</v>
      </c>
      <c r="BJ2403" s="2">
        <v>0.2</v>
      </c>
      <c r="BK2403" s="2">
        <v>0.5</v>
      </c>
      <c r="BL2403" s="2">
        <v>40.76</v>
      </c>
      <c r="BM2403" s="2">
        <v>5.71</v>
      </c>
      <c r="BN2403" s="2">
        <v>46.47</v>
      </c>
      <c r="BO2403" s="2">
        <v>46.47</v>
      </c>
      <c r="BP2403" s="2"/>
      <c r="BQ2403" s="2" t="s">
        <v>755</v>
      </c>
      <c r="BR2403" s="2" t="s">
        <v>83</v>
      </c>
      <c r="BS2403" s="3">
        <v>42669</v>
      </c>
      <c r="BT2403" s="4">
        <v>0.41666666666666669</v>
      </c>
      <c r="BU2403" s="2" t="s">
        <v>1503</v>
      </c>
      <c r="BV2403" s="2" t="s">
        <v>85</v>
      </c>
      <c r="BW2403" s="2"/>
      <c r="BX2403" s="2"/>
      <c r="BY2403" s="2">
        <v>1200</v>
      </c>
      <c r="BZ2403" s="2"/>
      <c r="CA2403" s="2"/>
      <c r="CB2403" s="2"/>
      <c r="CC2403" s="2" t="s">
        <v>161</v>
      </c>
      <c r="CD2403" s="2">
        <v>7441</v>
      </c>
      <c r="CE2403" s="2" t="s">
        <v>108</v>
      </c>
      <c r="CF2403" s="5">
        <v>42670</v>
      </c>
      <c r="CG2403" s="2"/>
      <c r="CH2403" s="2"/>
      <c r="CI2403" s="2">
        <v>1</v>
      </c>
      <c r="CJ2403" s="2">
        <v>1</v>
      </c>
      <c r="CK2403" s="2">
        <v>21</v>
      </c>
      <c r="CL2403" s="2" t="s">
        <v>88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"FES1162509094"</f>
        <v>FES1162509094</v>
      </c>
      <c r="F2404" s="3">
        <v>42668</v>
      </c>
      <c r="G2404" s="2">
        <v>201704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153</v>
      </c>
      <c r="M2404" s="2" t="s">
        <v>153</v>
      </c>
      <c r="N2404" s="2" t="s">
        <v>343</v>
      </c>
      <c r="O2404" s="2" t="s">
        <v>96</v>
      </c>
      <c r="P2404" s="2" t="str">
        <f>"2170532154                    "</f>
        <v xml:space="preserve">2170532154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3.32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1</v>
      </c>
      <c r="BI2404" s="2">
        <v>0.5</v>
      </c>
      <c r="BJ2404" s="2">
        <v>0.2</v>
      </c>
      <c r="BK2404" s="2">
        <v>0.5</v>
      </c>
      <c r="BL2404" s="2">
        <v>40.76</v>
      </c>
      <c r="BM2404" s="2">
        <v>5.71</v>
      </c>
      <c r="BN2404" s="2">
        <v>46.47</v>
      </c>
      <c r="BO2404" s="2">
        <v>46.47</v>
      </c>
      <c r="BP2404" s="2"/>
      <c r="BQ2404" s="2" t="s">
        <v>344</v>
      </c>
      <c r="BR2404" s="2" t="s">
        <v>83</v>
      </c>
      <c r="BS2404" s="3">
        <v>42669</v>
      </c>
      <c r="BT2404" s="4">
        <v>0.52083333333333337</v>
      </c>
      <c r="BU2404" s="2" t="s">
        <v>720</v>
      </c>
      <c r="BV2404" s="2" t="s">
        <v>85</v>
      </c>
      <c r="BW2404" s="2"/>
      <c r="BX2404" s="2"/>
      <c r="BY2404" s="2">
        <v>1200</v>
      </c>
      <c r="BZ2404" s="2"/>
      <c r="CA2404" s="2"/>
      <c r="CB2404" s="2"/>
      <c r="CC2404" s="2" t="s">
        <v>153</v>
      </c>
      <c r="CD2404" s="2">
        <v>7646</v>
      </c>
      <c r="CE2404" s="2" t="s">
        <v>108</v>
      </c>
      <c r="CF2404" s="5">
        <v>42670</v>
      </c>
      <c r="CG2404" s="2"/>
      <c r="CH2404" s="2"/>
      <c r="CI2404" s="2">
        <v>1</v>
      </c>
      <c r="CJ2404" s="2">
        <v>1</v>
      </c>
      <c r="CK2404" s="2">
        <v>21</v>
      </c>
      <c r="CL2404" s="2" t="s">
        <v>88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"FES1162509268"</f>
        <v>FES1162509268</v>
      </c>
      <c r="F2405" s="3">
        <v>42668</v>
      </c>
      <c r="G2405" s="2">
        <v>201704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93</v>
      </c>
      <c r="M2405" s="2" t="s">
        <v>94</v>
      </c>
      <c r="N2405" s="2" t="s">
        <v>130</v>
      </c>
      <c r="O2405" s="2" t="s">
        <v>96</v>
      </c>
      <c r="P2405" s="2" t="str">
        <f>"2170532476                    "</f>
        <v xml:space="preserve">2170532476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3.32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0.5</v>
      </c>
      <c r="BJ2405" s="2">
        <v>0.2</v>
      </c>
      <c r="BK2405" s="2">
        <v>0.5</v>
      </c>
      <c r="BL2405" s="2">
        <v>40.76</v>
      </c>
      <c r="BM2405" s="2">
        <v>5.71</v>
      </c>
      <c r="BN2405" s="2">
        <v>46.47</v>
      </c>
      <c r="BO2405" s="2">
        <v>46.47</v>
      </c>
      <c r="BP2405" s="2"/>
      <c r="BQ2405" s="2" t="s">
        <v>131</v>
      </c>
      <c r="BR2405" s="2" t="s">
        <v>83</v>
      </c>
      <c r="BS2405" s="3">
        <v>42669</v>
      </c>
      <c r="BT2405" s="4">
        <v>0.4375</v>
      </c>
      <c r="BU2405" s="2" t="s">
        <v>637</v>
      </c>
      <c r="BV2405" s="2" t="s">
        <v>85</v>
      </c>
      <c r="BW2405" s="2"/>
      <c r="BX2405" s="2"/>
      <c r="BY2405" s="2">
        <v>1200</v>
      </c>
      <c r="BZ2405" s="2"/>
      <c r="CA2405" s="2"/>
      <c r="CB2405" s="2"/>
      <c r="CC2405" s="2" t="s">
        <v>94</v>
      </c>
      <c r="CD2405" s="2">
        <v>4302</v>
      </c>
      <c r="CE2405" s="2" t="s">
        <v>108</v>
      </c>
      <c r="CF2405" s="5">
        <v>42670</v>
      </c>
      <c r="CG2405" s="2"/>
      <c r="CH2405" s="2"/>
      <c r="CI2405" s="2">
        <v>1</v>
      </c>
      <c r="CJ2405" s="2">
        <v>1</v>
      </c>
      <c r="CK2405" s="2">
        <v>21</v>
      </c>
      <c r="CL2405" s="2" t="s">
        <v>88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"FES1162509254"</f>
        <v>FES1162509254</v>
      </c>
      <c r="F2406" s="3">
        <v>42668</v>
      </c>
      <c r="G2406" s="2">
        <v>201704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218</v>
      </c>
      <c r="M2406" s="2" t="s">
        <v>219</v>
      </c>
      <c r="N2406" s="2" t="s">
        <v>220</v>
      </c>
      <c r="O2406" s="2" t="s">
        <v>96</v>
      </c>
      <c r="P2406" s="2" t="str">
        <f>"2170524536                    "</f>
        <v xml:space="preserve">2170524536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34.83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20.7</v>
      </c>
      <c r="BJ2406" s="2">
        <v>9.6</v>
      </c>
      <c r="BK2406" s="2">
        <v>21</v>
      </c>
      <c r="BL2406" s="2">
        <v>427.95</v>
      </c>
      <c r="BM2406" s="2">
        <v>59.91</v>
      </c>
      <c r="BN2406" s="2">
        <v>487.86</v>
      </c>
      <c r="BO2406" s="2">
        <v>487.86</v>
      </c>
      <c r="BP2406" s="2"/>
      <c r="BQ2406" s="2" t="s">
        <v>91</v>
      </c>
      <c r="BR2406" s="2" t="s">
        <v>83</v>
      </c>
      <c r="BS2406" s="3">
        <v>42669</v>
      </c>
      <c r="BT2406" s="4">
        <v>0.41666666666666669</v>
      </c>
      <c r="BU2406" s="2" t="s">
        <v>631</v>
      </c>
      <c r="BV2406" s="2" t="s">
        <v>85</v>
      </c>
      <c r="BW2406" s="2"/>
      <c r="BX2406" s="2"/>
      <c r="BY2406" s="2">
        <v>48009.84</v>
      </c>
      <c r="BZ2406" s="2"/>
      <c r="CA2406" s="2"/>
      <c r="CB2406" s="2"/>
      <c r="CC2406" s="2" t="s">
        <v>219</v>
      </c>
      <c r="CD2406" s="2">
        <v>7600</v>
      </c>
      <c r="CE2406" s="2" t="s">
        <v>86</v>
      </c>
      <c r="CF2406" s="5">
        <v>42670</v>
      </c>
      <c r="CG2406" s="2"/>
      <c r="CH2406" s="2"/>
      <c r="CI2406" s="2">
        <v>1</v>
      </c>
      <c r="CJ2406" s="2">
        <v>1</v>
      </c>
      <c r="CK2406" s="2">
        <v>21</v>
      </c>
      <c r="CL2406" s="2" t="s">
        <v>88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"FES1162509006"</f>
        <v>FES1162509006</v>
      </c>
      <c r="F2407" s="3">
        <v>42668</v>
      </c>
      <c r="G2407" s="2">
        <v>201704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124</v>
      </c>
      <c r="M2407" s="2" t="s">
        <v>125</v>
      </c>
      <c r="N2407" s="2" t="s">
        <v>126</v>
      </c>
      <c r="O2407" s="2" t="s">
        <v>96</v>
      </c>
      <c r="P2407" s="2" t="str">
        <f>"2170529385                    "</f>
        <v xml:space="preserve">2170529385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3.32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1</v>
      </c>
      <c r="BI2407" s="2">
        <v>0.5</v>
      </c>
      <c r="BJ2407" s="2">
        <v>0.2</v>
      </c>
      <c r="BK2407" s="2">
        <v>0.5</v>
      </c>
      <c r="BL2407" s="2">
        <v>40.76</v>
      </c>
      <c r="BM2407" s="2">
        <v>5.71</v>
      </c>
      <c r="BN2407" s="2">
        <v>46.47</v>
      </c>
      <c r="BO2407" s="2">
        <v>46.47</v>
      </c>
      <c r="BP2407" s="2"/>
      <c r="BQ2407" s="2" t="s">
        <v>127</v>
      </c>
      <c r="BR2407" s="2" t="s">
        <v>83</v>
      </c>
      <c r="BS2407" s="3">
        <v>42669</v>
      </c>
      <c r="BT2407" s="4">
        <v>0.41666666666666669</v>
      </c>
      <c r="BU2407" s="2" t="s">
        <v>2335</v>
      </c>
      <c r="BV2407" s="2" t="s">
        <v>85</v>
      </c>
      <c r="BW2407" s="2"/>
      <c r="BX2407" s="2"/>
      <c r="BY2407" s="2">
        <v>1200</v>
      </c>
      <c r="BZ2407" s="2"/>
      <c r="CA2407" s="2" t="s">
        <v>129</v>
      </c>
      <c r="CB2407" s="2"/>
      <c r="CC2407" s="2" t="s">
        <v>125</v>
      </c>
      <c r="CD2407" s="2">
        <v>7140</v>
      </c>
      <c r="CE2407" s="2" t="s">
        <v>108</v>
      </c>
      <c r="CF2407" s="5">
        <v>42670</v>
      </c>
      <c r="CG2407" s="2"/>
      <c r="CH2407" s="2"/>
      <c r="CI2407" s="2">
        <v>1</v>
      </c>
      <c r="CJ2407" s="2">
        <v>1</v>
      </c>
      <c r="CK2407" s="2">
        <v>21</v>
      </c>
      <c r="CL2407" s="2" t="s">
        <v>88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"FES1162509180"</f>
        <v>FES1162509180</v>
      </c>
      <c r="F2408" s="3">
        <v>42668</v>
      </c>
      <c r="G2408" s="2">
        <v>201704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269</v>
      </c>
      <c r="M2408" s="2" t="s">
        <v>270</v>
      </c>
      <c r="N2408" s="2" t="s">
        <v>2336</v>
      </c>
      <c r="O2408" s="2" t="s">
        <v>96</v>
      </c>
      <c r="P2408" s="2" t="str">
        <f>"2170532358                    "</f>
        <v xml:space="preserve">2170532358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3.32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1</v>
      </c>
      <c r="BI2408" s="2">
        <v>0.2</v>
      </c>
      <c r="BJ2408" s="2">
        <v>1.3</v>
      </c>
      <c r="BK2408" s="2">
        <v>1.5</v>
      </c>
      <c r="BL2408" s="2">
        <v>40.76</v>
      </c>
      <c r="BM2408" s="2">
        <v>5.71</v>
      </c>
      <c r="BN2408" s="2">
        <v>46.47</v>
      </c>
      <c r="BO2408" s="2">
        <v>46.47</v>
      </c>
      <c r="BP2408" s="2"/>
      <c r="BQ2408" s="2" t="s">
        <v>2222</v>
      </c>
      <c r="BR2408" s="2" t="s">
        <v>83</v>
      </c>
      <c r="BS2408" s="3">
        <v>42669</v>
      </c>
      <c r="BT2408" s="4">
        <v>0.3354166666666667</v>
      </c>
      <c r="BU2408" s="2" t="s">
        <v>2337</v>
      </c>
      <c r="BV2408" s="2" t="s">
        <v>85</v>
      </c>
      <c r="BW2408" s="2"/>
      <c r="BX2408" s="2"/>
      <c r="BY2408" s="2">
        <v>6304.28</v>
      </c>
      <c r="BZ2408" s="2"/>
      <c r="CA2408" s="2" t="s">
        <v>129</v>
      </c>
      <c r="CB2408" s="2"/>
      <c r="CC2408" s="2" t="s">
        <v>270</v>
      </c>
      <c r="CD2408" s="2">
        <v>3610</v>
      </c>
      <c r="CE2408" s="2" t="s">
        <v>108</v>
      </c>
      <c r="CF2408" s="5">
        <v>42670</v>
      </c>
      <c r="CG2408" s="2"/>
      <c r="CH2408" s="2"/>
      <c r="CI2408" s="2">
        <v>1</v>
      </c>
      <c r="CJ2408" s="2">
        <v>1</v>
      </c>
      <c r="CK2408" s="2">
        <v>21</v>
      </c>
      <c r="CL2408" s="2" t="s">
        <v>88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"FES1162509170"</f>
        <v>FES1162509170</v>
      </c>
      <c r="F2409" s="3">
        <v>42668</v>
      </c>
      <c r="G2409" s="2">
        <v>201704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160</v>
      </c>
      <c r="M2409" s="2" t="s">
        <v>161</v>
      </c>
      <c r="N2409" s="2" t="s">
        <v>251</v>
      </c>
      <c r="O2409" s="2" t="s">
        <v>96</v>
      </c>
      <c r="P2409" s="2" t="str">
        <f>"2170532348                    "</f>
        <v xml:space="preserve">2170532348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3.32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1.8</v>
      </c>
      <c r="BJ2409" s="2">
        <v>1</v>
      </c>
      <c r="BK2409" s="2">
        <v>2</v>
      </c>
      <c r="BL2409" s="2">
        <v>40.76</v>
      </c>
      <c r="BM2409" s="2">
        <v>5.71</v>
      </c>
      <c r="BN2409" s="2">
        <v>46.47</v>
      </c>
      <c r="BO2409" s="2">
        <v>46.47</v>
      </c>
      <c r="BP2409" s="2"/>
      <c r="BQ2409" s="2" t="s">
        <v>91</v>
      </c>
      <c r="BR2409" s="2" t="s">
        <v>83</v>
      </c>
      <c r="BS2409" s="3">
        <v>42669</v>
      </c>
      <c r="BT2409" s="4">
        <v>0.37708333333333338</v>
      </c>
      <c r="BU2409" s="2" t="s">
        <v>2338</v>
      </c>
      <c r="BV2409" s="2" t="s">
        <v>85</v>
      </c>
      <c r="BW2409" s="2"/>
      <c r="BX2409" s="2"/>
      <c r="BY2409" s="2">
        <v>5014.8999999999996</v>
      </c>
      <c r="BZ2409" s="2"/>
      <c r="CA2409" s="2" t="s">
        <v>625</v>
      </c>
      <c r="CB2409" s="2"/>
      <c r="CC2409" s="2" t="s">
        <v>161</v>
      </c>
      <c r="CD2409" s="2">
        <v>7500</v>
      </c>
      <c r="CE2409" s="2" t="s">
        <v>86</v>
      </c>
      <c r="CF2409" s="5">
        <v>42669</v>
      </c>
      <c r="CG2409" s="2"/>
      <c r="CH2409" s="2"/>
      <c r="CI2409" s="2">
        <v>1</v>
      </c>
      <c r="CJ2409" s="2">
        <v>1</v>
      </c>
      <c r="CK2409" s="2">
        <v>21</v>
      </c>
      <c r="CL2409" s="2" t="s">
        <v>88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"FES1162509078"</f>
        <v>FES1162509078</v>
      </c>
      <c r="F2410" s="3">
        <v>42668</v>
      </c>
      <c r="G2410" s="2">
        <v>201704</v>
      </c>
      <c r="H2410" s="2" t="s">
        <v>74</v>
      </c>
      <c r="I2410" s="2" t="s">
        <v>75</v>
      </c>
      <c r="J2410" s="2" t="s">
        <v>76</v>
      </c>
      <c r="K2410" s="2" t="s">
        <v>77</v>
      </c>
      <c r="L2410" s="2" t="s">
        <v>78</v>
      </c>
      <c r="M2410" s="2" t="s">
        <v>79</v>
      </c>
      <c r="N2410" s="2" t="s">
        <v>1180</v>
      </c>
      <c r="O2410" s="2" t="s">
        <v>96</v>
      </c>
      <c r="P2410" s="2" t="str">
        <f>"2170531661                    "</f>
        <v xml:space="preserve">2170531661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3.32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0.4</v>
      </c>
      <c r="BJ2410" s="2">
        <v>0.7</v>
      </c>
      <c r="BK2410" s="2">
        <v>1</v>
      </c>
      <c r="BL2410" s="2">
        <v>40.76</v>
      </c>
      <c r="BM2410" s="2">
        <v>5.71</v>
      </c>
      <c r="BN2410" s="2">
        <v>46.47</v>
      </c>
      <c r="BO2410" s="2">
        <v>46.47</v>
      </c>
      <c r="BP2410" s="2"/>
      <c r="BQ2410" s="2" t="s">
        <v>1181</v>
      </c>
      <c r="BR2410" s="2" t="s">
        <v>83</v>
      </c>
      <c r="BS2410" s="3">
        <v>42669</v>
      </c>
      <c r="BT2410" s="4">
        <v>0.41666666666666669</v>
      </c>
      <c r="BU2410" s="2" t="s">
        <v>84</v>
      </c>
      <c r="BV2410" s="2" t="s">
        <v>85</v>
      </c>
      <c r="BW2410" s="2"/>
      <c r="BX2410" s="2"/>
      <c r="BY2410" s="2">
        <v>3658.93</v>
      </c>
      <c r="BZ2410" s="2"/>
      <c r="CA2410" s="2"/>
      <c r="CB2410" s="2"/>
      <c r="CC2410" s="2" t="s">
        <v>79</v>
      </c>
      <c r="CD2410" s="2">
        <v>1871</v>
      </c>
      <c r="CE2410" s="2" t="s">
        <v>108</v>
      </c>
      <c r="CF2410" s="5">
        <v>42671</v>
      </c>
      <c r="CG2410" s="2"/>
      <c r="CH2410" s="2"/>
      <c r="CI2410" s="2">
        <v>1</v>
      </c>
      <c r="CJ2410" s="2">
        <v>1</v>
      </c>
      <c r="CK2410" s="2">
        <v>21</v>
      </c>
      <c r="CL2410" s="2" t="s">
        <v>88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"FES1162508978"</f>
        <v>FES1162508978</v>
      </c>
      <c r="F2411" s="3">
        <v>42668</v>
      </c>
      <c r="G2411" s="2">
        <v>201704</v>
      </c>
      <c r="H2411" s="2" t="s">
        <v>74</v>
      </c>
      <c r="I2411" s="2" t="s">
        <v>75</v>
      </c>
      <c r="J2411" s="2" t="s">
        <v>76</v>
      </c>
      <c r="K2411" s="2" t="s">
        <v>77</v>
      </c>
      <c r="L2411" s="2" t="s">
        <v>1380</v>
      </c>
      <c r="M2411" s="2" t="s">
        <v>1381</v>
      </c>
      <c r="N2411" s="2" t="s">
        <v>2339</v>
      </c>
      <c r="O2411" s="2" t="s">
        <v>96</v>
      </c>
      <c r="P2411" s="2" t="str">
        <f>"2170532246                    "</f>
        <v xml:space="preserve">2170532246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51.42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12.3</v>
      </c>
      <c r="BJ2411" s="2">
        <v>17.5</v>
      </c>
      <c r="BK2411" s="2">
        <v>17.5</v>
      </c>
      <c r="BL2411" s="2">
        <v>631.74</v>
      </c>
      <c r="BM2411" s="2">
        <v>88.44</v>
      </c>
      <c r="BN2411" s="2">
        <v>720.18</v>
      </c>
      <c r="BO2411" s="2">
        <v>720.18</v>
      </c>
      <c r="BP2411" s="2"/>
      <c r="BQ2411" s="2" t="s">
        <v>91</v>
      </c>
      <c r="BR2411" s="2" t="s">
        <v>83</v>
      </c>
      <c r="BS2411" s="3">
        <v>42669</v>
      </c>
      <c r="BT2411" s="4">
        <v>0.54166666666666663</v>
      </c>
      <c r="BU2411" s="2" t="s">
        <v>2340</v>
      </c>
      <c r="BV2411" s="2" t="s">
        <v>85</v>
      </c>
      <c r="BW2411" s="2"/>
      <c r="BX2411" s="2"/>
      <c r="BY2411" s="2">
        <v>87568.1</v>
      </c>
      <c r="BZ2411" s="2"/>
      <c r="CA2411" s="2"/>
      <c r="CB2411" s="2"/>
      <c r="CC2411" s="2" t="s">
        <v>1381</v>
      </c>
      <c r="CD2411" s="2">
        <v>4339</v>
      </c>
      <c r="CE2411" s="2" t="s">
        <v>86</v>
      </c>
      <c r="CF2411" s="5">
        <v>42670</v>
      </c>
      <c r="CG2411" s="2"/>
      <c r="CH2411" s="2"/>
      <c r="CI2411" s="2">
        <v>1</v>
      </c>
      <c r="CJ2411" s="2">
        <v>1</v>
      </c>
      <c r="CK2411" s="2">
        <v>23</v>
      </c>
      <c r="CL2411" s="2" t="s">
        <v>88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"FES1162509263"</f>
        <v>FES1162509263</v>
      </c>
      <c r="F2412" s="3">
        <v>42668</v>
      </c>
      <c r="G2412" s="2">
        <v>201704</v>
      </c>
      <c r="H2412" s="2" t="s">
        <v>74</v>
      </c>
      <c r="I2412" s="2" t="s">
        <v>75</v>
      </c>
      <c r="J2412" s="2" t="s">
        <v>76</v>
      </c>
      <c r="K2412" s="2" t="s">
        <v>77</v>
      </c>
      <c r="L2412" s="2" t="s">
        <v>143</v>
      </c>
      <c r="M2412" s="2" t="s">
        <v>144</v>
      </c>
      <c r="N2412" s="2" t="s">
        <v>2341</v>
      </c>
      <c r="O2412" s="2" t="s">
        <v>96</v>
      </c>
      <c r="P2412" s="2" t="str">
        <f>"2170527492                    "</f>
        <v xml:space="preserve">2170527492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24.05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14.4</v>
      </c>
      <c r="BJ2412" s="2">
        <v>4.0999999999999996</v>
      </c>
      <c r="BK2412" s="2">
        <v>14.5</v>
      </c>
      <c r="BL2412" s="2">
        <v>295.49</v>
      </c>
      <c r="BM2412" s="2">
        <v>41.37</v>
      </c>
      <c r="BN2412" s="2">
        <v>336.86</v>
      </c>
      <c r="BO2412" s="2">
        <v>336.86</v>
      </c>
      <c r="BP2412" s="2"/>
      <c r="BQ2412" s="2" t="s">
        <v>2342</v>
      </c>
      <c r="BR2412" s="2" t="s">
        <v>83</v>
      </c>
      <c r="BS2412" s="3">
        <v>42669</v>
      </c>
      <c r="BT2412" s="4">
        <v>0.41666666666666669</v>
      </c>
      <c r="BU2412" s="2" t="s">
        <v>1025</v>
      </c>
      <c r="BV2412" s="2"/>
      <c r="BW2412" s="2"/>
      <c r="BX2412" s="2"/>
      <c r="BY2412" s="2">
        <v>20359.39</v>
      </c>
      <c r="BZ2412" s="2"/>
      <c r="CA2412" s="2"/>
      <c r="CB2412" s="2"/>
      <c r="CC2412" s="2" t="s">
        <v>144</v>
      </c>
      <c r="CD2412" s="2">
        <v>5201</v>
      </c>
      <c r="CE2412" s="2" t="s">
        <v>86</v>
      </c>
      <c r="CF2412" s="5">
        <v>42671</v>
      </c>
      <c r="CG2412" s="2"/>
      <c r="CH2412" s="2"/>
      <c r="CI2412" s="2">
        <v>0</v>
      </c>
      <c r="CJ2412" s="2">
        <v>0</v>
      </c>
      <c r="CK2412" s="2">
        <v>21</v>
      </c>
      <c r="CL2412" s="2" t="s">
        <v>88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"FES1162509155"</f>
        <v>FES1162509155</v>
      </c>
      <c r="F2413" s="3">
        <v>42668</v>
      </c>
      <c r="G2413" s="2">
        <v>201704</v>
      </c>
      <c r="H2413" s="2" t="s">
        <v>74</v>
      </c>
      <c r="I2413" s="2" t="s">
        <v>75</v>
      </c>
      <c r="J2413" s="2" t="s">
        <v>76</v>
      </c>
      <c r="K2413" s="2" t="s">
        <v>77</v>
      </c>
      <c r="L2413" s="2" t="s">
        <v>253</v>
      </c>
      <c r="M2413" s="2" t="s">
        <v>254</v>
      </c>
      <c r="N2413" s="2" t="s">
        <v>255</v>
      </c>
      <c r="O2413" s="2" t="s">
        <v>96</v>
      </c>
      <c r="P2413" s="2" t="str">
        <f>"2170529474                    "</f>
        <v xml:space="preserve">2170529474  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16.59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5.3</v>
      </c>
      <c r="BJ2413" s="2">
        <v>3.1</v>
      </c>
      <c r="BK2413" s="2">
        <v>5.5</v>
      </c>
      <c r="BL2413" s="2">
        <v>203.79</v>
      </c>
      <c r="BM2413" s="2">
        <v>28.53</v>
      </c>
      <c r="BN2413" s="2">
        <v>232.32</v>
      </c>
      <c r="BO2413" s="2">
        <v>232.32</v>
      </c>
      <c r="BP2413" s="2"/>
      <c r="BQ2413" s="2" t="s">
        <v>117</v>
      </c>
      <c r="BR2413" s="2" t="s">
        <v>83</v>
      </c>
      <c r="BS2413" s="3">
        <v>42669</v>
      </c>
      <c r="BT2413" s="4">
        <v>0.52083333333333337</v>
      </c>
      <c r="BU2413" s="2" t="s">
        <v>2290</v>
      </c>
      <c r="BV2413" s="2" t="s">
        <v>85</v>
      </c>
      <c r="BW2413" s="2"/>
      <c r="BX2413" s="2"/>
      <c r="BY2413" s="2">
        <v>15746.28</v>
      </c>
      <c r="BZ2413" s="2"/>
      <c r="CA2413" s="2"/>
      <c r="CB2413" s="2"/>
      <c r="CC2413" s="2" t="s">
        <v>254</v>
      </c>
      <c r="CD2413" s="2">
        <v>3370</v>
      </c>
      <c r="CE2413" s="2" t="s">
        <v>86</v>
      </c>
      <c r="CF2413" s="5">
        <v>42671</v>
      </c>
      <c r="CG2413" s="2"/>
      <c r="CH2413" s="2"/>
      <c r="CI2413" s="2">
        <v>3</v>
      </c>
      <c r="CJ2413" s="2">
        <v>1</v>
      </c>
      <c r="CK2413" s="2">
        <v>23</v>
      </c>
      <c r="CL2413" s="2" t="s">
        <v>88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"FES1162509089"</f>
        <v>FES1162509089</v>
      </c>
      <c r="F2414" s="3">
        <v>42668</v>
      </c>
      <c r="G2414" s="2">
        <v>201704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286</v>
      </c>
      <c r="M2414" s="2" t="s">
        <v>287</v>
      </c>
      <c r="N2414" s="2" t="s">
        <v>2343</v>
      </c>
      <c r="O2414" s="2" t="s">
        <v>96</v>
      </c>
      <c r="P2414" s="2" t="str">
        <f>"2170531989                    "</f>
        <v xml:space="preserve">2170531989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3.32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0.5</v>
      </c>
      <c r="BJ2414" s="2">
        <v>0.2</v>
      </c>
      <c r="BK2414" s="2">
        <v>0.5</v>
      </c>
      <c r="BL2414" s="2">
        <v>40.76</v>
      </c>
      <c r="BM2414" s="2">
        <v>5.71</v>
      </c>
      <c r="BN2414" s="2">
        <v>46.47</v>
      </c>
      <c r="BO2414" s="2">
        <v>46.47</v>
      </c>
      <c r="BP2414" s="2"/>
      <c r="BQ2414" s="2" t="s">
        <v>2344</v>
      </c>
      <c r="BR2414" s="2" t="s">
        <v>83</v>
      </c>
      <c r="BS2414" s="3">
        <v>42669</v>
      </c>
      <c r="BT2414" s="4">
        <v>0.41666666666666669</v>
      </c>
      <c r="BU2414" s="2" t="s">
        <v>2345</v>
      </c>
      <c r="BV2414" s="2" t="s">
        <v>85</v>
      </c>
      <c r="BW2414" s="2"/>
      <c r="BX2414" s="2"/>
      <c r="BY2414" s="2">
        <v>1200</v>
      </c>
      <c r="BZ2414" s="2"/>
      <c r="CA2414" s="2"/>
      <c r="CB2414" s="2"/>
      <c r="CC2414" s="2" t="s">
        <v>287</v>
      </c>
      <c r="CD2414" s="2">
        <v>1947</v>
      </c>
      <c r="CE2414" s="2" t="s">
        <v>108</v>
      </c>
      <c r="CF2414" s="5">
        <v>42671</v>
      </c>
      <c r="CG2414" s="2"/>
      <c r="CH2414" s="2"/>
      <c r="CI2414" s="2">
        <v>1</v>
      </c>
      <c r="CJ2414" s="2">
        <v>1</v>
      </c>
      <c r="CK2414" s="2">
        <v>21</v>
      </c>
      <c r="CL2414" s="2" t="s">
        <v>88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"FES1162509031"</f>
        <v>FES1162509031</v>
      </c>
      <c r="F2415" s="3">
        <v>42668</v>
      </c>
      <c r="G2415" s="2">
        <v>201704</v>
      </c>
      <c r="H2415" s="2" t="s">
        <v>74</v>
      </c>
      <c r="I2415" s="2" t="s">
        <v>75</v>
      </c>
      <c r="J2415" s="2" t="s">
        <v>76</v>
      </c>
      <c r="K2415" s="2" t="s">
        <v>77</v>
      </c>
      <c r="L2415" s="2" t="s">
        <v>160</v>
      </c>
      <c r="M2415" s="2" t="s">
        <v>161</v>
      </c>
      <c r="N2415" s="2" t="s">
        <v>1453</v>
      </c>
      <c r="O2415" s="2" t="s">
        <v>96</v>
      </c>
      <c r="P2415" s="2" t="str">
        <f>"2170529971                    "</f>
        <v xml:space="preserve">2170529971  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3.32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1.7</v>
      </c>
      <c r="BJ2415" s="2">
        <v>0.9</v>
      </c>
      <c r="BK2415" s="2">
        <v>2</v>
      </c>
      <c r="BL2415" s="2">
        <v>40.76</v>
      </c>
      <c r="BM2415" s="2">
        <v>5.71</v>
      </c>
      <c r="BN2415" s="2">
        <v>46.47</v>
      </c>
      <c r="BO2415" s="2">
        <v>46.47</v>
      </c>
      <c r="BP2415" s="2"/>
      <c r="BQ2415" s="2" t="s">
        <v>1592</v>
      </c>
      <c r="BR2415" s="2" t="s">
        <v>83</v>
      </c>
      <c r="BS2415" s="3">
        <v>42669</v>
      </c>
      <c r="BT2415" s="4">
        <v>0.34166666666666662</v>
      </c>
      <c r="BU2415" s="2" t="s">
        <v>1454</v>
      </c>
      <c r="BV2415" s="2" t="s">
        <v>85</v>
      </c>
      <c r="BW2415" s="2"/>
      <c r="BX2415" s="2"/>
      <c r="BY2415" s="2">
        <v>4447.87</v>
      </c>
      <c r="BZ2415" s="2"/>
      <c r="CA2415" s="2" t="s">
        <v>1193</v>
      </c>
      <c r="CB2415" s="2"/>
      <c r="CC2415" s="2" t="s">
        <v>161</v>
      </c>
      <c r="CD2415" s="2">
        <v>7500</v>
      </c>
      <c r="CE2415" s="2" t="s">
        <v>368</v>
      </c>
      <c r="CF2415" s="5">
        <v>42669</v>
      </c>
      <c r="CG2415" s="2"/>
      <c r="CH2415" s="2"/>
      <c r="CI2415" s="2">
        <v>1</v>
      </c>
      <c r="CJ2415" s="2">
        <v>1</v>
      </c>
      <c r="CK2415" s="2">
        <v>21</v>
      </c>
      <c r="CL2415" s="2" t="s">
        <v>88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"FES1162509258"</f>
        <v>FES1162509258</v>
      </c>
      <c r="F2416" s="3">
        <v>42668</v>
      </c>
      <c r="G2416" s="2">
        <v>201704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269</v>
      </c>
      <c r="M2416" s="2" t="s">
        <v>270</v>
      </c>
      <c r="N2416" s="2" t="s">
        <v>804</v>
      </c>
      <c r="O2416" s="2" t="s">
        <v>96</v>
      </c>
      <c r="P2416" s="2" t="str">
        <f>"2170530388                    "</f>
        <v xml:space="preserve">2170530388 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5.81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3.4</v>
      </c>
      <c r="BJ2416" s="2">
        <v>1.5</v>
      </c>
      <c r="BK2416" s="2">
        <v>3.5</v>
      </c>
      <c r="BL2416" s="2">
        <v>71.33</v>
      </c>
      <c r="BM2416" s="2">
        <v>9.99</v>
      </c>
      <c r="BN2416" s="2">
        <v>81.319999999999993</v>
      </c>
      <c r="BO2416" s="2">
        <v>81.319999999999993</v>
      </c>
      <c r="BP2416" s="2"/>
      <c r="BQ2416" s="2" t="s">
        <v>805</v>
      </c>
      <c r="BR2416" s="2" t="s">
        <v>83</v>
      </c>
      <c r="BS2416" s="3">
        <v>42669</v>
      </c>
      <c r="BT2416" s="4">
        <v>0.32569444444444445</v>
      </c>
      <c r="BU2416" s="2" t="s">
        <v>2346</v>
      </c>
      <c r="BV2416" s="2" t="s">
        <v>85</v>
      </c>
      <c r="BW2416" s="2"/>
      <c r="BX2416" s="2"/>
      <c r="BY2416" s="2">
        <v>7575.75</v>
      </c>
      <c r="BZ2416" s="2"/>
      <c r="CA2416" s="2"/>
      <c r="CB2416" s="2"/>
      <c r="CC2416" s="2" t="s">
        <v>270</v>
      </c>
      <c r="CD2416" s="2">
        <v>3610</v>
      </c>
      <c r="CE2416" s="2" t="s">
        <v>86</v>
      </c>
      <c r="CF2416" s="5">
        <v>42670</v>
      </c>
      <c r="CG2416" s="2"/>
      <c r="CH2416" s="2"/>
      <c r="CI2416" s="2">
        <v>1</v>
      </c>
      <c r="CJ2416" s="2">
        <v>1</v>
      </c>
      <c r="CK2416" s="2">
        <v>21</v>
      </c>
      <c r="CL2416" s="2" t="s">
        <v>88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"FES1162509151"</f>
        <v>FES1162509151</v>
      </c>
      <c r="F2417" s="3">
        <v>42668</v>
      </c>
      <c r="G2417" s="2">
        <v>201704</v>
      </c>
      <c r="H2417" s="2" t="s">
        <v>74</v>
      </c>
      <c r="I2417" s="2" t="s">
        <v>75</v>
      </c>
      <c r="J2417" s="2" t="s">
        <v>76</v>
      </c>
      <c r="K2417" s="2" t="s">
        <v>77</v>
      </c>
      <c r="L2417" s="2" t="s">
        <v>269</v>
      </c>
      <c r="M2417" s="2" t="s">
        <v>270</v>
      </c>
      <c r="N2417" s="2" t="s">
        <v>2347</v>
      </c>
      <c r="O2417" s="2" t="s">
        <v>96</v>
      </c>
      <c r="P2417" s="2" t="str">
        <f>"2170532322                    "</f>
        <v xml:space="preserve">2170532322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5.81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2.2999999999999998</v>
      </c>
      <c r="BJ2417" s="2">
        <v>3.4</v>
      </c>
      <c r="BK2417" s="2">
        <v>3.5</v>
      </c>
      <c r="BL2417" s="2">
        <v>71.33</v>
      </c>
      <c r="BM2417" s="2">
        <v>9.99</v>
      </c>
      <c r="BN2417" s="2">
        <v>81.319999999999993</v>
      </c>
      <c r="BO2417" s="2">
        <v>81.319999999999993</v>
      </c>
      <c r="BP2417" s="2"/>
      <c r="BQ2417" s="2" t="s">
        <v>2348</v>
      </c>
      <c r="BR2417" s="2" t="s">
        <v>83</v>
      </c>
      <c r="BS2417" s="3">
        <v>42669</v>
      </c>
      <c r="BT2417" s="4">
        <v>0.40972222222222227</v>
      </c>
      <c r="BU2417" s="2" t="s">
        <v>2349</v>
      </c>
      <c r="BV2417" s="2" t="s">
        <v>85</v>
      </c>
      <c r="BW2417" s="2"/>
      <c r="BX2417" s="2"/>
      <c r="BY2417" s="2">
        <v>16844.650000000001</v>
      </c>
      <c r="BZ2417" s="2"/>
      <c r="CA2417" s="2" t="s">
        <v>129</v>
      </c>
      <c r="CB2417" s="2"/>
      <c r="CC2417" s="2" t="s">
        <v>270</v>
      </c>
      <c r="CD2417" s="2">
        <v>3610</v>
      </c>
      <c r="CE2417" s="2" t="s">
        <v>86</v>
      </c>
      <c r="CF2417" s="5">
        <v>42670</v>
      </c>
      <c r="CG2417" s="2"/>
      <c r="CH2417" s="2"/>
      <c r="CI2417" s="2">
        <v>1</v>
      </c>
      <c r="CJ2417" s="2">
        <v>1</v>
      </c>
      <c r="CK2417" s="2">
        <v>21</v>
      </c>
      <c r="CL2417" s="2" t="s">
        <v>88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"FES1162509091"</f>
        <v>FES1162509091</v>
      </c>
      <c r="F2418" s="3">
        <v>42668</v>
      </c>
      <c r="G2418" s="2">
        <v>201704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148</v>
      </c>
      <c r="M2418" s="2" t="s">
        <v>149</v>
      </c>
      <c r="N2418" s="2" t="s">
        <v>296</v>
      </c>
      <c r="O2418" s="2" t="s">
        <v>96</v>
      </c>
      <c r="P2418" s="2" t="str">
        <f>"2170532093                    "</f>
        <v xml:space="preserve">2170532093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5.81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1.8</v>
      </c>
      <c r="BJ2418" s="2">
        <v>3.1</v>
      </c>
      <c r="BK2418" s="2">
        <v>3.5</v>
      </c>
      <c r="BL2418" s="2">
        <v>71.33</v>
      </c>
      <c r="BM2418" s="2">
        <v>9.99</v>
      </c>
      <c r="BN2418" s="2">
        <v>81.319999999999993</v>
      </c>
      <c r="BO2418" s="2">
        <v>81.319999999999993</v>
      </c>
      <c r="BP2418" s="2"/>
      <c r="BQ2418" s="2" t="s">
        <v>168</v>
      </c>
      <c r="BR2418" s="2" t="s">
        <v>83</v>
      </c>
      <c r="BS2418" s="3">
        <v>42669</v>
      </c>
      <c r="BT2418" s="4">
        <v>0.4375</v>
      </c>
      <c r="BU2418" s="2" t="s">
        <v>2276</v>
      </c>
      <c r="BV2418" s="2" t="s">
        <v>85</v>
      </c>
      <c r="BW2418" s="2"/>
      <c r="BX2418" s="2"/>
      <c r="BY2418" s="2">
        <v>15438</v>
      </c>
      <c r="BZ2418" s="2"/>
      <c r="CA2418" s="2"/>
      <c r="CB2418" s="2"/>
      <c r="CC2418" s="2" t="s">
        <v>149</v>
      </c>
      <c r="CD2418" s="2">
        <v>4001</v>
      </c>
      <c r="CE2418" s="2" t="s">
        <v>86</v>
      </c>
      <c r="CF2418" s="5">
        <v>42670</v>
      </c>
      <c r="CG2418" s="2"/>
      <c r="CH2418" s="2"/>
      <c r="CI2418" s="2">
        <v>1</v>
      </c>
      <c r="CJ2418" s="2">
        <v>1</v>
      </c>
      <c r="CK2418" s="2">
        <v>21</v>
      </c>
      <c r="CL2418" s="2" t="s">
        <v>88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"FES1162509286"</f>
        <v>FES1162509286</v>
      </c>
      <c r="F2419" s="3">
        <v>42668</v>
      </c>
      <c r="G2419" s="2">
        <v>201704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269</v>
      </c>
      <c r="M2419" s="2" t="s">
        <v>270</v>
      </c>
      <c r="N2419" s="2" t="s">
        <v>523</v>
      </c>
      <c r="O2419" s="2" t="s">
        <v>96</v>
      </c>
      <c r="P2419" s="2" t="str">
        <f>"2170532508                    "</f>
        <v xml:space="preserve">2170532508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4.9800000000000004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0.3</v>
      </c>
      <c r="BJ2419" s="2">
        <v>2.7</v>
      </c>
      <c r="BK2419" s="2">
        <v>3</v>
      </c>
      <c r="BL2419" s="2">
        <v>61.14</v>
      </c>
      <c r="BM2419" s="2">
        <v>8.56</v>
      </c>
      <c r="BN2419" s="2">
        <v>69.7</v>
      </c>
      <c r="BO2419" s="2">
        <v>69.7</v>
      </c>
      <c r="BP2419" s="2"/>
      <c r="BQ2419" s="2" t="s">
        <v>524</v>
      </c>
      <c r="BR2419" s="2" t="s">
        <v>83</v>
      </c>
      <c r="BS2419" s="3">
        <v>42669</v>
      </c>
      <c r="BT2419" s="4">
        <v>0.35416666666666669</v>
      </c>
      <c r="BU2419" s="2" t="s">
        <v>2350</v>
      </c>
      <c r="BV2419" s="2" t="s">
        <v>85</v>
      </c>
      <c r="BW2419" s="2"/>
      <c r="BX2419" s="2"/>
      <c r="BY2419" s="2">
        <v>13311.94</v>
      </c>
      <c r="BZ2419" s="2"/>
      <c r="CA2419" s="2" t="s">
        <v>129</v>
      </c>
      <c r="CB2419" s="2"/>
      <c r="CC2419" s="2" t="s">
        <v>270</v>
      </c>
      <c r="CD2419" s="2">
        <v>3610</v>
      </c>
      <c r="CE2419" s="2" t="s">
        <v>108</v>
      </c>
      <c r="CF2419" s="5">
        <v>42670</v>
      </c>
      <c r="CG2419" s="2"/>
      <c r="CH2419" s="2"/>
      <c r="CI2419" s="2">
        <v>1</v>
      </c>
      <c r="CJ2419" s="2">
        <v>1</v>
      </c>
      <c r="CK2419" s="2">
        <v>21</v>
      </c>
      <c r="CL2419" s="2" t="s">
        <v>88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"FES1162508985"</f>
        <v>FES1162508985</v>
      </c>
      <c r="F2420" s="3">
        <v>42668</v>
      </c>
      <c r="G2420" s="2">
        <v>201704</v>
      </c>
      <c r="H2420" s="2" t="s">
        <v>74</v>
      </c>
      <c r="I2420" s="2" t="s">
        <v>75</v>
      </c>
      <c r="J2420" s="2" t="s">
        <v>76</v>
      </c>
      <c r="K2420" s="2" t="s">
        <v>77</v>
      </c>
      <c r="L2420" s="2" t="s">
        <v>286</v>
      </c>
      <c r="M2420" s="2" t="s">
        <v>287</v>
      </c>
      <c r="N2420" s="2" t="s">
        <v>1475</v>
      </c>
      <c r="O2420" s="2" t="s">
        <v>96</v>
      </c>
      <c r="P2420" s="2" t="str">
        <f>"2170526660                    "</f>
        <v xml:space="preserve">2170526660  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3.32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0.4</v>
      </c>
      <c r="BJ2420" s="2">
        <v>0.9</v>
      </c>
      <c r="BK2420" s="2">
        <v>1</v>
      </c>
      <c r="BL2420" s="2">
        <v>40.76</v>
      </c>
      <c r="BM2420" s="2">
        <v>5.71</v>
      </c>
      <c r="BN2420" s="2">
        <v>46.47</v>
      </c>
      <c r="BO2420" s="2">
        <v>46.47</v>
      </c>
      <c r="BP2420" s="2"/>
      <c r="BQ2420" s="2" t="s">
        <v>91</v>
      </c>
      <c r="BR2420" s="2" t="s">
        <v>83</v>
      </c>
      <c r="BS2420" s="3">
        <v>42669</v>
      </c>
      <c r="BT2420" s="4">
        <v>0.41666666666666669</v>
      </c>
      <c r="BU2420" s="2" t="s">
        <v>2351</v>
      </c>
      <c r="BV2420" s="2" t="s">
        <v>85</v>
      </c>
      <c r="BW2420" s="2"/>
      <c r="BX2420" s="2"/>
      <c r="BY2420" s="2">
        <v>4570.88</v>
      </c>
      <c r="BZ2420" s="2"/>
      <c r="CA2420" s="2"/>
      <c r="CB2420" s="2"/>
      <c r="CC2420" s="2" t="s">
        <v>287</v>
      </c>
      <c r="CD2420" s="2">
        <v>1947</v>
      </c>
      <c r="CE2420" s="2" t="s">
        <v>108</v>
      </c>
      <c r="CF2420" s="5">
        <v>42671</v>
      </c>
      <c r="CG2420" s="2"/>
      <c r="CH2420" s="2"/>
      <c r="CI2420" s="2">
        <v>1</v>
      </c>
      <c r="CJ2420" s="2">
        <v>1</v>
      </c>
      <c r="CK2420" s="2">
        <v>21</v>
      </c>
      <c r="CL2420" s="2" t="s">
        <v>88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"FES1162509229"</f>
        <v>FES1162509229</v>
      </c>
      <c r="F2421" s="3">
        <v>42668</v>
      </c>
      <c r="G2421" s="2">
        <v>201704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160</v>
      </c>
      <c r="M2421" s="2" t="s">
        <v>161</v>
      </c>
      <c r="N2421" s="2" t="s">
        <v>647</v>
      </c>
      <c r="O2421" s="2" t="s">
        <v>96</v>
      </c>
      <c r="P2421" s="2" t="str">
        <f>"2170532430                    "</f>
        <v xml:space="preserve">2170532430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3.32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0.5</v>
      </c>
      <c r="BJ2421" s="2">
        <v>0.2</v>
      </c>
      <c r="BK2421" s="2">
        <v>0.5</v>
      </c>
      <c r="BL2421" s="2">
        <v>40.76</v>
      </c>
      <c r="BM2421" s="2">
        <v>5.71</v>
      </c>
      <c r="BN2421" s="2">
        <v>46.47</v>
      </c>
      <c r="BO2421" s="2">
        <v>46.47</v>
      </c>
      <c r="BP2421" s="2"/>
      <c r="BQ2421" s="2" t="s">
        <v>2045</v>
      </c>
      <c r="BR2421" s="2" t="s">
        <v>83</v>
      </c>
      <c r="BS2421" s="3">
        <v>42669</v>
      </c>
      <c r="BT2421" s="4">
        <v>0.35069444444444442</v>
      </c>
      <c r="BU2421" s="2" t="s">
        <v>2175</v>
      </c>
      <c r="BV2421" s="2" t="s">
        <v>85</v>
      </c>
      <c r="BW2421" s="2"/>
      <c r="BX2421" s="2"/>
      <c r="BY2421" s="2">
        <v>1200</v>
      </c>
      <c r="BZ2421" s="2"/>
      <c r="CA2421" s="2"/>
      <c r="CB2421" s="2"/>
      <c r="CC2421" s="2" t="s">
        <v>161</v>
      </c>
      <c r="CD2421" s="2">
        <v>7493</v>
      </c>
      <c r="CE2421" s="2" t="s">
        <v>108</v>
      </c>
      <c r="CF2421" s="5">
        <v>42670</v>
      </c>
      <c r="CG2421" s="2"/>
      <c r="CH2421" s="2"/>
      <c r="CI2421" s="2">
        <v>1</v>
      </c>
      <c r="CJ2421" s="2">
        <v>1</v>
      </c>
      <c r="CK2421" s="2">
        <v>21</v>
      </c>
      <c r="CL2421" s="2" t="s">
        <v>88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"FES1162509143"</f>
        <v>FES1162509143</v>
      </c>
      <c r="F2422" s="3">
        <v>42668</v>
      </c>
      <c r="G2422" s="2">
        <v>201704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137</v>
      </c>
      <c r="M2422" s="2" t="s">
        <v>138</v>
      </c>
      <c r="N2422" s="2" t="s">
        <v>420</v>
      </c>
      <c r="O2422" s="2" t="s">
        <v>96</v>
      </c>
      <c r="P2422" s="2" t="str">
        <f>"2170532281                    "</f>
        <v xml:space="preserve">2170532281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15.76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4.9000000000000004</v>
      </c>
      <c r="BJ2422" s="2">
        <v>9.3000000000000007</v>
      </c>
      <c r="BK2422" s="2">
        <v>9.5</v>
      </c>
      <c r="BL2422" s="2">
        <v>193.6</v>
      </c>
      <c r="BM2422" s="2">
        <v>27.1</v>
      </c>
      <c r="BN2422" s="2">
        <v>220.7</v>
      </c>
      <c r="BO2422" s="2">
        <v>220.7</v>
      </c>
      <c r="BP2422" s="2"/>
      <c r="BQ2422" s="2" t="s">
        <v>117</v>
      </c>
      <c r="BR2422" s="2" t="s">
        <v>83</v>
      </c>
      <c r="BS2422" s="3">
        <v>42669</v>
      </c>
      <c r="BT2422" s="4">
        <v>0.3756944444444445</v>
      </c>
      <c r="BU2422" s="2" t="s">
        <v>720</v>
      </c>
      <c r="BV2422" s="2" t="s">
        <v>85</v>
      </c>
      <c r="BW2422" s="2"/>
      <c r="BX2422" s="2"/>
      <c r="BY2422" s="2">
        <v>46581.25</v>
      </c>
      <c r="BZ2422" s="2"/>
      <c r="CA2422" s="2"/>
      <c r="CB2422" s="2"/>
      <c r="CC2422" s="2" t="s">
        <v>138</v>
      </c>
      <c r="CD2422" s="2">
        <v>3201</v>
      </c>
      <c r="CE2422" s="2" t="s">
        <v>86</v>
      </c>
      <c r="CF2422" s="5">
        <v>42670</v>
      </c>
      <c r="CG2422" s="2"/>
      <c r="CH2422" s="2"/>
      <c r="CI2422" s="2">
        <v>1</v>
      </c>
      <c r="CJ2422" s="2">
        <v>1</v>
      </c>
      <c r="CK2422" s="2">
        <v>21</v>
      </c>
      <c r="CL2422" s="2" t="s">
        <v>88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"FES1162509310"</f>
        <v>FES1162509310</v>
      </c>
      <c r="F2423" s="3">
        <v>42668</v>
      </c>
      <c r="G2423" s="2">
        <v>201704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269</v>
      </c>
      <c r="M2423" s="2" t="s">
        <v>270</v>
      </c>
      <c r="N2423" s="2" t="s">
        <v>523</v>
      </c>
      <c r="O2423" s="2" t="s">
        <v>96</v>
      </c>
      <c r="P2423" s="2" t="str">
        <f>"2170532530                    "</f>
        <v xml:space="preserve">2170532530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4.1500000000000004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0.3</v>
      </c>
      <c r="BJ2423" s="2">
        <v>2.5</v>
      </c>
      <c r="BK2423" s="2">
        <v>2.5</v>
      </c>
      <c r="BL2423" s="2">
        <v>50.95</v>
      </c>
      <c r="BM2423" s="2">
        <v>7.13</v>
      </c>
      <c r="BN2423" s="2">
        <v>58.08</v>
      </c>
      <c r="BO2423" s="2">
        <v>58.08</v>
      </c>
      <c r="BP2423" s="2"/>
      <c r="BQ2423" s="2" t="s">
        <v>524</v>
      </c>
      <c r="BR2423" s="2" t="s">
        <v>83</v>
      </c>
      <c r="BS2423" s="3">
        <v>42669</v>
      </c>
      <c r="BT2423" s="4">
        <v>0.35416666666666669</v>
      </c>
      <c r="BU2423" s="2" t="s">
        <v>2350</v>
      </c>
      <c r="BV2423" s="2" t="s">
        <v>85</v>
      </c>
      <c r="BW2423" s="2"/>
      <c r="BX2423" s="2"/>
      <c r="BY2423" s="2">
        <v>12323.13</v>
      </c>
      <c r="BZ2423" s="2"/>
      <c r="CA2423" s="2" t="s">
        <v>129</v>
      </c>
      <c r="CB2423" s="2"/>
      <c r="CC2423" s="2" t="s">
        <v>270</v>
      </c>
      <c r="CD2423" s="2">
        <v>3610</v>
      </c>
      <c r="CE2423" s="2" t="s">
        <v>108</v>
      </c>
      <c r="CF2423" s="5">
        <v>42670</v>
      </c>
      <c r="CG2423" s="2"/>
      <c r="CH2423" s="2"/>
      <c r="CI2423" s="2">
        <v>1</v>
      </c>
      <c r="CJ2423" s="2">
        <v>1</v>
      </c>
      <c r="CK2423" s="2">
        <v>21</v>
      </c>
      <c r="CL2423" s="2" t="s">
        <v>88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"FES1162509311"</f>
        <v>FES1162509311</v>
      </c>
      <c r="F2424" s="3">
        <v>42668</v>
      </c>
      <c r="G2424" s="2">
        <v>201704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148</v>
      </c>
      <c r="M2424" s="2" t="s">
        <v>149</v>
      </c>
      <c r="N2424" s="2" t="s">
        <v>473</v>
      </c>
      <c r="O2424" s="2" t="s">
        <v>96</v>
      </c>
      <c r="P2424" s="2" t="str">
        <f>"2170532532                    "</f>
        <v xml:space="preserve">2170532532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51.42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8.6</v>
      </c>
      <c r="BJ2424" s="2">
        <v>30.7</v>
      </c>
      <c r="BK2424" s="2">
        <v>31</v>
      </c>
      <c r="BL2424" s="2">
        <v>631.74</v>
      </c>
      <c r="BM2424" s="2">
        <v>88.44</v>
      </c>
      <c r="BN2424" s="2">
        <v>720.18</v>
      </c>
      <c r="BO2424" s="2">
        <v>720.18</v>
      </c>
      <c r="BP2424" s="2"/>
      <c r="BQ2424" s="2" t="s">
        <v>117</v>
      </c>
      <c r="BR2424" s="2" t="s">
        <v>83</v>
      </c>
      <c r="BS2424" s="3">
        <v>42669</v>
      </c>
      <c r="BT2424" s="4">
        <v>0.4375</v>
      </c>
      <c r="BU2424" s="2" t="s">
        <v>367</v>
      </c>
      <c r="BV2424" s="2" t="s">
        <v>85</v>
      </c>
      <c r="BW2424" s="2"/>
      <c r="BX2424" s="2"/>
      <c r="BY2424" s="2">
        <v>153580.48000000001</v>
      </c>
      <c r="BZ2424" s="2"/>
      <c r="CA2424" s="2"/>
      <c r="CB2424" s="2"/>
      <c r="CC2424" s="2" t="s">
        <v>149</v>
      </c>
      <c r="CD2424" s="2">
        <v>4052</v>
      </c>
      <c r="CE2424" s="2" t="s">
        <v>86</v>
      </c>
      <c r="CF2424" s="5">
        <v>42670</v>
      </c>
      <c r="CG2424" s="2"/>
      <c r="CH2424" s="2"/>
      <c r="CI2424" s="2">
        <v>1</v>
      </c>
      <c r="CJ2424" s="2">
        <v>1</v>
      </c>
      <c r="CK2424" s="2">
        <v>21</v>
      </c>
      <c r="CL2424" s="2" t="s">
        <v>88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"FES1162509056"</f>
        <v>FES1162509056</v>
      </c>
      <c r="F2425" s="3">
        <v>42668</v>
      </c>
      <c r="G2425" s="2">
        <v>201704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143</v>
      </c>
      <c r="M2425" s="2" t="s">
        <v>144</v>
      </c>
      <c r="N2425" s="2" t="s">
        <v>1712</v>
      </c>
      <c r="O2425" s="2" t="s">
        <v>96</v>
      </c>
      <c r="P2425" s="2" t="str">
        <f>"2170531057                    "</f>
        <v xml:space="preserve">2170531057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3.32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0.1</v>
      </c>
      <c r="BJ2425" s="2">
        <v>1.4</v>
      </c>
      <c r="BK2425" s="2">
        <v>1.5</v>
      </c>
      <c r="BL2425" s="2">
        <v>40.76</v>
      </c>
      <c r="BM2425" s="2">
        <v>5.71</v>
      </c>
      <c r="BN2425" s="2">
        <v>46.47</v>
      </c>
      <c r="BO2425" s="2">
        <v>46.47</v>
      </c>
      <c r="BP2425" s="2"/>
      <c r="BQ2425" s="2" t="s">
        <v>168</v>
      </c>
      <c r="BR2425" s="2" t="s">
        <v>83</v>
      </c>
      <c r="BS2425" s="3">
        <v>42669</v>
      </c>
      <c r="BT2425" s="4">
        <v>0.4375</v>
      </c>
      <c r="BU2425" s="2" t="s">
        <v>2352</v>
      </c>
      <c r="BV2425" s="2" t="s">
        <v>85</v>
      </c>
      <c r="BW2425" s="2"/>
      <c r="BX2425" s="2"/>
      <c r="BY2425" s="2">
        <v>6853.48</v>
      </c>
      <c r="BZ2425" s="2"/>
      <c r="CA2425" s="2"/>
      <c r="CB2425" s="2"/>
      <c r="CC2425" s="2" t="s">
        <v>144</v>
      </c>
      <c r="CD2425" s="2">
        <v>5201</v>
      </c>
      <c r="CE2425" s="2" t="s">
        <v>108</v>
      </c>
      <c r="CF2425" s="5">
        <v>42671</v>
      </c>
      <c r="CG2425" s="2"/>
      <c r="CH2425" s="2"/>
      <c r="CI2425" s="2">
        <v>1</v>
      </c>
      <c r="CJ2425" s="2">
        <v>1</v>
      </c>
      <c r="CK2425" s="2">
        <v>21</v>
      </c>
      <c r="CL2425" s="2" t="s">
        <v>88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"FES1162509264"</f>
        <v>FES1162509264</v>
      </c>
      <c r="F2426" s="3">
        <v>42668</v>
      </c>
      <c r="G2426" s="2">
        <v>201704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137</v>
      </c>
      <c r="M2426" s="2" t="s">
        <v>138</v>
      </c>
      <c r="N2426" s="2" t="s">
        <v>2353</v>
      </c>
      <c r="O2426" s="2" t="s">
        <v>96</v>
      </c>
      <c r="P2426" s="2" t="str">
        <f>"2170532468                    "</f>
        <v xml:space="preserve">2170532468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3.32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0.5</v>
      </c>
      <c r="BJ2426" s="2">
        <v>0.2</v>
      </c>
      <c r="BK2426" s="2">
        <v>0.5</v>
      </c>
      <c r="BL2426" s="2">
        <v>40.76</v>
      </c>
      <c r="BM2426" s="2">
        <v>5.71</v>
      </c>
      <c r="BN2426" s="2">
        <v>46.47</v>
      </c>
      <c r="BO2426" s="2">
        <v>46.47</v>
      </c>
      <c r="BP2426" s="2"/>
      <c r="BQ2426" s="2" t="s">
        <v>168</v>
      </c>
      <c r="BR2426" s="2" t="s">
        <v>83</v>
      </c>
      <c r="BS2426" s="3">
        <v>42669</v>
      </c>
      <c r="BT2426" s="4">
        <v>0.38055555555555554</v>
      </c>
      <c r="BU2426" s="2" t="s">
        <v>1628</v>
      </c>
      <c r="BV2426" s="2"/>
      <c r="BW2426" s="2"/>
      <c r="BX2426" s="2"/>
      <c r="BY2426" s="2">
        <v>1200</v>
      </c>
      <c r="BZ2426" s="2"/>
      <c r="CA2426" s="2" t="s">
        <v>170</v>
      </c>
      <c r="CB2426" s="2"/>
      <c r="CC2426" s="2" t="s">
        <v>138</v>
      </c>
      <c r="CD2426" s="2">
        <v>3201</v>
      </c>
      <c r="CE2426" s="2" t="s">
        <v>108</v>
      </c>
      <c r="CF2426" s="5">
        <v>42669</v>
      </c>
      <c r="CG2426" s="2"/>
      <c r="CH2426" s="2"/>
      <c r="CI2426" s="2">
        <v>0</v>
      </c>
      <c r="CJ2426" s="2">
        <v>0</v>
      </c>
      <c r="CK2426" s="2">
        <v>21</v>
      </c>
      <c r="CL2426" s="2" t="s">
        <v>88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"FES1162509008"</f>
        <v>FES1162509008</v>
      </c>
      <c r="F2427" s="3">
        <v>42668</v>
      </c>
      <c r="G2427" s="2">
        <v>201704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153</v>
      </c>
      <c r="M2427" s="2" t="s">
        <v>153</v>
      </c>
      <c r="N2427" s="2" t="s">
        <v>200</v>
      </c>
      <c r="O2427" s="2" t="s">
        <v>96</v>
      </c>
      <c r="P2427" s="2" t="str">
        <f>"2170529444                    "</f>
        <v xml:space="preserve">2170529444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3.32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0.5</v>
      </c>
      <c r="BJ2427" s="2">
        <v>1.3</v>
      </c>
      <c r="BK2427" s="2">
        <v>1.5</v>
      </c>
      <c r="BL2427" s="2">
        <v>40.76</v>
      </c>
      <c r="BM2427" s="2">
        <v>5.71</v>
      </c>
      <c r="BN2427" s="2">
        <v>46.47</v>
      </c>
      <c r="BO2427" s="2">
        <v>46.47</v>
      </c>
      <c r="BP2427" s="2"/>
      <c r="BQ2427" s="2" t="s">
        <v>201</v>
      </c>
      <c r="BR2427" s="2" t="s">
        <v>83</v>
      </c>
      <c r="BS2427" s="3">
        <v>42669</v>
      </c>
      <c r="BT2427" s="4">
        <v>0.52777777777777779</v>
      </c>
      <c r="BU2427" s="2" t="s">
        <v>202</v>
      </c>
      <c r="BV2427" s="2" t="s">
        <v>85</v>
      </c>
      <c r="BW2427" s="2"/>
      <c r="BX2427" s="2"/>
      <c r="BY2427" s="2">
        <v>6727.92</v>
      </c>
      <c r="BZ2427" s="2"/>
      <c r="CA2427" s="2"/>
      <c r="CB2427" s="2"/>
      <c r="CC2427" s="2" t="s">
        <v>153</v>
      </c>
      <c r="CD2427" s="2">
        <v>7646</v>
      </c>
      <c r="CE2427" s="2" t="s">
        <v>108</v>
      </c>
      <c r="CF2427" s="5">
        <v>42670</v>
      </c>
      <c r="CG2427" s="2"/>
      <c r="CH2427" s="2"/>
      <c r="CI2427" s="2">
        <v>1</v>
      </c>
      <c r="CJ2427" s="2">
        <v>1</v>
      </c>
      <c r="CK2427" s="2">
        <v>21</v>
      </c>
      <c r="CL2427" s="2" t="s">
        <v>88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"FES1162509187"</f>
        <v>FES1162509187</v>
      </c>
      <c r="F2428" s="3">
        <v>42668</v>
      </c>
      <c r="G2428" s="2">
        <v>201704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98</v>
      </c>
      <c r="M2428" s="2" t="s">
        <v>99</v>
      </c>
      <c r="N2428" s="2" t="s">
        <v>224</v>
      </c>
      <c r="O2428" s="2" t="s">
        <v>96</v>
      </c>
      <c r="P2428" s="2" t="str">
        <f>"2170532376                    "</f>
        <v xml:space="preserve">2170532376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3.32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0.6</v>
      </c>
      <c r="BJ2428" s="2">
        <v>1.6</v>
      </c>
      <c r="BK2428" s="2">
        <v>2</v>
      </c>
      <c r="BL2428" s="2">
        <v>40.76</v>
      </c>
      <c r="BM2428" s="2">
        <v>5.71</v>
      </c>
      <c r="BN2428" s="2">
        <v>46.47</v>
      </c>
      <c r="BO2428" s="2">
        <v>46.47</v>
      </c>
      <c r="BP2428" s="2"/>
      <c r="BQ2428" s="2" t="s">
        <v>1403</v>
      </c>
      <c r="BR2428" s="2" t="s">
        <v>83</v>
      </c>
      <c r="BS2428" s="3">
        <v>42669</v>
      </c>
      <c r="BT2428" s="4">
        <v>0.33680555555555558</v>
      </c>
      <c r="BU2428" s="2" t="s">
        <v>1023</v>
      </c>
      <c r="BV2428" s="2" t="s">
        <v>85</v>
      </c>
      <c r="BW2428" s="2"/>
      <c r="BX2428" s="2"/>
      <c r="BY2428" s="2">
        <v>8167.41</v>
      </c>
      <c r="BZ2428" s="2"/>
      <c r="CA2428" s="2"/>
      <c r="CB2428" s="2"/>
      <c r="CC2428" s="2" t="s">
        <v>99</v>
      </c>
      <c r="CD2428" s="2">
        <v>6001</v>
      </c>
      <c r="CE2428" s="2" t="s">
        <v>108</v>
      </c>
      <c r="CF2428" s="5">
        <v>42670</v>
      </c>
      <c r="CG2428" s="2"/>
      <c r="CH2428" s="2"/>
      <c r="CI2428" s="2">
        <v>1</v>
      </c>
      <c r="CJ2428" s="2">
        <v>1</v>
      </c>
      <c r="CK2428" s="2">
        <v>21</v>
      </c>
      <c r="CL2428" s="2" t="s">
        <v>88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"FES1162508993"</f>
        <v>FES1162508993</v>
      </c>
      <c r="F2429" s="3">
        <v>42668</v>
      </c>
      <c r="G2429" s="2">
        <v>201704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98</v>
      </c>
      <c r="M2429" s="2" t="s">
        <v>99</v>
      </c>
      <c r="N2429" s="2" t="s">
        <v>109</v>
      </c>
      <c r="O2429" s="2" t="s">
        <v>96</v>
      </c>
      <c r="P2429" s="2" t="str">
        <f>"2170528080                    "</f>
        <v xml:space="preserve">2170528080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3.32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0.4</v>
      </c>
      <c r="BJ2429" s="2">
        <v>1.4</v>
      </c>
      <c r="BK2429" s="2">
        <v>1.5</v>
      </c>
      <c r="BL2429" s="2">
        <v>40.76</v>
      </c>
      <c r="BM2429" s="2">
        <v>5.71</v>
      </c>
      <c r="BN2429" s="2">
        <v>46.47</v>
      </c>
      <c r="BO2429" s="2">
        <v>46.47</v>
      </c>
      <c r="BP2429" s="2"/>
      <c r="BQ2429" s="2" t="s">
        <v>110</v>
      </c>
      <c r="BR2429" s="2" t="s">
        <v>83</v>
      </c>
      <c r="BS2429" s="3">
        <v>42669</v>
      </c>
      <c r="BT2429" s="4">
        <v>0.38194444444444442</v>
      </c>
      <c r="BU2429" s="2" t="s">
        <v>609</v>
      </c>
      <c r="BV2429" s="2" t="s">
        <v>85</v>
      </c>
      <c r="BW2429" s="2"/>
      <c r="BX2429" s="2"/>
      <c r="BY2429" s="2">
        <v>6811.39</v>
      </c>
      <c r="BZ2429" s="2"/>
      <c r="CA2429" s="2"/>
      <c r="CB2429" s="2"/>
      <c r="CC2429" s="2" t="s">
        <v>99</v>
      </c>
      <c r="CD2429" s="2">
        <v>6001</v>
      </c>
      <c r="CE2429" s="2" t="s">
        <v>108</v>
      </c>
      <c r="CF2429" s="5">
        <v>42670</v>
      </c>
      <c r="CG2429" s="2"/>
      <c r="CH2429" s="2"/>
      <c r="CI2429" s="2">
        <v>1</v>
      </c>
      <c r="CJ2429" s="2">
        <v>1</v>
      </c>
      <c r="CK2429" s="2">
        <v>21</v>
      </c>
      <c r="CL2429" s="2" t="s">
        <v>88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"FES1162509202"</f>
        <v>FES1162509202</v>
      </c>
      <c r="F2430" s="3">
        <v>42668</v>
      </c>
      <c r="G2430" s="2">
        <v>201704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148</v>
      </c>
      <c r="M2430" s="2" t="s">
        <v>149</v>
      </c>
      <c r="N2430" s="2" t="s">
        <v>1647</v>
      </c>
      <c r="O2430" s="2" t="s">
        <v>96</v>
      </c>
      <c r="P2430" s="2" t="str">
        <f>"2170532399                    "</f>
        <v xml:space="preserve">2170532399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3.32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0.5</v>
      </c>
      <c r="BJ2430" s="2">
        <v>0.2</v>
      </c>
      <c r="BK2430" s="2">
        <v>0.5</v>
      </c>
      <c r="BL2430" s="2">
        <v>40.76</v>
      </c>
      <c r="BM2430" s="2">
        <v>5.71</v>
      </c>
      <c r="BN2430" s="2">
        <v>46.47</v>
      </c>
      <c r="BO2430" s="2">
        <v>46.47</v>
      </c>
      <c r="BP2430" s="2"/>
      <c r="BQ2430" s="2" t="s">
        <v>1648</v>
      </c>
      <c r="BR2430" s="2" t="s">
        <v>83</v>
      </c>
      <c r="BS2430" s="3">
        <v>42669</v>
      </c>
      <c r="BT2430" s="4">
        <v>0.4375</v>
      </c>
      <c r="BU2430" s="2" t="s">
        <v>238</v>
      </c>
      <c r="BV2430" s="2" t="s">
        <v>85</v>
      </c>
      <c r="BW2430" s="2"/>
      <c r="BX2430" s="2"/>
      <c r="BY2430" s="2">
        <v>1200</v>
      </c>
      <c r="BZ2430" s="2"/>
      <c r="CA2430" s="2"/>
      <c r="CB2430" s="2"/>
      <c r="CC2430" s="2" t="s">
        <v>149</v>
      </c>
      <c r="CD2430" s="2">
        <v>4001</v>
      </c>
      <c r="CE2430" s="2" t="s">
        <v>108</v>
      </c>
      <c r="CF2430" s="5">
        <v>42670</v>
      </c>
      <c r="CG2430" s="2"/>
      <c r="CH2430" s="2"/>
      <c r="CI2430" s="2">
        <v>1</v>
      </c>
      <c r="CJ2430" s="2">
        <v>1</v>
      </c>
      <c r="CK2430" s="2">
        <v>21</v>
      </c>
      <c r="CL2430" s="2" t="s">
        <v>88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"FES1162508986"</f>
        <v>FES1162508986</v>
      </c>
      <c r="F2431" s="3">
        <v>42668</v>
      </c>
      <c r="G2431" s="2">
        <v>201704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269</v>
      </c>
      <c r="M2431" s="2" t="s">
        <v>270</v>
      </c>
      <c r="N2431" s="2" t="s">
        <v>565</v>
      </c>
      <c r="O2431" s="2" t="s">
        <v>96</v>
      </c>
      <c r="P2431" s="2" t="str">
        <f>"2170526724                    "</f>
        <v xml:space="preserve">2170526724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31.51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19</v>
      </c>
      <c r="BJ2431" s="2">
        <v>9.1</v>
      </c>
      <c r="BK2431" s="2">
        <v>19</v>
      </c>
      <c r="BL2431" s="2">
        <v>387.19</v>
      </c>
      <c r="BM2431" s="2">
        <v>54.21</v>
      </c>
      <c r="BN2431" s="2">
        <v>441.4</v>
      </c>
      <c r="BO2431" s="2">
        <v>441.4</v>
      </c>
      <c r="BP2431" s="2"/>
      <c r="BQ2431" s="2" t="s">
        <v>566</v>
      </c>
      <c r="BR2431" s="2" t="s">
        <v>83</v>
      </c>
      <c r="BS2431" s="3">
        <v>42669</v>
      </c>
      <c r="BT2431" s="4">
        <v>0.4201388888888889</v>
      </c>
      <c r="BU2431" s="2" t="s">
        <v>2021</v>
      </c>
      <c r="BV2431" s="2" t="s">
        <v>85</v>
      </c>
      <c r="BW2431" s="2"/>
      <c r="BX2431" s="2"/>
      <c r="BY2431" s="2">
        <v>45630</v>
      </c>
      <c r="BZ2431" s="2"/>
      <c r="CA2431" s="2" t="s">
        <v>129</v>
      </c>
      <c r="CB2431" s="2"/>
      <c r="CC2431" s="2" t="s">
        <v>270</v>
      </c>
      <c r="CD2431" s="2">
        <v>3620</v>
      </c>
      <c r="CE2431" s="2" t="s">
        <v>86</v>
      </c>
      <c r="CF2431" s="5">
        <v>42670</v>
      </c>
      <c r="CG2431" s="2"/>
      <c r="CH2431" s="2"/>
      <c r="CI2431" s="2">
        <v>1</v>
      </c>
      <c r="CJ2431" s="2">
        <v>1</v>
      </c>
      <c r="CK2431" s="2">
        <v>21</v>
      </c>
      <c r="CL2431" s="2" t="s">
        <v>88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"FES1162509020"</f>
        <v>FES1162509020</v>
      </c>
      <c r="F2432" s="3">
        <v>42668</v>
      </c>
      <c r="G2432" s="2">
        <v>201704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98</v>
      </c>
      <c r="M2432" s="2" t="s">
        <v>99</v>
      </c>
      <c r="N2432" s="2" t="s">
        <v>190</v>
      </c>
      <c r="O2432" s="2" t="s">
        <v>96</v>
      </c>
      <c r="P2432" s="2" t="str">
        <f>"2170529825                    "</f>
        <v xml:space="preserve">2170529825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19.899999999999999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1</v>
      </c>
      <c r="BI2432" s="2">
        <v>11.8</v>
      </c>
      <c r="BJ2432" s="2">
        <v>8.9</v>
      </c>
      <c r="BK2432" s="2">
        <v>12</v>
      </c>
      <c r="BL2432" s="2">
        <v>244.54</v>
      </c>
      <c r="BM2432" s="2">
        <v>34.24</v>
      </c>
      <c r="BN2432" s="2">
        <v>278.77999999999997</v>
      </c>
      <c r="BO2432" s="2">
        <v>278.77999999999997</v>
      </c>
      <c r="BP2432" s="2"/>
      <c r="BQ2432" s="2" t="s">
        <v>1034</v>
      </c>
      <c r="BR2432" s="2" t="s">
        <v>83</v>
      </c>
      <c r="BS2432" s="3">
        <v>42669</v>
      </c>
      <c r="BT2432" s="4">
        <v>0.28472222222222221</v>
      </c>
      <c r="BU2432" s="2" t="s">
        <v>2326</v>
      </c>
      <c r="BV2432" s="2" t="s">
        <v>85</v>
      </c>
      <c r="BW2432" s="2"/>
      <c r="BX2432" s="2"/>
      <c r="BY2432" s="2">
        <v>44647.199999999997</v>
      </c>
      <c r="BZ2432" s="2"/>
      <c r="CA2432" s="2" t="s">
        <v>129</v>
      </c>
      <c r="CB2432" s="2"/>
      <c r="CC2432" s="2" t="s">
        <v>99</v>
      </c>
      <c r="CD2432" s="2">
        <v>6001</v>
      </c>
      <c r="CE2432" s="2" t="s">
        <v>86</v>
      </c>
      <c r="CF2432" s="5">
        <v>42670</v>
      </c>
      <c r="CG2432" s="2"/>
      <c r="CH2432" s="2"/>
      <c r="CI2432" s="2">
        <v>1</v>
      </c>
      <c r="CJ2432" s="2">
        <v>1</v>
      </c>
      <c r="CK2432" s="2">
        <v>21</v>
      </c>
      <c r="CL2432" s="2" t="s">
        <v>88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"FES1162509136"</f>
        <v>FES1162509136</v>
      </c>
      <c r="F2433" s="3">
        <v>42668</v>
      </c>
      <c r="G2433" s="2">
        <v>201704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98</v>
      </c>
      <c r="M2433" s="2" t="s">
        <v>99</v>
      </c>
      <c r="N2433" s="2" t="s">
        <v>176</v>
      </c>
      <c r="O2433" s="2" t="s">
        <v>96</v>
      </c>
      <c r="P2433" s="2" t="str">
        <f>"2170532304                    "</f>
        <v xml:space="preserve">2170532304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20.73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12.3</v>
      </c>
      <c r="BJ2433" s="2">
        <v>4.4000000000000004</v>
      </c>
      <c r="BK2433" s="2">
        <v>12.5</v>
      </c>
      <c r="BL2433" s="2">
        <v>254.73</v>
      </c>
      <c r="BM2433" s="2">
        <v>35.659999999999997</v>
      </c>
      <c r="BN2433" s="2">
        <v>290.39</v>
      </c>
      <c r="BO2433" s="2">
        <v>290.39</v>
      </c>
      <c r="BP2433" s="2"/>
      <c r="BQ2433" s="2" t="s">
        <v>91</v>
      </c>
      <c r="BR2433" s="2" t="s">
        <v>83</v>
      </c>
      <c r="BS2433" s="3">
        <v>42669</v>
      </c>
      <c r="BT2433" s="4">
        <v>0.3611111111111111</v>
      </c>
      <c r="BU2433" s="2" t="s">
        <v>554</v>
      </c>
      <c r="BV2433" s="2" t="s">
        <v>85</v>
      </c>
      <c r="BW2433" s="2"/>
      <c r="BX2433" s="2"/>
      <c r="BY2433" s="2">
        <v>22182.93</v>
      </c>
      <c r="BZ2433" s="2"/>
      <c r="CA2433" s="2"/>
      <c r="CB2433" s="2"/>
      <c r="CC2433" s="2" t="s">
        <v>99</v>
      </c>
      <c r="CD2433" s="2">
        <v>6020</v>
      </c>
      <c r="CE2433" s="2" t="s">
        <v>86</v>
      </c>
      <c r="CF2433" s="5">
        <v>42670</v>
      </c>
      <c r="CG2433" s="2"/>
      <c r="CH2433" s="2"/>
      <c r="CI2433" s="2">
        <v>1</v>
      </c>
      <c r="CJ2433" s="2">
        <v>1</v>
      </c>
      <c r="CK2433" s="2">
        <v>21</v>
      </c>
      <c r="CL2433" s="2" t="s">
        <v>88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"FES1162509041"</f>
        <v>FES1162509041</v>
      </c>
      <c r="F2434" s="3">
        <v>42668</v>
      </c>
      <c r="G2434" s="2">
        <v>201704</v>
      </c>
      <c r="H2434" s="2" t="s">
        <v>74</v>
      </c>
      <c r="I2434" s="2" t="s">
        <v>75</v>
      </c>
      <c r="J2434" s="2" t="s">
        <v>76</v>
      </c>
      <c r="K2434" s="2" t="s">
        <v>77</v>
      </c>
      <c r="L2434" s="2" t="s">
        <v>872</v>
      </c>
      <c r="M2434" s="2" t="s">
        <v>873</v>
      </c>
      <c r="N2434" s="2" t="s">
        <v>1342</v>
      </c>
      <c r="O2434" s="2" t="s">
        <v>96</v>
      </c>
      <c r="P2434" s="2" t="str">
        <f>"2170530151                    "</f>
        <v xml:space="preserve">2170530151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3.32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0.8</v>
      </c>
      <c r="BJ2434" s="2">
        <v>1</v>
      </c>
      <c r="BK2434" s="2">
        <v>1</v>
      </c>
      <c r="BL2434" s="2">
        <v>40.76</v>
      </c>
      <c r="BM2434" s="2">
        <v>5.71</v>
      </c>
      <c r="BN2434" s="2">
        <v>46.47</v>
      </c>
      <c r="BO2434" s="2">
        <v>46.47</v>
      </c>
      <c r="BP2434" s="2"/>
      <c r="BQ2434" s="2" t="s">
        <v>1343</v>
      </c>
      <c r="BR2434" s="2" t="s">
        <v>83</v>
      </c>
      <c r="BS2434" s="3">
        <v>42669</v>
      </c>
      <c r="BT2434" s="4">
        <v>0.34375</v>
      </c>
      <c r="BU2434" s="2" t="s">
        <v>135</v>
      </c>
      <c r="BV2434" s="2" t="s">
        <v>85</v>
      </c>
      <c r="BW2434" s="2"/>
      <c r="BX2434" s="2"/>
      <c r="BY2434" s="2">
        <v>5005.26</v>
      </c>
      <c r="BZ2434" s="2"/>
      <c r="CA2434" s="2" t="s">
        <v>129</v>
      </c>
      <c r="CB2434" s="2"/>
      <c r="CC2434" s="2" t="s">
        <v>873</v>
      </c>
      <c r="CD2434" s="2">
        <v>4126</v>
      </c>
      <c r="CE2434" s="2" t="s">
        <v>86</v>
      </c>
      <c r="CF2434" s="5">
        <v>42670</v>
      </c>
      <c r="CG2434" s="2"/>
      <c r="CH2434" s="2"/>
      <c r="CI2434" s="2">
        <v>1</v>
      </c>
      <c r="CJ2434" s="2">
        <v>1</v>
      </c>
      <c r="CK2434" s="2">
        <v>21</v>
      </c>
      <c r="CL2434" s="2" t="s">
        <v>88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"FES1162509204"</f>
        <v>FES1162509204</v>
      </c>
      <c r="F2435" s="3">
        <v>42668</v>
      </c>
      <c r="G2435" s="2">
        <v>201704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148</v>
      </c>
      <c r="M2435" s="2" t="s">
        <v>149</v>
      </c>
      <c r="N2435" s="2" t="s">
        <v>483</v>
      </c>
      <c r="O2435" s="2" t="s">
        <v>96</v>
      </c>
      <c r="P2435" s="2" t="str">
        <f>"2170532401                    "</f>
        <v xml:space="preserve">2170532401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3.32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0.5</v>
      </c>
      <c r="BJ2435" s="2">
        <v>0.2</v>
      </c>
      <c r="BK2435" s="2">
        <v>0.5</v>
      </c>
      <c r="BL2435" s="2">
        <v>40.76</v>
      </c>
      <c r="BM2435" s="2">
        <v>5.71</v>
      </c>
      <c r="BN2435" s="2">
        <v>46.47</v>
      </c>
      <c r="BO2435" s="2">
        <v>46.47</v>
      </c>
      <c r="BP2435" s="2"/>
      <c r="BQ2435" s="2" t="s">
        <v>484</v>
      </c>
      <c r="BR2435" s="2" t="s">
        <v>83</v>
      </c>
      <c r="BS2435" s="3">
        <v>42669</v>
      </c>
      <c r="BT2435" s="4">
        <v>0.4375</v>
      </c>
      <c r="BU2435" s="2" t="s">
        <v>2017</v>
      </c>
      <c r="BV2435" s="2"/>
      <c r="BW2435" s="2"/>
      <c r="BX2435" s="2"/>
      <c r="BY2435" s="2">
        <v>1200</v>
      </c>
      <c r="BZ2435" s="2"/>
      <c r="CA2435" s="2"/>
      <c r="CB2435" s="2"/>
      <c r="CC2435" s="2" t="s">
        <v>149</v>
      </c>
      <c r="CD2435" s="2">
        <v>4001</v>
      </c>
      <c r="CE2435" s="2" t="s">
        <v>108</v>
      </c>
      <c r="CF2435" s="5">
        <v>42670</v>
      </c>
      <c r="CG2435" s="2"/>
      <c r="CH2435" s="2"/>
      <c r="CI2435" s="2">
        <v>0</v>
      </c>
      <c r="CJ2435" s="2">
        <v>0</v>
      </c>
      <c r="CK2435" s="2">
        <v>21</v>
      </c>
      <c r="CL2435" s="2" t="s">
        <v>88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"FES1162509071"</f>
        <v>FES1162509071</v>
      </c>
      <c r="F2436" s="3">
        <v>42668</v>
      </c>
      <c r="G2436" s="2">
        <v>201704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253</v>
      </c>
      <c r="M2436" s="2" t="s">
        <v>254</v>
      </c>
      <c r="N2436" s="2" t="s">
        <v>255</v>
      </c>
      <c r="O2436" s="2" t="s">
        <v>96</v>
      </c>
      <c r="P2436" s="2" t="str">
        <f>"2170531440                    "</f>
        <v xml:space="preserve">2170531440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6.43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0.5</v>
      </c>
      <c r="BJ2436" s="2">
        <v>0.2</v>
      </c>
      <c r="BK2436" s="2">
        <v>0.5</v>
      </c>
      <c r="BL2436" s="2">
        <v>78.97</v>
      </c>
      <c r="BM2436" s="2">
        <v>11.06</v>
      </c>
      <c r="BN2436" s="2">
        <v>90.03</v>
      </c>
      <c r="BO2436" s="2">
        <v>90.03</v>
      </c>
      <c r="BP2436" s="2"/>
      <c r="BQ2436" s="2" t="s">
        <v>117</v>
      </c>
      <c r="BR2436" s="2" t="s">
        <v>83</v>
      </c>
      <c r="BS2436" s="3">
        <v>42669</v>
      </c>
      <c r="BT2436" s="4">
        <v>0.52083333333333337</v>
      </c>
      <c r="BU2436" s="2" t="s">
        <v>2290</v>
      </c>
      <c r="BV2436" s="2" t="s">
        <v>85</v>
      </c>
      <c r="BW2436" s="2"/>
      <c r="BX2436" s="2"/>
      <c r="BY2436" s="2">
        <v>1200</v>
      </c>
      <c r="BZ2436" s="2"/>
      <c r="CA2436" s="2"/>
      <c r="CB2436" s="2"/>
      <c r="CC2436" s="2" t="s">
        <v>254</v>
      </c>
      <c r="CD2436" s="2">
        <v>3370</v>
      </c>
      <c r="CE2436" s="2" t="s">
        <v>108</v>
      </c>
      <c r="CF2436" s="5">
        <v>42671</v>
      </c>
      <c r="CG2436" s="2"/>
      <c r="CH2436" s="2"/>
      <c r="CI2436" s="2">
        <v>3</v>
      </c>
      <c r="CJ2436" s="2">
        <v>1</v>
      </c>
      <c r="CK2436" s="2">
        <v>23</v>
      </c>
      <c r="CL2436" s="2" t="s">
        <v>88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"FES1162509073"</f>
        <v>FES1162509073</v>
      </c>
      <c r="F2437" s="3">
        <v>42668</v>
      </c>
      <c r="G2437" s="2">
        <v>201704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137</v>
      </c>
      <c r="M2437" s="2" t="s">
        <v>138</v>
      </c>
      <c r="N2437" s="2" t="s">
        <v>2060</v>
      </c>
      <c r="O2437" s="2" t="s">
        <v>96</v>
      </c>
      <c r="P2437" s="2" t="str">
        <f>"2170531493                    "</f>
        <v xml:space="preserve">2170531493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3.32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40.76</v>
      </c>
      <c r="BM2437" s="2">
        <v>5.71</v>
      </c>
      <c r="BN2437" s="2">
        <v>46.47</v>
      </c>
      <c r="BO2437" s="2">
        <v>46.47</v>
      </c>
      <c r="BP2437" s="2"/>
      <c r="BQ2437" s="2" t="s">
        <v>2061</v>
      </c>
      <c r="BR2437" s="2" t="s">
        <v>83</v>
      </c>
      <c r="BS2437" s="3">
        <v>42669</v>
      </c>
      <c r="BT2437" s="4">
        <v>0.39583333333333331</v>
      </c>
      <c r="BU2437" s="2" t="s">
        <v>2287</v>
      </c>
      <c r="BV2437" s="2" t="s">
        <v>85</v>
      </c>
      <c r="BW2437" s="2"/>
      <c r="BX2437" s="2"/>
      <c r="BY2437" s="2">
        <v>1200</v>
      </c>
      <c r="BZ2437" s="2"/>
      <c r="CA2437" s="2" t="s">
        <v>170</v>
      </c>
      <c r="CB2437" s="2"/>
      <c r="CC2437" s="2" t="s">
        <v>138</v>
      </c>
      <c r="CD2437" s="2">
        <v>3201</v>
      </c>
      <c r="CE2437" s="2" t="s">
        <v>108</v>
      </c>
      <c r="CF2437" s="5">
        <v>42669</v>
      </c>
      <c r="CG2437" s="2"/>
      <c r="CH2437" s="2"/>
      <c r="CI2437" s="2">
        <v>1</v>
      </c>
      <c r="CJ2437" s="2">
        <v>1</v>
      </c>
      <c r="CK2437" s="2">
        <v>21</v>
      </c>
      <c r="CL2437" s="2" t="s">
        <v>88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"FES1162509080"</f>
        <v>FES1162509080</v>
      </c>
      <c r="F2438" s="3">
        <v>42668</v>
      </c>
      <c r="G2438" s="2">
        <v>201704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1954</v>
      </c>
      <c r="M2438" s="2" t="s">
        <v>1955</v>
      </c>
      <c r="N2438" s="2" t="s">
        <v>1296</v>
      </c>
      <c r="O2438" s="2" t="s">
        <v>96</v>
      </c>
      <c r="P2438" s="2" t="str">
        <f>"2170531679                    "</f>
        <v xml:space="preserve">2170531679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6.43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0.5</v>
      </c>
      <c r="BJ2438" s="2">
        <v>0.2</v>
      </c>
      <c r="BK2438" s="2">
        <v>0.5</v>
      </c>
      <c r="BL2438" s="2">
        <v>78.97</v>
      </c>
      <c r="BM2438" s="2">
        <v>11.06</v>
      </c>
      <c r="BN2438" s="2">
        <v>90.03</v>
      </c>
      <c r="BO2438" s="2">
        <v>90.03</v>
      </c>
      <c r="BP2438" s="2"/>
      <c r="BQ2438" s="2" t="s">
        <v>117</v>
      </c>
      <c r="BR2438" s="2" t="s">
        <v>83</v>
      </c>
      <c r="BS2438" s="3">
        <v>42669</v>
      </c>
      <c r="BT2438" s="4">
        <v>0.45833333333333331</v>
      </c>
      <c r="BU2438" s="2" t="s">
        <v>2289</v>
      </c>
      <c r="BV2438" s="2" t="s">
        <v>85</v>
      </c>
      <c r="BW2438" s="2"/>
      <c r="BX2438" s="2"/>
      <c r="BY2438" s="2">
        <v>1200</v>
      </c>
      <c r="BZ2438" s="2"/>
      <c r="CA2438" s="2"/>
      <c r="CB2438" s="2"/>
      <c r="CC2438" s="2" t="s">
        <v>1955</v>
      </c>
      <c r="CD2438" s="2">
        <v>4240</v>
      </c>
      <c r="CE2438" s="2" t="s">
        <v>108</v>
      </c>
      <c r="CF2438" s="5">
        <v>42671</v>
      </c>
      <c r="CG2438" s="2"/>
      <c r="CH2438" s="2"/>
      <c r="CI2438" s="2">
        <v>1</v>
      </c>
      <c r="CJ2438" s="2">
        <v>1</v>
      </c>
      <c r="CK2438" s="2">
        <v>23</v>
      </c>
      <c r="CL2438" s="2" t="s">
        <v>88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"FES1162509025"</f>
        <v>FES1162509025</v>
      </c>
      <c r="F2439" s="3">
        <v>42668</v>
      </c>
      <c r="G2439" s="2">
        <v>201704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269</v>
      </c>
      <c r="M2439" s="2" t="s">
        <v>270</v>
      </c>
      <c r="N2439" s="2" t="s">
        <v>284</v>
      </c>
      <c r="O2439" s="2" t="s">
        <v>96</v>
      </c>
      <c r="P2439" s="2" t="str">
        <f>"2170529941                    "</f>
        <v xml:space="preserve">2170529941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3.32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0.7</v>
      </c>
      <c r="BJ2439" s="2">
        <v>0.8</v>
      </c>
      <c r="BK2439" s="2">
        <v>1</v>
      </c>
      <c r="BL2439" s="2">
        <v>40.76</v>
      </c>
      <c r="BM2439" s="2">
        <v>5.71</v>
      </c>
      <c r="BN2439" s="2">
        <v>46.47</v>
      </c>
      <c r="BO2439" s="2">
        <v>46.47</v>
      </c>
      <c r="BP2439" s="2"/>
      <c r="BQ2439" s="2" t="s">
        <v>117</v>
      </c>
      <c r="BR2439" s="2" t="s">
        <v>83</v>
      </c>
      <c r="BS2439" s="3">
        <v>42669</v>
      </c>
      <c r="BT2439" s="4">
        <v>0.41388888888888892</v>
      </c>
      <c r="BU2439" s="2" t="s">
        <v>2000</v>
      </c>
      <c r="BV2439" s="2" t="s">
        <v>85</v>
      </c>
      <c r="BW2439" s="2"/>
      <c r="BX2439" s="2"/>
      <c r="BY2439" s="2">
        <v>3805.06</v>
      </c>
      <c r="BZ2439" s="2"/>
      <c r="CA2439" s="2" t="s">
        <v>129</v>
      </c>
      <c r="CB2439" s="2"/>
      <c r="CC2439" s="2" t="s">
        <v>270</v>
      </c>
      <c r="CD2439" s="2">
        <v>3610</v>
      </c>
      <c r="CE2439" s="2" t="s">
        <v>108</v>
      </c>
      <c r="CF2439" s="5">
        <v>42670</v>
      </c>
      <c r="CG2439" s="2"/>
      <c r="CH2439" s="2"/>
      <c r="CI2439" s="2">
        <v>1</v>
      </c>
      <c r="CJ2439" s="2">
        <v>1</v>
      </c>
      <c r="CK2439" s="2">
        <v>21</v>
      </c>
      <c r="CL2439" s="2" t="s">
        <v>88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"FES1162509175"</f>
        <v>FES1162509175</v>
      </c>
      <c r="F2440" s="3">
        <v>42668</v>
      </c>
      <c r="G2440" s="2">
        <v>201704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98</v>
      </c>
      <c r="M2440" s="2" t="s">
        <v>99</v>
      </c>
      <c r="N2440" s="2" t="s">
        <v>2102</v>
      </c>
      <c r="O2440" s="2" t="s">
        <v>96</v>
      </c>
      <c r="P2440" s="2" t="str">
        <f>"2170532357                    "</f>
        <v xml:space="preserve">2170532357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3.32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1.7</v>
      </c>
      <c r="BJ2440" s="2">
        <v>1.7</v>
      </c>
      <c r="BK2440" s="2">
        <v>2</v>
      </c>
      <c r="BL2440" s="2">
        <v>40.76</v>
      </c>
      <c r="BM2440" s="2">
        <v>5.71</v>
      </c>
      <c r="BN2440" s="2">
        <v>46.47</v>
      </c>
      <c r="BO2440" s="2">
        <v>46.47</v>
      </c>
      <c r="BP2440" s="2"/>
      <c r="BQ2440" s="2" t="s">
        <v>1032</v>
      </c>
      <c r="BR2440" s="2" t="s">
        <v>83</v>
      </c>
      <c r="BS2440" s="3">
        <v>42669</v>
      </c>
      <c r="BT2440" s="4">
        <v>0.38541666666666669</v>
      </c>
      <c r="BU2440" s="2" t="s">
        <v>431</v>
      </c>
      <c r="BV2440" s="2" t="s">
        <v>85</v>
      </c>
      <c r="BW2440" s="2"/>
      <c r="BX2440" s="2"/>
      <c r="BY2440" s="2">
        <v>8603.1</v>
      </c>
      <c r="BZ2440" s="2"/>
      <c r="CA2440" s="2"/>
      <c r="CB2440" s="2"/>
      <c r="CC2440" s="2" t="s">
        <v>99</v>
      </c>
      <c r="CD2440" s="2">
        <v>6001</v>
      </c>
      <c r="CE2440" s="2" t="s">
        <v>108</v>
      </c>
      <c r="CF2440" s="5">
        <v>42670</v>
      </c>
      <c r="CG2440" s="2"/>
      <c r="CH2440" s="2"/>
      <c r="CI2440" s="2">
        <v>1</v>
      </c>
      <c r="CJ2440" s="2">
        <v>1</v>
      </c>
      <c r="CK2440" s="2">
        <v>21</v>
      </c>
      <c r="CL2440" s="2" t="s">
        <v>88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"FES1162508961"</f>
        <v>FES1162508961</v>
      </c>
      <c r="F2441" s="3">
        <v>42668</v>
      </c>
      <c r="G2441" s="2">
        <v>201704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218</v>
      </c>
      <c r="M2441" s="2" t="s">
        <v>219</v>
      </c>
      <c r="N2441" s="2" t="s">
        <v>220</v>
      </c>
      <c r="O2441" s="2" t="s">
        <v>96</v>
      </c>
      <c r="P2441" s="2" t="str">
        <f>"2170531681                    "</f>
        <v xml:space="preserve">2170531681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3.32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0.3</v>
      </c>
      <c r="BJ2441" s="2">
        <v>0.4</v>
      </c>
      <c r="BK2441" s="2">
        <v>0.5</v>
      </c>
      <c r="BL2441" s="2">
        <v>40.76</v>
      </c>
      <c r="BM2441" s="2">
        <v>5.71</v>
      </c>
      <c r="BN2441" s="2">
        <v>46.47</v>
      </c>
      <c r="BO2441" s="2">
        <v>46.47</v>
      </c>
      <c r="BP2441" s="2"/>
      <c r="BQ2441" s="2" t="s">
        <v>91</v>
      </c>
      <c r="BR2441" s="2" t="s">
        <v>83</v>
      </c>
      <c r="BS2441" s="3">
        <v>42669</v>
      </c>
      <c r="BT2441" s="4">
        <v>0.41666666666666669</v>
      </c>
      <c r="BU2441" s="2" t="s">
        <v>631</v>
      </c>
      <c r="BV2441" s="2" t="s">
        <v>85</v>
      </c>
      <c r="BW2441" s="2"/>
      <c r="BX2441" s="2"/>
      <c r="BY2441" s="2">
        <v>2219.7800000000002</v>
      </c>
      <c r="BZ2441" s="2"/>
      <c r="CA2441" s="2"/>
      <c r="CB2441" s="2"/>
      <c r="CC2441" s="2" t="s">
        <v>219</v>
      </c>
      <c r="CD2441" s="2">
        <v>7600</v>
      </c>
      <c r="CE2441" s="2" t="s">
        <v>108</v>
      </c>
      <c r="CF2441" s="5">
        <v>42670</v>
      </c>
      <c r="CG2441" s="2"/>
      <c r="CH2441" s="2"/>
      <c r="CI2441" s="2">
        <v>1</v>
      </c>
      <c r="CJ2441" s="2">
        <v>1</v>
      </c>
      <c r="CK2441" s="2">
        <v>21</v>
      </c>
      <c r="CL2441" s="2" t="s">
        <v>88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"FES1162509047"</f>
        <v>FES1162509047</v>
      </c>
      <c r="F2442" s="3">
        <v>42668</v>
      </c>
      <c r="G2442" s="2">
        <v>201704</v>
      </c>
      <c r="H2442" s="2" t="s">
        <v>74</v>
      </c>
      <c r="I2442" s="2" t="s">
        <v>75</v>
      </c>
      <c r="J2442" s="2" t="s">
        <v>76</v>
      </c>
      <c r="K2442" s="2" t="s">
        <v>77</v>
      </c>
      <c r="L2442" s="2" t="s">
        <v>269</v>
      </c>
      <c r="M2442" s="2" t="s">
        <v>270</v>
      </c>
      <c r="N2442" s="2" t="s">
        <v>565</v>
      </c>
      <c r="O2442" s="2" t="s">
        <v>96</v>
      </c>
      <c r="P2442" s="2" t="str">
        <f>"2170530197                    "</f>
        <v xml:space="preserve">2170530197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3.32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0.3</v>
      </c>
      <c r="BJ2442" s="2">
        <v>1.2</v>
      </c>
      <c r="BK2442" s="2">
        <v>1.5</v>
      </c>
      <c r="BL2442" s="2">
        <v>40.76</v>
      </c>
      <c r="BM2442" s="2">
        <v>5.71</v>
      </c>
      <c r="BN2442" s="2">
        <v>46.47</v>
      </c>
      <c r="BO2442" s="2">
        <v>46.47</v>
      </c>
      <c r="BP2442" s="2"/>
      <c r="BQ2442" s="2" t="s">
        <v>566</v>
      </c>
      <c r="BR2442" s="2" t="s">
        <v>83</v>
      </c>
      <c r="BS2442" s="3">
        <v>42669</v>
      </c>
      <c r="BT2442" s="4">
        <v>0.4201388888888889</v>
      </c>
      <c r="BU2442" s="2" t="s">
        <v>2021</v>
      </c>
      <c r="BV2442" s="2" t="s">
        <v>85</v>
      </c>
      <c r="BW2442" s="2"/>
      <c r="BX2442" s="2"/>
      <c r="BY2442" s="2">
        <v>5884.7</v>
      </c>
      <c r="BZ2442" s="2"/>
      <c r="CA2442" s="2" t="s">
        <v>129</v>
      </c>
      <c r="CB2442" s="2"/>
      <c r="CC2442" s="2" t="s">
        <v>270</v>
      </c>
      <c r="CD2442" s="2">
        <v>3620</v>
      </c>
      <c r="CE2442" s="2" t="s">
        <v>108</v>
      </c>
      <c r="CF2442" s="5">
        <v>42670</v>
      </c>
      <c r="CG2442" s="2"/>
      <c r="CH2442" s="2"/>
      <c r="CI2442" s="2">
        <v>1</v>
      </c>
      <c r="CJ2442" s="2">
        <v>1</v>
      </c>
      <c r="CK2442" s="2">
        <v>21</v>
      </c>
      <c r="CL2442" s="2" t="s">
        <v>88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"FES1162509021"</f>
        <v>FES1162509021</v>
      </c>
      <c r="F2443" s="3">
        <v>42668</v>
      </c>
      <c r="G2443" s="2">
        <v>201704</v>
      </c>
      <c r="H2443" s="2" t="s">
        <v>74</v>
      </c>
      <c r="I2443" s="2" t="s">
        <v>75</v>
      </c>
      <c r="J2443" s="2" t="s">
        <v>76</v>
      </c>
      <c r="K2443" s="2" t="s">
        <v>77</v>
      </c>
      <c r="L2443" s="2" t="s">
        <v>78</v>
      </c>
      <c r="M2443" s="2" t="s">
        <v>79</v>
      </c>
      <c r="N2443" s="2" t="s">
        <v>1460</v>
      </c>
      <c r="O2443" s="2" t="s">
        <v>96</v>
      </c>
      <c r="P2443" s="2" t="str">
        <f>"2170529827                    "</f>
        <v xml:space="preserve">2170529827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3.32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1</v>
      </c>
      <c r="BI2443" s="2">
        <v>0.5</v>
      </c>
      <c r="BJ2443" s="2">
        <v>0.2</v>
      </c>
      <c r="BK2443" s="2">
        <v>0.5</v>
      </c>
      <c r="BL2443" s="2">
        <v>40.76</v>
      </c>
      <c r="BM2443" s="2">
        <v>5.71</v>
      </c>
      <c r="BN2443" s="2">
        <v>46.47</v>
      </c>
      <c r="BO2443" s="2">
        <v>46.47</v>
      </c>
      <c r="BP2443" s="2"/>
      <c r="BQ2443" s="2" t="s">
        <v>91</v>
      </c>
      <c r="BR2443" s="2" t="s">
        <v>83</v>
      </c>
      <c r="BS2443" s="3">
        <v>42669</v>
      </c>
      <c r="BT2443" s="4">
        <v>0.41666666666666669</v>
      </c>
      <c r="BU2443" s="2" t="s">
        <v>2354</v>
      </c>
      <c r="BV2443" s="2" t="s">
        <v>85</v>
      </c>
      <c r="BW2443" s="2"/>
      <c r="BX2443" s="2"/>
      <c r="BY2443" s="2">
        <v>1200</v>
      </c>
      <c r="BZ2443" s="2"/>
      <c r="CA2443" s="2"/>
      <c r="CB2443" s="2"/>
      <c r="CC2443" s="2" t="s">
        <v>79</v>
      </c>
      <c r="CD2443" s="2">
        <v>1961</v>
      </c>
      <c r="CE2443" s="2" t="s">
        <v>108</v>
      </c>
      <c r="CF2443" s="5">
        <v>42671</v>
      </c>
      <c r="CG2443" s="2"/>
      <c r="CH2443" s="2"/>
      <c r="CI2443" s="2">
        <v>1</v>
      </c>
      <c r="CJ2443" s="2">
        <v>1</v>
      </c>
      <c r="CK2443" s="2">
        <v>21</v>
      </c>
      <c r="CL2443" s="2" t="s">
        <v>88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"FES1162509313"</f>
        <v>FES1162509313</v>
      </c>
      <c r="F2444" s="3">
        <v>42668</v>
      </c>
      <c r="G2444" s="2">
        <v>201704</v>
      </c>
      <c r="H2444" s="2" t="s">
        <v>74</v>
      </c>
      <c r="I2444" s="2" t="s">
        <v>75</v>
      </c>
      <c r="J2444" s="2" t="s">
        <v>76</v>
      </c>
      <c r="K2444" s="2" t="s">
        <v>77</v>
      </c>
      <c r="L2444" s="2" t="s">
        <v>148</v>
      </c>
      <c r="M2444" s="2" t="s">
        <v>149</v>
      </c>
      <c r="N2444" s="2" t="s">
        <v>2185</v>
      </c>
      <c r="O2444" s="2" t="s">
        <v>96</v>
      </c>
      <c r="P2444" s="2" t="str">
        <f>"2170532536                    "</f>
        <v xml:space="preserve">2170532536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3.32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0.3</v>
      </c>
      <c r="BJ2444" s="2">
        <v>1.3</v>
      </c>
      <c r="BK2444" s="2">
        <v>1.5</v>
      </c>
      <c r="BL2444" s="2">
        <v>40.76</v>
      </c>
      <c r="BM2444" s="2">
        <v>5.71</v>
      </c>
      <c r="BN2444" s="2">
        <v>46.47</v>
      </c>
      <c r="BO2444" s="2">
        <v>46.47</v>
      </c>
      <c r="BP2444" s="2"/>
      <c r="BQ2444" s="2" t="s">
        <v>2186</v>
      </c>
      <c r="BR2444" s="2" t="s">
        <v>83</v>
      </c>
      <c r="BS2444" s="3">
        <v>42669</v>
      </c>
      <c r="BT2444" s="4">
        <v>0.4375</v>
      </c>
      <c r="BU2444" s="2" t="s">
        <v>2355</v>
      </c>
      <c r="BV2444" s="2" t="s">
        <v>85</v>
      </c>
      <c r="BW2444" s="2"/>
      <c r="BX2444" s="2"/>
      <c r="BY2444" s="2">
        <v>6607.76</v>
      </c>
      <c r="BZ2444" s="2"/>
      <c r="CA2444" s="2" t="s">
        <v>129</v>
      </c>
      <c r="CB2444" s="2"/>
      <c r="CC2444" s="2" t="s">
        <v>149</v>
      </c>
      <c r="CD2444" s="2">
        <v>4052</v>
      </c>
      <c r="CE2444" s="2" t="s">
        <v>108</v>
      </c>
      <c r="CF2444" s="5">
        <v>42670</v>
      </c>
      <c r="CG2444" s="2"/>
      <c r="CH2444" s="2"/>
      <c r="CI2444" s="2">
        <v>1</v>
      </c>
      <c r="CJ2444" s="2">
        <v>1</v>
      </c>
      <c r="CK2444" s="2">
        <v>21</v>
      </c>
      <c r="CL2444" s="2" t="s">
        <v>88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"FES1162509095"</f>
        <v>FES1162509095</v>
      </c>
      <c r="F2445" s="3">
        <v>42668</v>
      </c>
      <c r="G2445" s="2">
        <v>201704</v>
      </c>
      <c r="H2445" s="2" t="s">
        <v>74</v>
      </c>
      <c r="I2445" s="2" t="s">
        <v>75</v>
      </c>
      <c r="J2445" s="2" t="s">
        <v>76</v>
      </c>
      <c r="K2445" s="2" t="s">
        <v>77</v>
      </c>
      <c r="L2445" s="2" t="s">
        <v>143</v>
      </c>
      <c r="M2445" s="2" t="s">
        <v>144</v>
      </c>
      <c r="N2445" s="2" t="s">
        <v>2249</v>
      </c>
      <c r="O2445" s="2" t="s">
        <v>96</v>
      </c>
      <c r="P2445" s="2" t="str">
        <f>"2170532223                    "</f>
        <v xml:space="preserve">2170532223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3.32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0.6</v>
      </c>
      <c r="BJ2445" s="2">
        <v>1.3</v>
      </c>
      <c r="BK2445" s="2">
        <v>1.5</v>
      </c>
      <c r="BL2445" s="2">
        <v>40.76</v>
      </c>
      <c r="BM2445" s="2">
        <v>5.71</v>
      </c>
      <c r="BN2445" s="2">
        <v>46.47</v>
      </c>
      <c r="BO2445" s="2">
        <v>46.47</v>
      </c>
      <c r="BP2445" s="2"/>
      <c r="BQ2445" s="2" t="s">
        <v>82</v>
      </c>
      <c r="BR2445" s="2" t="s">
        <v>83</v>
      </c>
      <c r="BS2445" s="3">
        <v>42669</v>
      </c>
      <c r="BT2445" s="4">
        <v>0.4375</v>
      </c>
      <c r="BU2445" s="2" t="s">
        <v>2356</v>
      </c>
      <c r="BV2445" s="2"/>
      <c r="BW2445" s="2"/>
      <c r="BX2445" s="2"/>
      <c r="BY2445" s="2">
        <v>6437.91</v>
      </c>
      <c r="BZ2445" s="2"/>
      <c r="CA2445" s="2"/>
      <c r="CB2445" s="2"/>
      <c r="CC2445" s="2" t="s">
        <v>144</v>
      </c>
      <c r="CD2445" s="2">
        <v>5201</v>
      </c>
      <c r="CE2445" s="2" t="s">
        <v>108</v>
      </c>
      <c r="CF2445" s="5">
        <v>42671</v>
      </c>
      <c r="CG2445" s="2"/>
      <c r="CH2445" s="2"/>
      <c r="CI2445" s="2">
        <v>0</v>
      </c>
      <c r="CJ2445" s="2">
        <v>0</v>
      </c>
      <c r="CK2445" s="2">
        <v>21</v>
      </c>
      <c r="CL2445" s="2" t="s">
        <v>88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"FES1162509117"</f>
        <v>FES1162509117</v>
      </c>
      <c r="F2446" s="3">
        <v>42668</v>
      </c>
      <c r="G2446" s="2">
        <v>201704</v>
      </c>
      <c r="H2446" s="2" t="s">
        <v>74</v>
      </c>
      <c r="I2446" s="2" t="s">
        <v>75</v>
      </c>
      <c r="J2446" s="2" t="s">
        <v>76</v>
      </c>
      <c r="K2446" s="2" t="s">
        <v>77</v>
      </c>
      <c r="L2446" s="2" t="s">
        <v>160</v>
      </c>
      <c r="M2446" s="2" t="s">
        <v>161</v>
      </c>
      <c r="N2446" s="2" t="s">
        <v>409</v>
      </c>
      <c r="O2446" s="2" t="s">
        <v>96</v>
      </c>
      <c r="P2446" s="2" t="str">
        <f>"2170532274                    "</f>
        <v xml:space="preserve">2170532274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15.76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4.3</v>
      </c>
      <c r="BJ2446" s="2">
        <v>9.3000000000000007</v>
      </c>
      <c r="BK2446" s="2">
        <v>9.5</v>
      </c>
      <c r="BL2446" s="2">
        <v>193.6</v>
      </c>
      <c r="BM2446" s="2">
        <v>27.1</v>
      </c>
      <c r="BN2446" s="2">
        <v>220.7</v>
      </c>
      <c r="BO2446" s="2">
        <v>220.7</v>
      </c>
      <c r="BP2446" s="2"/>
      <c r="BQ2446" s="2" t="s">
        <v>410</v>
      </c>
      <c r="BR2446" s="2" t="s">
        <v>83</v>
      </c>
      <c r="BS2446" s="3">
        <v>42669</v>
      </c>
      <c r="BT2446" s="4">
        <v>0.375</v>
      </c>
      <c r="BU2446" s="2" t="s">
        <v>410</v>
      </c>
      <c r="BV2446" s="2" t="s">
        <v>85</v>
      </c>
      <c r="BW2446" s="2"/>
      <c r="BX2446" s="2"/>
      <c r="BY2446" s="2">
        <v>46494.5</v>
      </c>
      <c r="BZ2446" s="2"/>
      <c r="CA2446" s="2"/>
      <c r="CB2446" s="2"/>
      <c r="CC2446" s="2" t="s">
        <v>161</v>
      </c>
      <c r="CD2446" s="2">
        <v>7975</v>
      </c>
      <c r="CE2446" s="2" t="s">
        <v>86</v>
      </c>
      <c r="CF2446" s="5">
        <v>42670</v>
      </c>
      <c r="CG2446" s="2"/>
      <c r="CH2446" s="2"/>
      <c r="CI2446" s="2">
        <v>1</v>
      </c>
      <c r="CJ2446" s="2">
        <v>1</v>
      </c>
      <c r="CK2446" s="2">
        <v>21</v>
      </c>
      <c r="CL2446" s="2" t="s">
        <v>88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"FES1162505861"</f>
        <v>FES1162505861</v>
      </c>
      <c r="F2447" s="3">
        <v>42654</v>
      </c>
      <c r="G2447" s="2">
        <v>201704</v>
      </c>
      <c r="H2447" s="2" t="s">
        <v>74</v>
      </c>
      <c r="I2447" s="2" t="s">
        <v>75</v>
      </c>
      <c r="J2447" s="2" t="s">
        <v>189</v>
      </c>
      <c r="K2447" s="2" t="s">
        <v>77</v>
      </c>
      <c r="L2447" s="2" t="s">
        <v>253</v>
      </c>
      <c r="M2447" s="2" t="s">
        <v>254</v>
      </c>
      <c r="N2447" s="2" t="s">
        <v>255</v>
      </c>
      <c r="O2447" s="2" t="s">
        <v>1973</v>
      </c>
      <c r="P2447" s="2" t="str">
        <f>"2170529474                    "</f>
        <v xml:space="preserve">2170529474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8.11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4.4000000000000004</v>
      </c>
      <c r="BJ2447" s="2">
        <v>1.4</v>
      </c>
      <c r="BK2447" s="2">
        <v>5</v>
      </c>
      <c r="BL2447" s="2">
        <v>99.66</v>
      </c>
      <c r="BM2447" s="2">
        <v>13.95</v>
      </c>
      <c r="BN2447" s="2">
        <v>113.61</v>
      </c>
      <c r="BO2447" s="2">
        <v>113.61</v>
      </c>
      <c r="BP2447" s="2"/>
      <c r="BQ2447" s="2" t="s">
        <v>117</v>
      </c>
      <c r="BR2447" s="2" t="s">
        <v>194</v>
      </c>
      <c r="BS2447" s="3">
        <v>42656</v>
      </c>
      <c r="BT2447" s="4">
        <v>0.59722222222222221</v>
      </c>
      <c r="BU2447" s="2" t="s">
        <v>457</v>
      </c>
      <c r="BV2447" s="2" t="s">
        <v>85</v>
      </c>
      <c r="BW2447" s="2"/>
      <c r="BX2447" s="2"/>
      <c r="BY2447" s="2">
        <v>6940.89</v>
      </c>
      <c r="BZ2447" s="2" t="s">
        <v>27</v>
      </c>
      <c r="CA2447" s="2"/>
      <c r="CB2447" s="2"/>
      <c r="CC2447" s="2" t="s">
        <v>254</v>
      </c>
      <c r="CD2447" s="2">
        <v>3370</v>
      </c>
      <c r="CE2447" s="2" t="s">
        <v>86</v>
      </c>
      <c r="CF2447" s="5">
        <v>42660</v>
      </c>
      <c r="CG2447" s="2"/>
      <c r="CH2447" s="2"/>
      <c r="CI2447" s="2">
        <v>2</v>
      </c>
      <c r="CJ2447" s="2">
        <v>2</v>
      </c>
      <c r="CK2447" s="2">
        <v>33</v>
      </c>
      <c r="CL2447" s="2" t="s">
        <v>88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"FES1162509484"</f>
        <v>FES1162509484</v>
      </c>
      <c r="F2448" s="3">
        <v>42669</v>
      </c>
      <c r="G2448" s="2">
        <v>201704</v>
      </c>
      <c r="H2448" s="2" t="s">
        <v>74</v>
      </c>
      <c r="I2448" s="2" t="s">
        <v>75</v>
      </c>
      <c r="J2448" s="2" t="s">
        <v>76</v>
      </c>
      <c r="K2448" s="2" t="s">
        <v>77</v>
      </c>
      <c r="L2448" s="2" t="s">
        <v>160</v>
      </c>
      <c r="M2448" s="2" t="s">
        <v>161</v>
      </c>
      <c r="N2448" s="2" t="s">
        <v>710</v>
      </c>
      <c r="O2448" s="2" t="s">
        <v>96</v>
      </c>
      <c r="P2448" s="2" t="str">
        <f>"2170532665                    "</f>
        <v xml:space="preserve">2170532665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3.32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1</v>
      </c>
      <c r="BJ2448" s="2">
        <v>0.2</v>
      </c>
      <c r="BK2448" s="2">
        <v>1</v>
      </c>
      <c r="BL2448" s="2">
        <v>40.76</v>
      </c>
      <c r="BM2448" s="2">
        <v>5.71</v>
      </c>
      <c r="BN2448" s="2">
        <v>46.47</v>
      </c>
      <c r="BO2448" s="2">
        <v>46.47</v>
      </c>
      <c r="BP2448" s="2"/>
      <c r="BQ2448" s="2" t="s">
        <v>711</v>
      </c>
      <c r="BR2448" s="2" t="s">
        <v>83</v>
      </c>
      <c r="BS2448" s="3">
        <v>42670</v>
      </c>
      <c r="BT2448" s="4">
        <v>0.41666666666666669</v>
      </c>
      <c r="BU2448" s="2" t="s">
        <v>2357</v>
      </c>
      <c r="BV2448" s="2" t="s">
        <v>85</v>
      </c>
      <c r="BW2448" s="2"/>
      <c r="BX2448" s="2"/>
      <c r="BY2448" s="2">
        <v>1200</v>
      </c>
      <c r="BZ2448" s="2"/>
      <c r="CA2448" s="2"/>
      <c r="CB2448" s="2"/>
      <c r="CC2448" s="2" t="s">
        <v>161</v>
      </c>
      <c r="CD2448" s="2">
        <v>7441</v>
      </c>
      <c r="CE2448" s="2" t="s">
        <v>108</v>
      </c>
      <c r="CF2448" s="5">
        <v>42671</v>
      </c>
      <c r="CG2448" s="2"/>
      <c r="CH2448" s="2"/>
      <c r="CI2448" s="2">
        <v>1</v>
      </c>
      <c r="CJ2448" s="2">
        <v>1</v>
      </c>
      <c r="CK2448" s="2">
        <v>21</v>
      </c>
      <c r="CL2448" s="2" t="s">
        <v>88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"FES1162508029"</f>
        <v>FES1162508029</v>
      </c>
      <c r="F2449" s="3">
        <v>42669</v>
      </c>
      <c r="G2449" s="2">
        <v>201704</v>
      </c>
      <c r="H2449" s="2" t="s">
        <v>74</v>
      </c>
      <c r="I2449" s="2" t="s">
        <v>75</v>
      </c>
      <c r="J2449" s="2" t="s">
        <v>76</v>
      </c>
      <c r="K2449" s="2" t="s">
        <v>77</v>
      </c>
      <c r="L2449" s="2" t="s">
        <v>510</v>
      </c>
      <c r="M2449" s="2" t="s">
        <v>511</v>
      </c>
      <c r="N2449" s="2" t="s">
        <v>982</v>
      </c>
      <c r="O2449" s="2" t="s">
        <v>96</v>
      </c>
      <c r="P2449" s="2" t="str">
        <f>"2170531354                    "</f>
        <v xml:space="preserve">2170531354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3.32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1</v>
      </c>
      <c r="BJ2449" s="2">
        <v>0.2</v>
      </c>
      <c r="BK2449" s="2">
        <v>1</v>
      </c>
      <c r="BL2449" s="2">
        <v>40.76</v>
      </c>
      <c r="BM2449" s="2">
        <v>5.71</v>
      </c>
      <c r="BN2449" s="2">
        <v>46.47</v>
      </c>
      <c r="BO2449" s="2">
        <v>46.47</v>
      </c>
      <c r="BP2449" s="2"/>
      <c r="BQ2449" s="2" t="s">
        <v>983</v>
      </c>
      <c r="BR2449" s="2" t="s">
        <v>83</v>
      </c>
      <c r="BS2449" s="3">
        <v>42670</v>
      </c>
      <c r="BT2449" s="4">
        <v>0.43055555555555558</v>
      </c>
      <c r="BU2449" s="2" t="s">
        <v>1639</v>
      </c>
      <c r="BV2449" s="2" t="s">
        <v>85</v>
      </c>
      <c r="BW2449" s="2"/>
      <c r="BX2449" s="2"/>
      <c r="BY2449" s="2">
        <v>1200</v>
      </c>
      <c r="BZ2449" s="2"/>
      <c r="CA2449" s="2"/>
      <c r="CB2449" s="2"/>
      <c r="CC2449" s="2" t="s">
        <v>511</v>
      </c>
      <c r="CD2449" s="2">
        <v>3290</v>
      </c>
      <c r="CE2449" s="2" t="s">
        <v>108</v>
      </c>
      <c r="CF2449" s="5">
        <v>42671</v>
      </c>
      <c r="CG2449" s="2"/>
      <c r="CH2449" s="2"/>
      <c r="CI2449" s="2">
        <v>1</v>
      </c>
      <c r="CJ2449" s="2">
        <v>1</v>
      </c>
      <c r="CK2449" s="2">
        <v>21</v>
      </c>
      <c r="CL2449" s="2" t="s">
        <v>88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"FES1162509468"</f>
        <v>FES1162509468</v>
      </c>
      <c r="F2450" s="3">
        <v>42669</v>
      </c>
      <c r="G2450" s="2">
        <v>201704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148</v>
      </c>
      <c r="M2450" s="2" t="s">
        <v>149</v>
      </c>
      <c r="N2450" s="2" t="s">
        <v>726</v>
      </c>
      <c r="O2450" s="2" t="s">
        <v>96</v>
      </c>
      <c r="P2450" s="2" t="str">
        <f>"2170532637                    "</f>
        <v xml:space="preserve">2170532637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3.32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</v>
      </c>
      <c r="BJ2450" s="2">
        <v>0.2</v>
      </c>
      <c r="BK2450" s="2">
        <v>1</v>
      </c>
      <c r="BL2450" s="2">
        <v>40.76</v>
      </c>
      <c r="BM2450" s="2">
        <v>5.71</v>
      </c>
      <c r="BN2450" s="2">
        <v>46.47</v>
      </c>
      <c r="BO2450" s="2">
        <v>46.47</v>
      </c>
      <c r="BP2450" s="2"/>
      <c r="BQ2450" s="2" t="s">
        <v>117</v>
      </c>
      <c r="BR2450" s="2" t="s">
        <v>83</v>
      </c>
      <c r="BS2450" s="3">
        <v>42670</v>
      </c>
      <c r="BT2450" s="4">
        <v>0.4375</v>
      </c>
      <c r="BU2450" s="2" t="s">
        <v>2358</v>
      </c>
      <c r="BV2450" s="2" t="s">
        <v>85</v>
      </c>
      <c r="BW2450" s="2"/>
      <c r="BX2450" s="2"/>
      <c r="BY2450" s="2">
        <v>1200</v>
      </c>
      <c r="BZ2450" s="2"/>
      <c r="CA2450" s="2"/>
      <c r="CB2450" s="2"/>
      <c r="CC2450" s="2" t="s">
        <v>149</v>
      </c>
      <c r="CD2450" s="2">
        <v>4070</v>
      </c>
      <c r="CE2450" s="2" t="s">
        <v>108</v>
      </c>
      <c r="CF2450" s="5">
        <v>42675</v>
      </c>
      <c r="CG2450" s="2"/>
      <c r="CH2450" s="2"/>
      <c r="CI2450" s="2">
        <v>1</v>
      </c>
      <c r="CJ2450" s="2">
        <v>1</v>
      </c>
      <c r="CK2450" s="2">
        <v>21</v>
      </c>
      <c r="CL2450" s="2" t="s">
        <v>88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"FES1162509461"</f>
        <v>FES1162509461</v>
      </c>
      <c r="F2451" s="3">
        <v>42669</v>
      </c>
      <c r="G2451" s="2">
        <v>201704</v>
      </c>
      <c r="H2451" s="2" t="s">
        <v>74</v>
      </c>
      <c r="I2451" s="2" t="s">
        <v>75</v>
      </c>
      <c r="J2451" s="2" t="s">
        <v>76</v>
      </c>
      <c r="K2451" s="2" t="s">
        <v>77</v>
      </c>
      <c r="L2451" s="2" t="s">
        <v>269</v>
      </c>
      <c r="M2451" s="2" t="s">
        <v>270</v>
      </c>
      <c r="N2451" s="2" t="s">
        <v>2359</v>
      </c>
      <c r="O2451" s="2" t="s">
        <v>96</v>
      </c>
      <c r="P2451" s="2" t="str">
        <f>"2170532364                    "</f>
        <v xml:space="preserve">2170532364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3.32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1</v>
      </c>
      <c r="BI2451" s="2">
        <v>1</v>
      </c>
      <c r="BJ2451" s="2">
        <v>0.2</v>
      </c>
      <c r="BK2451" s="2">
        <v>1</v>
      </c>
      <c r="BL2451" s="2">
        <v>40.76</v>
      </c>
      <c r="BM2451" s="2">
        <v>5.71</v>
      </c>
      <c r="BN2451" s="2">
        <v>46.47</v>
      </c>
      <c r="BO2451" s="2">
        <v>46.47</v>
      </c>
      <c r="BP2451" s="2"/>
      <c r="BQ2451" s="2" t="s">
        <v>168</v>
      </c>
      <c r="BR2451" s="2" t="s">
        <v>83</v>
      </c>
      <c r="BS2451" s="3">
        <v>42670</v>
      </c>
      <c r="BT2451" s="4">
        <v>0.42083333333333334</v>
      </c>
      <c r="BU2451" s="2" t="s">
        <v>2360</v>
      </c>
      <c r="BV2451" s="2" t="s">
        <v>85</v>
      </c>
      <c r="BW2451" s="2"/>
      <c r="BX2451" s="2"/>
      <c r="BY2451" s="2">
        <v>1200</v>
      </c>
      <c r="BZ2451" s="2"/>
      <c r="CA2451" s="2"/>
      <c r="CB2451" s="2"/>
      <c r="CC2451" s="2" t="s">
        <v>270</v>
      </c>
      <c r="CD2451" s="2">
        <v>3610</v>
      </c>
      <c r="CE2451" s="2" t="s">
        <v>108</v>
      </c>
      <c r="CF2451" s="5">
        <v>42671</v>
      </c>
      <c r="CG2451" s="2"/>
      <c r="CH2451" s="2"/>
      <c r="CI2451" s="2">
        <v>1</v>
      </c>
      <c r="CJ2451" s="2">
        <v>1</v>
      </c>
      <c r="CK2451" s="2">
        <v>21</v>
      </c>
      <c r="CL2451" s="2" t="s">
        <v>88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"FES1162509534"</f>
        <v>FES1162509534</v>
      </c>
      <c r="F2452" s="3">
        <v>42669</v>
      </c>
      <c r="G2452" s="2">
        <v>201704</v>
      </c>
      <c r="H2452" s="2" t="s">
        <v>74</v>
      </c>
      <c r="I2452" s="2" t="s">
        <v>75</v>
      </c>
      <c r="J2452" s="2" t="s">
        <v>76</v>
      </c>
      <c r="K2452" s="2" t="s">
        <v>77</v>
      </c>
      <c r="L2452" s="2" t="s">
        <v>98</v>
      </c>
      <c r="M2452" s="2" t="s">
        <v>99</v>
      </c>
      <c r="N2452" s="2" t="s">
        <v>109</v>
      </c>
      <c r="O2452" s="2" t="s">
        <v>96</v>
      </c>
      <c r="P2452" s="2" t="str">
        <f>"2170527965                    "</f>
        <v xml:space="preserve">2170527965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30.68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6</v>
      </c>
      <c r="BJ2452" s="2">
        <v>18.3</v>
      </c>
      <c r="BK2452" s="2">
        <v>18.5</v>
      </c>
      <c r="BL2452" s="2">
        <v>377</v>
      </c>
      <c r="BM2452" s="2">
        <v>52.78</v>
      </c>
      <c r="BN2452" s="2">
        <v>429.78</v>
      </c>
      <c r="BO2452" s="2">
        <v>429.78</v>
      </c>
      <c r="BP2452" s="2"/>
      <c r="BQ2452" s="2" t="s">
        <v>110</v>
      </c>
      <c r="BR2452" s="2" t="s">
        <v>83</v>
      </c>
      <c r="BS2452" s="3">
        <v>42671</v>
      </c>
      <c r="BT2452" s="4">
        <v>0.41875000000000001</v>
      </c>
      <c r="BU2452" s="2" t="s">
        <v>2327</v>
      </c>
      <c r="BV2452" s="2" t="s">
        <v>88</v>
      </c>
      <c r="BW2452" s="2" t="s">
        <v>222</v>
      </c>
      <c r="BX2452" s="2" t="s">
        <v>2361</v>
      </c>
      <c r="BY2452" s="2">
        <v>91264</v>
      </c>
      <c r="BZ2452" s="2"/>
      <c r="CA2452" s="2"/>
      <c r="CB2452" s="2"/>
      <c r="CC2452" s="2" t="s">
        <v>99</v>
      </c>
      <c r="CD2452" s="2">
        <v>6001</v>
      </c>
      <c r="CE2452" s="2" t="s">
        <v>86</v>
      </c>
      <c r="CF2452" s="5">
        <v>42674</v>
      </c>
      <c r="CG2452" s="2"/>
      <c r="CH2452" s="2"/>
      <c r="CI2452" s="2">
        <v>1</v>
      </c>
      <c r="CJ2452" s="2">
        <v>2</v>
      </c>
      <c r="CK2452" s="2">
        <v>21</v>
      </c>
      <c r="CL2452" s="2" t="s">
        <v>88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"FES1162509225"</f>
        <v>FES1162509225</v>
      </c>
      <c r="F2453" s="3">
        <v>42669</v>
      </c>
      <c r="G2453" s="2">
        <v>201704</v>
      </c>
      <c r="H2453" s="2" t="s">
        <v>74</v>
      </c>
      <c r="I2453" s="2" t="s">
        <v>75</v>
      </c>
      <c r="J2453" s="2" t="s">
        <v>76</v>
      </c>
      <c r="K2453" s="2" t="s">
        <v>77</v>
      </c>
      <c r="L2453" s="2" t="s">
        <v>148</v>
      </c>
      <c r="M2453" s="2" t="s">
        <v>149</v>
      </c>
      <c r="N2453" s="2" t="s">
        <v>242</v>
      </c>
      <c r="O2453" s="2" t="s">
        <v>96</v>
      </c>
      <c r="P2453" s="2" t="str">
        <f>"2170531092                    "</f>
        <v xml:space="preserve">2170531092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3.32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1</v>
      </c>
      <c r="BJ2453" s="2">
        <v>0.2</v>
      </c>
      <c r="BK2453" s="2">
        <v>1</v>
      </c>
      <c r="BL2453" s="2">
        <v>40.76</v>
      </c>
      <c r="BM2453" s="2">
        <v>5.71</v>
      </c>
      <c r="BN2453" s="2">
        <v>46.47</v>
      </c>
      <c r="BO2453" s="2">
        <v>46.47</v>
      </c>
      <c r="BP2453" s="2"/>
      <c r="BQ2453" s="2" t="s">
        <v>91</v>
      </c>
      <c r="BR2453" s="2" t="s">
        <v>83</v>
      </c>
      <c r="BS2453" s="3">
        <v>42670</v>
      </c>
      <c r="BT2453" s="4">
        <v>0.4375</v>
      </c>
      <c r="BU2453" s="2" t="s">
        <v>1798</v>
      </c>
      <c r="BV2453" s="2"/>
      <c r="BW2453" s="2"/>
      <c r="BX2453" s="2"/>
      <c r="BY2453" s="2">
        <v>1200</v>
      </c>
      <c r="BZ2453" s="2"/>
      <c r="CA2453" s="2"/>
      <c r="CB2453" s="2"/>
      <c r="CC2453" s="2" t="s">
        <v>149</v>
      </c>
      <c r="CD2453" s="2">
        <v>4001</v>
      </c>
      <c r="CE2453" s="2" t="s">
        <v>108</v>
      </c>
      <c r="CF2453" s="5">
        <v>42671</v>
      </c>
      <c r="CG2453" s="2"/>
      <c r="CH2453" s="2"/>
      <c r="CI2453" s="2">
        <v>0</v>
      </c>
      <c r="CJ2453" s="2">
        <v>0</v>
      </c>
      <c r="CK2453" s="2">
        <v>21</v>
      </c>
      <c r="CL2453" s="2" t="s">
        <v>88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"FES1162509330"</f>
        <v>FES1162509330</v>
      </c>
      <c r="F2454" s="3">
        <v>42669</v>
      </c>
      <c r="G2454" s="2">
        <v>201704</v>
      </c>
      <c r="H2454" s="2" t="s">
        <v>74</v>
      </c>
      <c r="I2454" s="2" t="s">
        <v>75</v>
      </c>
      <c r="J2454" s="2" t="s">
        <v>76</v>
      </c>
      <c r="K2454" s="2" t="s">
        <v>77</v>
      </c>
      <c r="L2454" s="2" t="s">
        <v>148</v>
      </c>
      <c r="M2454" s="2" t="s">
        <v>149</v>
      </c>
      <c r="N2454" s="2" t="s">
        <v>2091</v>
      </c>
      <c r="O2454" s="2" t="s">
        <v>96</v>
      </c>
      <c r="P2454" s="2" t="str">
        <f>"2170528908                    "</f>
        <v xml:space="preserve">2170528908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3.32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1</v>
      </c>
      <c r="BJ2454" s="2">
        <v>0.2</v>
      </c>
      <c r="BK2454" s="2">
        <v>1</v>
      </c>
      <c r="BL2454" s="2">
        <v>40.76</v>
      </c>
      <c r="BM2454" s="2">
        <v>5.71</v>
      </c>
      <c r="BN2454" s="2">
        <v>46.47</v>
      </c>
      <c r="BO2454" s="2">
        <v>46.47</v>
      </c>
      <c r="BP2454" s="2"/>
      <c r="BQ2454" s="2" t="s">
        <v>117</v>
      </c>
      <c r="BR2454" s="2" t="s">
        <v>83</v>
      </c>
      <c r="BS2454" s="3">
        <v>42670</v>
      </c>
      <c r="BT2454" s="4">
        <v>0.4375</v>
      </c>
      <c r="BU2454" s="2" t="s">
        <v>2362</v>
      </c>
      <c r="BV2454" s="2" t="s">
        <v>85</v>
      </c>
      <c r="BW2454" s="2"/>
      <c r="BX2454" s="2"/>
      <c r="BY2454" s="2">
        <v>1200</v>
      </c>
      <c r="BZ2454" s="2"/>
      <c r="CA2454" s="2"/>
      <c r="CB2454" s="2"/>
      <c r="CC2454" s="2" t="s">
        <v>149</v>
      </c>
      <c r="CD2454" s="2">
        <v>4052</v>
      </c>
      <c r="CE2454" s="2" t="s">
        <v>108</v>
      </c>
      <c r="CF2454" s="5">
        <v>42671</v>
      </c>
      <c r="CG2454" s="2"/>
      <c r="CH2454" s="2"/>
      <c r="CI2454" s="2">
        <v>1</v>
      </c>
      <c r="CJ2454" s="2">
        <v>1</v>
      </c>
      <c r="CK2454" s="2">
        <v>21</v>
      </c>
      <c r="CL2454" s="2" t="s">
        <v>88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"FES1162509458"</f>
        <v>FES1162509458</v>
      </c>
      <c r="F2455" s="3">
        <v>42669</v>
      </c>
      <c r="G2455" s="2">
        <v>201704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93</v>
      </c>
      <c r="M2455" s="2" t="s">
        <v>94</v>
      </c>
      <c r="N2455" s="2" t="s">
        <v>130</v>
      </c>
      <c r="O2455" s="2" t="s">
        <v>96</v>
      </c>
      <c r="P2455" s="2" t="str">
        <f>"2170532120                    "</f>
        <v xml:space="preserve">2170532120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3.32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1</v>
      </c>
      <c r="BJ2455" s="2">
        <v>0.2</v>
      </c>
      <c r="BK2455" s="2">
        <v>1</v>
      </c>
      <c r="BL2455" s="2">
        <v>40.76</v>
      </c>
      <c r="BM2455" s="2">
        <v>5.71</v>
      </c>
      <c r="BN2455" s="2">
        <v>46.47</v>
      </c>
      <c r="BO2455" s="2">
        <v>46.47</v>
      </c>
      <c r="BP2455" s="2"/>
      <c r="BQ2455" s="2" t="s">
        <v>131</v>
      </c>
      <c r="BR2455" s="2" t="s">
        <v>83</v>
      </c>
      <c r="BS2455" s="3">
        <v>42670</v>
      </c>
      <c r="BT2455" s="4">
        <v>0.4375</v>
      </c>
      <c r="BU2455" s="2" t="s">
        <v>576</v>
      </c>
      <c r="BV2455" s="2" t="s">
        <v>85</v>
      </c>
      <c r="BW2455" s="2"/>
      <c r="BX2455" s="2"/>
      <c r="BY2455" s="2">
        <v>1200</v>
      </c>
      <c r="BZ2455" s="2"/>
      <c r="CA2455" s="2"/>
      <c r="CB2455" s="2"/>
      <c r="CC2455" s="2" t="s">
        <v>94</v>
      </c>
      <c r="CD2455" s="2">
        <v>4302</v>
      </c>
      <c r="CE2455" s="2" t="s">
        <v>108</v>
      </c>
      <c r="CF2455" s="5">
        <v>42671</v>
      </c>
      <c r="CG2455" s="2"/>
      <c r="CH2455" s="2"/>
      <c r="CI2455" s="2">
        <v>1</v>
      </c>
      <c r="CJ2455" s="2">
        <v>1</v>
      </c>
      <c r="CK2455" s="2">
        <v>21</v>
      </c>
      <c r="CL2455" s="2" t="s">
        <v>88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"FES1162509372"</f>
        <v>FES1162509372</v>
      </c>
      <c r="F2456" s="3">
        <v>42669</v>
      </c>
      <c r="G2456" s="2">
        <v>201704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269</v>
      </c>
      <c r="M2456" s="2" t="s">
        <v>270</v>
      </c>
      <c r="N2456" s="2" t="s">
        <v>565</v>
      </c>
      <c r="O2456" s="2" t="s">
        <v>96</v>
      </c>
      <c r="P2456" s="2" t="str">
        <f>"2170532247                    "</f>
        <v xml:space="preserve">2170532247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3.32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1</v>
      </c>
      <c r="BJ2456" s="2">
        <v>0.2</v>
      </c>
      <c r="BK2456" s="2">
        <v>1</v>
      </c>
      <c r="BL2456" s="2">
        <v>40.76</v>
      </c>
      <c r="BM2456" s="2">
        <v>5.71</v>
      </c>
      <c r="BN2456" s="2">
        <v>46.47</v>
      </c>
      <c r="BO2456" s="2">
        <v>46.47</v>
      </c>
      <c r="BP2456" s="2"/>
      <c r="BQ2456" s="2" t="s">
        <v>566</v>
      </c>
      <c r="BR2456" s="2" t="s">
        <v>83</v>
      </c>
      <c r="BS2456" s="3">
        <v>42670</v>
      </c>
      <c r="BT2456" s="4">
        <v>0.41666666666666669</v>
      </c>
      <c r="BU2456" s="2" t="s">
        <v>1029</v>
      </c>
      <c r="BV2456" s="2" t="s">
        <v>85</v>
      </c>
      <c r="BW2456" s="2"/>
      <c r="BX2456" s="2"/>
      <c r="BY2456" s="2">
        <v>1200</v>
      </c>
      <c r="BZ2456" s="2"/>
      <c r="CA2456" s="2"/>
      <c r="CB2456" s="2"/>
      <c r="CC2456" s="2" t="s">
        <v>270</v>
      </c>
      <c r="CD2456" s="2">
        <v>3620</v>
      </c>
      <c r="CE2456" s="2" t="s">
        <v>108</v>
      </c>
      <c r="CF2456" s="5">
        <v>42671</v>
      </c>
      <c r="CG2456" s="2"/>
      <c r="CH2456" s="2"/>
      <c r="CI2456" s="2">
        <v>1</v>
      </c>
      <c r="CJ2456" s="2">
        <v>1</v>
      </c>
      <c r="CK2456" s="2">
        <v>21</v>
      </c>
      <c r="CL2456" s="2" t="s">
        <v>88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"FES1162509373"</f>
        <v>FES1162509373</v>
      </c>
      <c r="F2457" s="3">
        <v>42669</v>
      </c>
      <c r="G2457" s="2">
        <v>201704</v>
      </c>
      <c r="H2457" s="2" t="s">
        <v>74</v>
      </c>
      <c r="I2457" s="2" t="s">
        <v>75</v>
      </c>
      <c r="J2457" s="2" t="s">
        <v>76</v>
      </c>
      <c r="K2457" s="2" t="s">
        <v>77</v>
      </c>
      <c r="L2457" s="2" t="s">
        <v>1567</v>
      </c>
      <c r="M2457" s="2" t="s">
        <v>1568</v>
      </c>
      <c r="N2457" s="2" t="s">
        <v>312</v>
      </c>
      <c r="O2457" s="2" t="s">
        <v>96</v>
      </c>
      <c r="P2457" s="2" t="str">
        <f>"217059373                     "</f>
        <v xml:space="preserve">217059373 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6.43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1</v>
      </c>
      <c r="BJ2457" s="2">
        <v>0.2</v>
      </c>
      <c r="BK2457" s="2">
        <v>1</v>
      </c>
      <c r="BL2457" s="2">
        <v>78.97</v>
      </c>
      <c r="BM2457" s="2">
        <v>11.06</v>
      </c>
      <c r="BN2457" s="2">
        <v>90.03</v>
      </c>
      <c r="BO2457" s="2">
        <v>90.03</v>
      </c>
      <c r="BP2457" s="2"/>
      <c r="BQ2457" s="2" t="s">
        <v>2363</v>
      </c>
      <c r="BR2457" s="2" t="s">
        <v>83</v>
      </c>
      <c r="BS2457" s="3">
        <v>42670</v>
      </c>
      <c r="BT2457" s="4">
        <v>0.4375</v>
      </c>
      <c r="BU2457" s="2" t="s">
        <v>433</v>
      </c>
      <c r="BV2457" s="2" t="s">
        <v>85</v>
      </c>
      <c r="BW2457" s="2"/>
      <c r="BX2457" s="2"/>
      <c r="BY2457" s="2">
        <v>1200</v>
      </c>
      <c r="BZ2457" s="2"/>
      <c r="CA2457" s="2"/>
      <c r="CB2457" s="2"/>
      <c r="CC2457" s="2" t="s">
        <v>1568</v>
      </c>
      <c r="CD2457" s="2">
        <v>4449</v>
      </c>
      <c r="CE2457" s="2" t="s">
        <v>108</v>
      </c>
      <c r="CF2457" s="5">
        <v>42675</v>
      </c>
      <c r="CG2457" s="2"/>
      <c r="CH2457" s="2"/>
      <c r="CI2457" s="2">
        <v>1</v>
      </c>
      <c r="CJ2457" s="2">
        <v>1</v>
      </c>
      <c r="CK2457" s="2">
        <v>23</v>
      </c>
      <c r="CL2457" s="2" t="s">
        <v>88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"FES1162509416"</f>
        <v>FES1162509416</v>
      </c>
      <c r="F2458" s="3">
        <v>42669</v>
      </c>
      <c r="G2458" s="2">
        <v>201704</v>
      </c>
      <c r="H2458" s="2" t="s">
        <v>74</v>
      </c>
      <c r="I2458" s="2" t="s">
        <v>75</v>
      </c>
      <c r="J2458" s="2" t="s">
        <v>76</v>
      </c>
      <c r="K2458" s="2" t="s">
        <v>77</v>
      </c>
      <c r="L2458" s="2" t="s">
        <v>148</v>
      </c>
      <c r="M2458" s="2" t="s">
        <v>149</v>
      </c>
      <c r="N2458" s="2" t="s">
        <v>242</v>
      </c>
      <c r="O2458" s="2" t="s">
        <v>96</v>
      </c>
      <c r="P2458" s="2" t="str">
        <f>"2170531092                    "</f>
        <v xml:space="preserve">2170531092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3.32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1</v>
      </c>
      <c r="BJ2458" s="2">
        <v>0.2</v>
      </c>
      <c r="BK2458" s="2">
        <v>1</v>
      </c>
      <c r="BL2458" s="2">
        <v>40.76</v>
      </c>
      <c r="BM2458" s="2">
        <v>5.71</v>
      </c>
      <c r="BN2458" s="2">
        <v>46.47</v>
      </c>
      <c r="BO2458" s="2">
        <v>46.47</v>
      </c>
      <c r="BP2458" s="2"/>
      <c r="BQ2458" s="2" t="s">
        <v>91</v>
      </c>
      <c r="BR2458" s="2" t="s">
        <v>83</v>
      </c>
      <c r="BS2458" s="3">
        <v>42670</v>
      </c>
      <c r="BT2458" s="4">
        <v>0.39583333333333331</v>
      </c>
      <c r="BU2458" s="2" t="s">
        <v>1798</v>
      </c>
      <c r="BV2458" s="2"/>
      <c r="BW2458" s="2"/>
      <c r="BX2458" s="2"/>
      <c r="BY2458" s="2">
        <v>1200</v>
      </c>
      <c r="BZ2458" s="2"/>
      <c r="CA2458" s="2"/>
      <c r="CB2458" s="2"/>
      <c r="CC2458" s="2" t="s">
        <v>149</v>
      </c>
      <c r="CD2458" s="2">
        <v>4001</v>
      </c>
      <c r="CE2458" s="2" t="s">
        <v>108</v>
      </c>
      <c r="CF2458" s="5">
        <v>42671</v>
      </c>
      <c r="CG2458" s="2"/>
      <c r="CH2458" s="2"/>
      <c r="CI2458" s="2">
        <v>0</v>
      </c>
      <c r="CJ2458" s="2">
        <v>0</v>
      </c>
      <c r="CK2458" s="2">
        <v>21</v>
      </c>
      <c r="CL2458" s="2" t="s">
        <v>88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"FES1162509417"</f>
        <v>FES1162509417</v>
      </c>
      <c r="F2459" s="3">
        <v>42669</v>
      </c>
      <c r="G2459" s="2">
        <v>201704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510</v>
      </c>
      <c r="M2459" s="2" t="s">
        <v>511</v>
      </c>
      <c r="N2459" s="2" t="s">
        <v>1495</v>
      </c>
      <c r="O2459" s="2" t="s">
        <v>96</v>
      </c>
      <c r="P2459" s="2" t="str">
        <f>"2170531098                    "</f>
        <v xml:space="preserve">2170531098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3.32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1</v>
      </c>
      <c r="BJ2459" s="2">
        <v>0.2</v>
      </c>
      <c r="BK2459" s="2">
        <v>1</v>
      </c>
      <c r="BL2459" s="2">
        <v>40.76</v>
      </c>
      <c r="BM2459" s="2">
        <v>5.71</v>
      </c>
      <c r="BN2459" s="2">
        <v>46.47</v>
      </c>
      <c r="BO2459" s="2">
        <v>46.47</v>
      </c>
      <c r="BP2459" s="2"/>
      <c r="BQ2459" s="2" t="s">
        <v>82</v>
      </c>
      <c r="BR2459" s="2" t="s">
        <v>83</v>
      </c>
      <c r="BS2459" s="3">
        <v>42670</v>
      </c>
      <c r="BT2459" s="4">
        <v>0.57986111111111105</v>
      </c>
      <c r="BU2459" s="2" t="s">
        <v>1000</v>
      </c>
      <c r="BV2459" s="2" t="s">
        <v>85</v>
      </c>
      <c r="BW2459" s="2"/>
      <c r="BX2459" s="2"/>
      <c r="BY2459" s="2">
        <v>1200</v>
      </c>
      <c r="BZ2459" s="2"/>
      <c r="CA2459" s="2"/>
      <c r="CB2459" s="2"/>
      <c r="CC2459" s="2" t="s">
        <v>511</v>
      </c>
      <c r="CD2459" s="2">
        <v>3280</v>
      </c>
      <c r="CE2459" s="2" t="s">
        <v>108</v>
      </c>
      <c r="CF2459" s="5">
        <v>42671</v>
      </c>
      <c r="CG2459" s="2"/>
      <c r="CH2459" s="2"/>
      <c r="CI2459" s="2">
        <v>1</v>
      </c>
      <c r="CJ2459" s="2">
        <v>1</v>
      </c>
      <c r="CK2459" s="2">
        <v>21</v>
      </c>
      <c r="CL2459" s="2" t="s">
        <v>88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"FES1162509503"</f>
        <v>FES1162509503</v>
      </c>
      <c r="F2460" s="3">
        <v>42669</v>
      </c>
      <c r="G2460" s="2">
        <v>201704</v>
      </c>
      <c r="H2460" s="2" t="s">
        <v>74</v>
      </c>
      <c r="I2460" s="2" t="s">
        <v>75</v>
      </c>
      <c r="J2460" s="2" t="s">
        <v>76</v>
      </c>
      <c r="K2460" s="2" t="s">
        <v>77</v>
      </c>
      <c r="L2460" s="2" t="s">
        <v>823</v>
      </c>
      <c r="M2460" s="2" t="s">
        <v>824</v>
      </c>
      <c r="N2460" s="2" t="s">
        <v>825</v>
      </c>
      <c r="O2460" s="2" t="s">
        <v>96</v>
      </c>
      <c r="P2460" s="2" t="str">
        <f>"2170532693                    "</f>
        <v xml:space="preserve">2170532693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4.66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1</v>
      </c>
      <c r="BJ2460" s="2">
        <v>0.2</v>
      </c>
      <c r="BK2460" s="2">
        <v>1</v>
      </c>
      <c r="BL2460" s="2">
        <v>57.31</v>
      </c>
      <c r="BM2460" s="2">
        <v>8.02</v>
      </c>
      <c r="BN2460" s="2">
        <v>65.33</v>
      </c>
      <c r="BO2460" s="2">
        <v>65.33</v>
      </c>
      <c r="BP2460" s="2"/>
      <c r="BQ2460" s="2" t="s">
        <v>91</v>
      </c>
      <c r="BR2460" s="2" t="s">
        <v>83</v>
      </c>
      <c r="BS2460" s="3">
        <v>42670</v>
      </c>
      <c r="BT2460" s="4">
        <v>0.41666666666666669</v>
      </c>
      <c r="BU2460" s="2" t="s">
        <v>2044</v>
      </c>
      <c r="BV2460" s="2"/>
      <c r="BW2460" s="2"/>
      <c r="BX2460" s="2"/>
      <c r="BY2460" s="2">
        <v>1200</v>
      </c>
      <c r="BZ2460" s="2"/>
      <c r="CA2460" s="2"/>
      <c r="CB2460" s="2"/>
      <c r="CC2460" s="2" t="s">
        <v>824</v>
      </c>
      <c r="CD2460" s="2">
        <v>2410</v>
      </c>
      <c r="CE2460" s="2" t="s">
        <v>108</v>
      </c>
      <c r="CF2460" s="5">
        <v>42674</v>
      </c>
      <c r="CG2460" s="2"/>
      <c r="CH2460" s="2"/>
      <c r="CI2460" s="2">
        <v>0</v>
      </c>
      <c r="CJ2460" s="2">
        <v>0</v>
      </c>
      <c r="CK2460" s="2">
        <v>24</v>
      </c>
      <c r="CL2460" s="2" t="s">
        <v>88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"FES1162509365"</f>
        <v>FES1162509365</v>
      </c>
      <c r="F2461" s="3">
        <v>42669</v>
      </c>
      <c r="G2461" s="2">
        <v>201704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98</v>
      </c>
      <c r="M2461" s="2" t="s">
        <v>99</v>
      </c>
      <c r="N2461" s="2" t="s">
        <v>350</v>
      </c>
      <c r="O2461" s="2" t="s">
        <v>96</v>
      </c>
      <c r="P2461" s="2" t="str">
        <f>"2170531346                    "</f>
        <v xml:space="preserve">2170531346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3.32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1</v>
      </c>
      <c r="BJ2461" s="2">
        <v>0.2</v>
      </c>
      <c r="BK2461" s="2">
        <v>1</v>
      </c>
      <c r="BL2461" s="2">
        <v>40.76</v>
      </c>
      <c r="BM2461" s="2">
        <v>5.71</v>
      </c>
      <c r="BN2461" s="2">
        <v>46.47</v>
      </c>
      <c r="BO2461" s="2">
        <v>46.47</v>
      </c>
      <c r="BP2461" s="2"/>
      <c r="BQ2461" s="2" t="s">
        <v>351</v>
      </c>
      <c r="BR2461" s="2" t="s">
        <v>83</v>
      </c>
      <c r="BS2461" s="3">
        <v>42670</v>
      </c>
      <c r="BT2461" s="4">
        <v>0.38541666666666669</v>
      </c>
      <c r="BU2461" s="2" t="s">
        <v>600</v>
      </c>
      <c r="BV2461" s="2" t="s">
        <v>85</v>
      </c>
      <c r="BW2461" s="2"/>
      <c r="BX2461" s="2"/>
      <c r="BY2461" s="2">
        <v>1200</v>
      </c>
      <c r="BZ2461" s="2"/>
      <c r="CA2461" s="2"/>
      <c r="CB2461" s="2"/>
      <c r="CC2461" s="2" t="s">
        <v>99</v>
      </c>
      <c r="CD2461" s="2">
        <v>6001</v>
      </c>
      <c r="CE2461" s="2" t="s">
        <v>108</v>
      </c>
      <c r="CF2461" s="5">
        <v>42671</v>
      </c>
      <c r="CG2461" s="2"/>
      <c r="CH2461" s="2"/>
      <c r="CI2461" s="2">
        <v>1</v>
      </c>
      <c r="CJ2461" s="2">
        <v>1</v>
      </c>
      <c r="CK2461" s="2">
        <v>21</v>
      </c>
      <c r="CL2461" s="2" t="s">
        <v>88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"FES1162509344"</f>
        <v>FES1162509344</v>
      </c>
      <c r="F2462" s="3">
        <v>42669</v>
      </c>
      <c r="G2462" s="2">
        <v>201704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119</v>
      </c>
      <c r="M2462" s="2" t="s">
        <v>120</v>
      </c>
      <c r="N2462" s="2" t="s">
        <v>585</v>
      </c>
      <c r="O2462" s="2" t="s">
        <v>96</v>
      </c>
      <c r="P2462" s="2" t="str">
        <f>"217053034                     "</f>
        <v xml:space="preserve">217053034 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3.32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1</v>
      </c>
      <c r="BJ2462" s="2">
        <v>0.2</v>
      </c>
      <c r="BK2462" s="2">
        <v>1</v>
      </c>
      <c r="BL2462" s="2">
        <v>40.76</v>
      </c>
      <c r="BM2462" s="2">
        <v>5.71</v>
      </c>
      <c r="BN2462" s="2">
        <v>46.47</v>
      </c>
      <c r="BO2462" s="2">
        <v>46.47</v>
      </c>
      <c r="BP2462" s="2"/>
      <c r="BQ2462" s="2" t="s">
        <v>586</v>
      </c>
      <c r="BR2462" s="2" t="s">
        <v>83</v>
      </c>
      <c r="BS2462" s="3">
        <v>42670</v>
      </c>
      <c r="BT2462" s="4">
        <v>0.40138888888888885</v>
      </c>
      <c r="BU2462" s="2" t="s">
        <v>587</v>
      </c>
      <c r="BV2462" s="2" t="s">
        <v>85</v>
      </c>
      <c r="BW2462" s="2"/>
      <c r="BX2462" s="2"/>
      <c r="BY2462" s="2">
        <v>1200</v>
      </c>
      <c r="BZ2462" s="2"/>
      <c r="CA2462" s="2"/>
      <c r="CB2462" s="2"/>
      <c r="CC2462" s="2" t="s">
        <v>120</v>
      </c>
      <c r="CD2462" s="2">
        <v>6229</v>
      </c>
      <c r="CE2462" s="2" t="s">
        <v>108</v>
      </c>
      <c r="CF2462" s="5">
        <v>42671</v>
      </c>
      <c r="CG2462" s="2"/>
      <c r="CH2462" s="2"/>
      <c r="CI2462" s="2">
        <v>1</v>
      </c>
      <c r="CJ2462" s="2">
        <v>1</v>
      </c>
      <c r="CK2462" s="2">
        <v>21</v>
      </c>
      <c r="CL2462" s="2" t="s">
        <v>88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"FES1162509323"</f>
        <v>FES1162509323</v>
      </c>
      <c r="F2463" s="3">
        <v>42669</v>
      </c>
      <c r="G2463" s="2">
        <v>201704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98</v>
      </c>
      <c r="M2463" s="2" t="s">
        <v>99</v>
      </c>
      <c r="N2463" s="2" t="s">
        <v>224</v>
      </c>
      <c r="O2463" s="2" t="s">
        <v>96</v>
      </c>
      <c r="P2463" s="2" t="str">
        <f>"2170532548                    "</f>
        <v xml:space="preserve">2170532548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3.32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1</v>
      </c>
      <c r="BJ2463" s="2">
        <v>0.2</v>
      </c>
      <c r="BK2463" s="2">
        <v>1</v>
      </c>
      <c r="BL2463" s="2">
        <v>40.76</v>
      </c>
      <c r="BM2463" s="2">
        <v>5.71</v>
      </c>
      <c r="BN2463" s="2">
        <v>46.47</v>
      </c>
      <c r="BO2463" s="2">
        <v>46.47</v>
      </c>
      <c r="BP2463" s="2"/>
      <c r="BQ2463" s="2" t="s">
        <v>1403</v>
      </c>
      <c r="BR2463" s="2" t="s">
        <v>83</v>
      </c>
      <c r="BS2463" s="3">
        <v>42670</v>
      </c>
      <c r="BT2463" s="4">
        <v>0.3298611111111111</v>
      </c>
      <c r="BU2463" s="2" t="s">
        <v>2364</v>
      </c>
      <c r="BV2463" s="2" t="s">
        <v>85</v>
      </c>
      <c r="BW2463" s="2"/>
      <c r="BX2463" s="2"/>
      <c r="BY2463" s="2">
        <v>1200</v>
      </c>
      <c r="BZ2463" s="2"/>
      <c r="CA2463" s="2" t="s">
        <v>437</v>
      </c>
      <c r="CB2463" s="2"/>
      <c r="CC2463" s="2" t="s">
        <v>99</v>
      </c>
      <c r="CD2463" s="2">
        <v>6001</v>
      </c>
      <c r="CE2463" s="2" t="s">
        <v>108</v>
      </c>
      <c r="CF2463" s="5">
        <v>42670</v>
      </c>
      <c r="CG2463" s="2"/>
      <c r="CH2463" s="2"/>
      <c r="CI2463" s="2">
        <v>1</v>
      </c>
      <c r="CJ2463" s="2">
        <v>1</v>
      </c>
      <c r="CK2463" s="2">
        <v>21</v>
      </c>
      <c r="CL2463" s="2" t="s">
        <v>88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"FES1162509382"</f>
        <v>FES1162509382</v>
      </c>
      <c r="F2464" s="3">
        <v>42669</v>
      </c>
      <c r="G2464" s="2">
        <v>201704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98</v>
      </c>
      <c r="M2464" s="2" t="s">
        <v>99</v>
      </c>
      <c r="N2464" s="2" t="s">
        <v>224</v>
      </c>
      <c r="O2464" s="2" t="s">
        <v>96</v>
      </c>
      <c r="P2464" s="2" t="str">
        <f>"2170532376                    "</f>
        <v xml:space="preserve">2170532376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3.32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1</v>
      </c>
      <c r="BJ2464" s="2">
        <v>0.2</v>
      </c>
      <c r="BK2464" s="2">
        <v>1</v>
      </c>
      <c r="BL2464" s="2">
        <v>40.76</v>
      </c>
      <c r="BM2464" s="2">
        <v>5.71</v>
      </c>
      <c r="BN2464" s="2">
        <v>46.47</v>
      </c>
      <c r="BO2464" s="2">
        <v>46.47</v>
      </c>
      <c r="BP2464" s="2"/>
      <c r="BQ2464" s="2" t="s">
        <v>1403</v>
      </c>
      <c r="BR2464" s="2" t="s">
        <v>83</v>
      </c>
      <c r="BS2464" s="3">
        <v>42670</v>
      </c>
      <c r="BT2464" s="4">
        <v>0.3298611111111111</v>
      </c>
      <c r="BU2464" s="2" t="s">
        <v>2364</v>
      </c>
      <c r="BV2464" s="2" t="s">
        <v>85</v>
      </c>
      <c r="BW2464" s="2"/>
      <c r="BX2464" s="2"/>
      <c r="BY2464" s="2">
        <v>1200</v>
      </c>
      <c r="BZ2464" s="2"/>
      <c r="CA2464" s="2" t="s">
        <v>437</v>
      </c>
      <c r="CB2464" s="2"/>
      <c r="CC2464" s="2" t="s">
        <v>99</v>
      </c>
      <c r="CD2464" s="2">
        <v>6001</v>
      </c>
      <c r="CE2464" s="2" t="s">
        <v>108</v>
      </c>
      <c r="CF2464" s="5">
        <v>42670</v>
      </c>
      <c r="CG2464" s="2"/>
      <c r="CH2464" s="2"/>
      <c r="CI2464" s="2">
        <v>1</v>
      </c>
      <c r="CJ2464" s="2">
        <v>1</v>
      </c>
      <c r="CK2464" s="2">
        <v>21</v>
      </c>
      <c r="CL2464" s="2" t="s">
        <v>88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"FES1162509428"</f>
        <v>FES1162509428</v>
      </c>
      <c r="F2465" s="3">
        <v>42669</v>
      </c>
      <c r="G2465" s="2">
        <v>201704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98</v>
      </c>
      <c r="M2465" s="2" t="s">
        <v>99</v>
      </c>
      <c r="N2465" s="2" t="s">
        <v>133</v>
      </c>
      <c r="O2465" s="2" t="s">
        <v>96</v>
      </c>
      <c r="P2465" s="2" t="str">
        <f>"2170532601                    "</f>
        <v xml:space="preserve">2170532601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3.32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1</v>
      </c>
      <c r="BJ2465" s="2">
        <v>0.2</v>
      </c>
      <c r="BK2465" s="2">
        <v>1</v>
      </c>
      <c r="BL2465" s="2">
        <v>40.76</v>
      </c>
      <c r="BM2465" s="2">
        <v>5.71</v>
      </c>
      <c r="BN2465" s="2">
        <v>46.47</v>
      </c>
      <c r="BO2465" s="2">
        <v>46.47</v>
      </c>
      <c r="BP2465" s="2"/>
      <c r="BQ2465" s="2" t="s">
        <v>134</v>
      </c>
      <c r="BR2465" s="2" t="s">
        <v>83</v>
      </c>
      <c r="BS2465" s="3">
        <v>42670</v>
      </c>
      <c r="BT2465" s="4">
        <v>0.34027777777777773</v>
      </c>
      <c r="BU2465" s="2" t="s">
        <v>562</v>
      </c>
      <c r="BV2465" s="2" t="s">
        <v>85</v>
      </c>
      <c r="BW2465" s="2"/>
      <c r="BX2465" s="2"/>
      <c r="BY2465" s="2">
        <v>1200</v>
      </c>
      <c r="BZ2465" s="2"/>
      <c r="CA2465" s="2" t="s">
        <v>437</v>
      </c>
      <c r="CB2465" s="2"/>
      <c r="CC2465" s="2" t="s">
        <v>99</v>
      </c>
      <c r="CD2465" s="2">
        <v>6001</v>
      </c>
      <c r="CE2465" s="2" t="s">
        <v>108</v>
      </c>
      <c r="CF2465" s="5">
        <v>42670</v>
      </c>
      <c r="CG2465" s="2"/>
      <c r="CH2465" s="2"/>
      <c r="CI2465" s="2">
        <v>1</v>
      </c>
      <c r="CJ2465" s="2">
        <v>1</v>
      </c>
      <c r="CK2465" s="2">
        <v>21</v>
      </c>
      <c r="CL2465" s="2" t="s">
        <v>88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"FES1162509359"</f>
        <v>FES1162509359</v>
      </c>
      <c r="F2466" s="3">
        <v>42669</v>
      </c>
      <c r="G2466" s="2">
        <v>201704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98</v>
      </c>
      <c r="M2466" s="2" t="s">
        <v>99</v>
      </c>
      <c r="N2466" s="2" t="s">
        <v>104</v>
      </c>
      <c r="O2466" s="2" t="s">
        <v>96</v>
      </c>
      <c r="P2466" s="2" t="str">
        <f>"2170530679                    "</f>
        <v xml:space="preserve">2170530679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3.32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1</v>
      </c>
      <c r="BJ2466" s="2">
        <v>0.2</v>
      </c>
      <c r="BK2466" s="2">
        <v>1</v>
      </c>
      <c r="BL2466" s="2">
        <v>40.76</v>
      </c>
      <c r="BM2466" s="2">
        <v>5.71</v>
      </c>
      <c r="BN2466" s="2">
        <v>46.47</v>
      </c>
      <c r="BO2466" s="2">
        <v>46.47</v>
      </c>
      <c r="BP2466" s="2"/>
      <c r="BQ2466" s="2" t="s">
        <v>105</v>
      </c>
      <c r="BR2466" s="2" t="s">
        <v>83</v>
      </c>
      <c r="BS2466" s="3">
        <v>42670</v>
      </c>
      <c r="BT2466" s="4">
        <v>0.43055555555555558</v>
      </c>
      <c r="BU2466" s="2" t="s">
        <v>105</v>
      </c>
      <c r="BV2466" s="2" t="s">
        <v>85</v>
      </c>
      <c r="BW2466" s="2"/>
      <c r="BX2466" s="2"/>
      <c r="BY2466" s="2">
        <v>1200</v>
      </c>
      <c r="BZ2466" s="2"/>
      <c r="CA2466" s="2"/>
      <c r="CB2466" s="2"/>
      <c r="CC2466" s="2" t="s">
        <v>99</v>
      </c>
      <c r="CD2466" s="2">
        <v>6001</v>
      </c>
      <c r="CE2466" s="2" t="s">
        <v>108</v>
      </c>
      <c r="CF2466" s="5">
        <v>42671</v>
      </c>
      <c r="CG2466" s="2"/>
      <c r="CH2466" s="2"/>
      <c r="CI2466" s="2">
        <v>1</v>
      </c>
      <c r="CJ2466" s="2">
        <v>1</v>
      </c>
      <c r="CK2466" s="2">
        <v>21</v>
      </c>
      <c r="CL2466" s="2" t="s">
        <v>88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"FES1162509425"</f>
        <v>FES1162509425</v>
      </c>
      <c r="F2467" s="3">
        <v>42669</v>
      </c>
      <c r="G2467" s="2">
        <v>201704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143</v>
      </c>
      <c r="M2467" s="2" t="s">
        <v>144</v>
      </c>
      <c r="N2467" s="2" t="s">
        <v>1101</v>
      </c>
      <c r="O2467" s="2" t="s">
        <v>96</v>
      </c>
      <c r="P2467" s="2" t="str">
        <f>"2170531780                    "</f>
        <v xml:space="preserve">2170531780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3.32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1</v>
      </c>
      <c r="BJ2467" s="2">
        <v>0.2</v>
      </c>
      <c r="BK2467" s="2">
        <v>1</v>
      </c>
      <c r="BL2467" s="2">
        <v>40.76</v>
      </c>
      <c r="BM2467" s="2">
        <v>5.71</v>
      </c>
      <c r="BN2467" s="2">
        <v>46.47</v>
      </c>
      <c r="BO2467" s="2">
        <v>46.47</v>
      </c>
      <c r="BP2467" s="2"/>
      <c r="BQ2467" s="2" t="s">
        <v>1170</v>
      </c>
      <c r="BR2467" s="2" t="s">
        <v>83</v>
      </c>
      <c r="BS2467" s="3">
        <v>42670</v>
      </c>
      <c r="BT2467" s="4">
        <v>0.54375000000000007</v>
      </c>
      <c r="BU2467" s="2" t="s">
        <v>2365</v>
      </c>
      <c r="BV2467" s="2" t="s">
        <v>85</v>
      </c>
      <c r="BW2467" s="2"/>
      <c r="BX2467" s="2"/>
      <c r="BY2467" s="2">
        <v>1200</v>
      </c>
      <c r="BZ2467" s="2"/>
      <c r="CA2467" s="2"/>
      <c r="CB2467" s="2"/>
      <c r="CC2467" s="2" t="s">
        <v>144</v>
      </c>
      <c r="CD2467" s="2">
        <v>5247</v>
      </c>
      <c r="CE2467" s="2" t="s">
        <v>108</v>
      </c>
      <c r="CF2467" s="5">
        <v>42674</v>
      </c>
      <c r="CG2467" s="2"/>
      <c r="CH2467" s="2"/>
      <c r="CI2467" s="2">
        <v>1</v>
      </c>
      <c r="CJ2467" s="2">
        <v>1</v>
      </c>
      <c r="CK2467" s="2">
        <v>21</v>
      </c>
      <c r="CL2467" s="2" t="s">
        <v>88</v>
      </c>
      <c r="CM2467" s="2"/>
    </row>
    <row r="2468" spans="1:91">
      <c r="A2468" s="2" t="s">
        <v>71</v>
      </c>
      <c r="B2468" s="2" t="s">
        <v>72</v>
      </c>
      <c r="C2468" s="2" t="s">
        <v>73</v>
      </c>
      <c r="D2468" s="2"/>
      <c r="E2468" s="2" t="str">
        <f>"FES1162509376"</f>
        <v>FES1162509376</v>
      </c>
      <c r="F2468" s="3">
        <v>42669</v>
      </c>
      <c r="G2468" s="2">
        <v>201704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98</v>
      </c>
      <c r="M2468" s="2" t="s">
        <v>99</v>
      </c>
      <c r="N2468" s="2" t="s">
        <v>109</v>
      </c>
      <c r="O2468" s="2" t="s">
        <v>96</v>
      </c>
      <c r="P2468" s="2" t="str">
        <f>"2170532556                    "</f>
        <v xml:space="preserve">2170532556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3.32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2</v>
      </c>
      <c r="BJ2468" s="2">
        <v>0.2</v>
      </c>
      <c r="BK2468" s="2">
        <v>2</v>
      </c>
      <c r="BL2468" s="2">
        <v>40.76</v>
      </c>
      <c r="BM2468" s="2">
        <v>5.71</v>
      </c>
      <c r="BN2468" s="2">
        <v>46.47</v>
      </c>
      <c r="BO2468" s="2">
        <v>46.47</v>
      </c>
      <c r="BP2468" s="2"/>
      <c r="BQ2468" s="2" t="s">
        <v>110</v>
      </c>
      <c r="BR2468" s="2" t="s">
        <v>83</v>
      </c>
      <c r="BS2468" s="3">
        <v>42670</v>
      </c>
      <c r="BT2468" s="4">
        <v>0.375</v>
      </c>
      <c r="BU2468" s="2" t="s">
        <v>110</v>
      </c>
      <c r="BV2468" s="2" t="s">
        <v>85</v>
      </c>
      <c r="BW2468" s="2"/>
      <c r="BX2468" s="2"/>
      <c r="BY2468" s="2">
        <v>1200</v>
      </c>
      <c r="BZ2468" s="2"/>
      <c r="CA2468" s="2"/>
      <c r="CB2468" s="2"/>
      <c r="CC2468" s="2" t="s">
        <v>99</v>
      </c>
      <c r="CD2468" s="2">
        <v>6001</v>
      </c>
      <c r="CE2468" s="2" t="s">
        <v>108</v>
      </c>
      <c r="CF2468" s="5">
        <v>42671</v>
      </c>
      <c r="CG2468" s="2"/>
      <c r="CH2468" s="2"/>
      <c r="CI2468" s="2">
        <v>1</v>
      </c>
      <c r="CJ2468" s="2">
        <v>1</v>
      </c>
      <c r="CK2468" s="2">
        <v>21</v>
      </c>
      <c r="CL2468" s="2" t="s">
        <v>88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"FES1162509401"</f>
        <v>FES1162509401</v>
      </c>
      <c r="F2469" s="3">
        <v>42669</v>
      </c>
      <c r="G2469" s="2">
        <v>201704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114</v>
      </c>
      <c r="M2469" s="2" t="s">
        <v>115</v>
      </c>
      <c r="N2469" s="2" t="s">
        <v>116</v>
      </c>
      <c r="O2469" s="2" t="s">
        <v>96</v>
      </c>
      <c r="P2469" s="2" t="str">
        <f>"2170532584                    "</f>
        <v xml:space="preserve">2170532584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6.43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1</v>
      </c>
      <c r="BJ2469" s="2">
        <v>0.2</v>
      </c>
      <c r="BK2469" s="2">
        <v>1</v>
      </c>
      <c r="BL2469" s="2">
        <v>78.97</v>
      </c>
      <c r="BM2469" s="2">
        <v>11.06</v>
      </c>
      <c r="BN2469" s="2">
        <v>90.03</v>
      </c>
      <c r="BO2469" s="2">
        <v>90.03</v>
      </c>
      <c r="BP2469" s="2"/>
      <c r="BQ2469" s="2" t="s">
        <v>117</v>
      </c>
      <c r="BR2469" s="2" t="s">
        <v>83</v>
      </c>
      <c r="BS2469" s="3">
        <v>42670</v>
      </c>
      <c r="BT2469" s="4">
        <v>0.54513888888888895</v>
      </c>
      <c r="BU2469" s="2" t="s">
        <v>2366</v>
      </c>
      <c r="BV2469" s="2" t="s">
        <v>85</v>
      </c>
      <c r="BW2469" s="2"/>
      <c r="BX2469" s="2"/>
      <c r="BY2469" s="2">
        <v>1200</v>
      </c>
      <c r="BZ2469" s="2"/>
      <c r="CA2469" s="2"/>
      <c r="CB2469" s="2"/>
      <c r="CC2469" s="2" t="s">
        <v>115</v>
      </c>
      <c r="CD2469" s="2">
        <v>5850</v>
      </c>
      <c r="CE2469" s="2" t="s">
        <v>108</v>
      </c>
      <c r="CF2469" s="5">
        <v>42674</v>
      </c>
      <c r="CG2469" s="2"/>
      <c r="CH2469" s="2"/>
      <c r="CI2469" s="2">
        <v>3</v>
      </c>
      <c r="CJ2469" s="2">
        <v>1</v>
      </c>
      <c r="CK2469" s="2">
        <v>23</v>
      </c>
      <c r="CL2469" s="2" t="s">
        <v>88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"FES1162509343"</f>
        <v>FES1162509343</v>
      </c>
      <c r="F2470" s="3">
        <v>42669</v>
      </c>
      <c r="G2470" s="2">
        <v>201704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98</v>
      </c>
      <c r="M2470" s="2" t="s">
        <v>99</v>
      </c>
      <c r="N2470" s="2" t="s">
        <v>104</v>
      </c>
      <c r="O2470" s="2" t="s">
        <v>96</v>
      </c>
      <c r="P2470" s="2" t="str">
        <f>"2170530350                    "</f>
        <v xml:space="preserve">2170530350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3.32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1</v>
      </c>
      <c r="BJ2470" s="2">
        <v>0.2</v>
      </c>
      <c r="BK2470" s="2">
        <v>1</v>
      </c>
      <c r="BL2470" s="2">
        <v>40.76</v>
      </c>
      <c r="BM2470" s="2">
        <v>5.71</v>
      </c>
      <c r="BN2470" s="2">
        <v>46.47</v>
      </c>
      <c r="BO2470" s="2">
        <v>46.47</v>
      </c>
      <c r="BP2470" s="2"/>
      <c r="BQ2470" s="2" t="s">
        <v>105</v>
      </c>
      <c r="BR2470" s="2" t="s">
        <v>83</v>
      </c>
      <c r="BS2470" s="3">
        <v>42670</v>
      </c>
      <c r="BT2470" s="4">
        <v>0.43055555555555558</v>
      </c>
      <c r="BU2470" s="2" t="s">
        <v>105</v>
      </c>
      <c r="BV2470" s="2" t="s">
        <v>85</v>
      </c>
      <c r="BW2470" s="2"/>
      <c r="BX2470" s="2"/>
      <c r="BY2470" s="2">
        <v>1200</v>
      </c>
      <c r="BZ2470" s="2"/>
      <c r="CA2470" s="2"/>
      <c r="CB2470" s="2"/>
      <c r="CC2470" s="2" t="s">
        <v>99</v>
      </c>
      <c r="CD2470" s="2">
        <v>6001</v>
      </c>
      <c r="CE2470" s="2" t="s">
        <v>108</v>
      </c>
      <c r="CF2470" s="5">
        <v>42671</v>
      </c>
      <c r="CG2470" s="2"/>
      <c r="CH2470" s="2"/>
      <c r="CI2470" s="2">
        <v>1</v>
      </c>
      <c r="CJ2470" s="2">
        <v>1</v>
      </c>
      <c r="CK2470" s="2">
        <v>21</v>
      </c>
      <c r="CL2470" s="2" t="s">
        <v>88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"FES1162509342"</f>
        <v>FES1162509342</v>
      </c>
      <c r="F2471" s="3">
        <v>42669</v>
      </c>
      <c r="G2471" s="2">
        <v>201704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98</v>
      </c>
      <c r="M2471" s="2" t="s">
        <v>99</v>
      </c>
      <c r="N2471" s="2" t="s">
        <v>109</v>
      </c>
      <c r="O2471" s="2" t="s">
        <v>96</v>
      </c>
      <c r="P2471" s="2" t="str">
        <f>"2170530347                    "</f>
        <v xml:space="preserve">2170530347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3.32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1</v>
      </c>
      <c r="BJ2471" s="2">
        <v>0.2</v>
      </c>
      <c r="BK2471" s="2">
        <v>1</v>
      </c>
      <c r="BL2471" s="2">
        <v>40.76</v>
      </c>
      <c r="BM2471" s="2">
        <v>5.71</v>
      </c>
      <c r="BN2471" s="2">
        <v>46.47</v>
      </c>
      <c r="BO2471" s="2">
        <v>46.47</v>
      </c>
      <c r="BP2471" s="2"/>
      <c r="BQ2471" s="2" t="s">
        <v>110</v>
      </c>
      <c r="BR2471" s="2" t="s">
        <v>83</v>
      </c>
      <c r="BS2471" s="3">
        <v>42670</v>
      </c>
      <c r="BT2471" s="4">
        <v>0.375</v>
      </c>
      <c r="BU2471" s="2" t="s">
        <v>110</v>
      </c>
      <c r="BV2471" s="2" t="s">
        <v>85</v>
      </c>
      <c r="BW2471" s="2"/>
      <c r="BX2471" s="2"/>
      <c r="BY2471" s="2">
        <v>1200</v>
      </c>
      <c r="BZ2471" s="2"/>
      <c r="CA2471" s="2"/>
      <c r="CB2471" s="2"/>
      <c r="CC2471" s="2" t="s">
        <v>99</v>
      </c>
      <c r="CD2471" s="2">
        <v>6001</v>
      </c>
      <c r="CE2471" s="2" t="s">
        <v>108</v>
      </c>
      <c r="CF2471" s="5">
        <v>42671</v>
      </c>
      <c r="CG2471" s="2"/>
      <c r="CH2471" s="2"/>
      <c r="CI2471" s="2">
        <v>1</v>
      </c>
      <c r="CJ2471" s="2">
        <v>1</v>
      </c>
      <c r="CK2471" s="2">
        <v>21</v>
      </c>
      <c r="CL2471" s="2" t="s">
        <v>88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"FES1162509352"</f>
        <v>FES1162509352</v>
      </c>
      <c r="F2472" s="3">
        <v>42669</v>
      </c>
      <c r="G2472" s="2">
        <v>201704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119</v>
      </c>
      <c r="M2472" s="2" t="s">
        <v>120</v>
      </c>
      <c r="N2472" s="2" t="s">
        <v>1517</v>
      </c>
      <c r="O2472" s="2" t="s">
        <v>96</v>
      </c>
      <c r="P2472" s="2" t="str">
        <f>"2170530443                    "</f>
        <v xml:space="preserve">2170530443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3.32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1</v>
      </c>
      <c r="BJ2472" s="2">
        <v>0.2</v>
      </c>
      <c r="BK2472" s="2">
        <v>1</v>
      </c>
      <c r="BL2472" s="2">
        <v>40.76</v>
      </c>
      <c r="BM2472" s="2">
        <v>5.71</v>
      </c>
      <c r="BN2472" s="2">
        <v>46.47</v>
      </c>
      <c r="BO2472" s="2">
        <v>46.47</v>
      </c>
      <c r="BP2472" s="2"/>
      <c r="BQ2472" s="2" t="s">
        <v>1518</v>
      </c>
      <c r="BR2472" s="2" t="s">
        <v>83</v>
      </c>
      <c r="BS2472" s="3">
        <v>42670</v>
      </c>
      <c r="BT2472" s="4">
        <v>0.41111111111111115</v>
      </c>
      <c r="BU2472" s="2" t="s">
        <v>1685</v>
      </c>
      <c r="BV2472" s="2" t="s">
        <v>85</v>
      </c>
      <c r="BW2472" s="2"/>
      <c r="BX2472" s="2"/>
      <c r="BY2472" s="2">
        <v>1200</v>
      </c>
      <c r="BZ2472" s="2"/>
      <c r="CA2472" s="2"/>
      <c r="CB2472" s="2"/>
      <c r="CC2472" s="2" t="s">
        <v>120</v>
      </c>
      <c r="CD2472" s="2">
        <v>6229</v>
      </c>
      <c r="CE2472" s="2" t="s">
        <v>108</v>
      </c>
      <c r="CF2472" s="5">
        <v>42671</v>
      </c>
      <c r="CG2472" s="2"/>
      <c r="CH2472" s="2"/>
      <c r="CI2472" s="2">
        <v>1</v>
      </c>
      <c r="CJ2472" s="2">
        <v>1</v>
      </c>
      <c r="CK2472" s="2">
        <v>21</v>
      </c>
      <c r="CL2472" s="2" t="s">
        <v>88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"FES1162509487"</f>
        <v>FES1162509487</v>
      </c>
      <c r="F2473" s="3">
        <v>42669</v>
      </c>
      <c r="G2473" s="2">
        <v>201704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148</v>
      </c>
      <c r="M2473" s="2" t="s">
        <v>149</v>
      </c>
      <c r="N2473" s="2" t="s">
        <v>432</v>
      </c>
      <c r="O2473" s="2" t="s">
        <v>96</v>
      </c>
      <c r="P2473" s="2" t="str">
        <f>"2170532671                    "</f>
        <v xml:space="preserve">2170532671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3.32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1</v>
      </c>
      <c r="BJ2473" s="2">
        <v>0.2</v>
      </c>
      <c r="BK2473" s="2">
        <v>1</v>
      </c>
      <c r="BL2473" s="2">
        <v>40.76</v>
      </c>
      <c r="BM2473" s="2">
        <v>5.71</v>
      </c>
      <c r="BN2473" s="2">
        <v>46.47</v>
      </c>
      <c r="BO2473" s="2">
        <v>46.47</v>
      </c>
      <c r="BP2473" s="2"/>
      <c r="BQ2473" s="2" t="s">
        <v>91</v>
      </c>
      <c r="BR2473" s="2" t="s">
        <v>83</v>
      </c>
      <c r="BS2473" s="3">
        <v>42670</v>
      </c>
      <c r="BT2473" s="4">
        <v>0.39583333333333331</v>
      </c>
      <c r="BU2473" s="2" t="s">
        <v>210</v>
      </c>
      <c r="BV2473" s="2" t="s">
        <v>85</v>
      </c>
      <c r="BW2473" s="2"/>
      <c r="BX2473" s="2"/>
      <c r="BY2473" s="2">
        <v>1200</v>
      </c>
      <c r="BZ2473" s="2"/>
      <c r="CA2473" s="2"/>
      <c r="CB2473" s="2"/>
      <c r="CC2473" s="2" t="s">
        <v>149</v>
      </c>
      <c r="CD2473" s="2">
        <v>4052</v>
      </c>
      <c r="CE2473" s="2" t="s">
        <v>108</v>
      </c>
      <c r="CF2473" s="5">
        <v>42671</v>
      </c>
      <c r="CG2473" s="2"/>
      <c r="CH2473" s="2"/>
      <c r="CI2473" s="2">
        <v>1</v>
      </c>
      <c r="CJ2473" s="2">
        <v>1</v>
      </c>
      <c r="CK2473" s="2">
        <v>21</v>
      </c>
      <c r="CL2473" s="2" t="s">
        <v>88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"FES1162509422"</f>
        <v>FES1162509422</v>
      </c>
      <c r="F2474" s="3">
        <v>42669</v>
      </c>
      <c r="G2474" s="2">
        <v>201704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78</v>
      </c>
      <c r="M2474" s="2" t="s">
        <v>79</v>
      </c>
      <c r="N2474" s="2" t="s">
        <v>1180</v>
      </c>
      <c r="O2474" s="2" t="s">
        <v>96</v>
      </c>
      <c r="P2474" s="2" t="str">
        <f>"2170531661                    "</f>
        <v xml:space="preserve">2170531661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3.32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1</v>
      </c>
      <c r="BJ2474" s="2">
        <v>0.2</v>
      </c>
      <c r="BK2474" s="2">
        <v>1</v>
      </c>
      <c r="BL2474" s="2">
        <v>40.76</v>
      </c>
      <c r="BM2474" s="2">
        <v>5.71</v>
      </c>
      <c r="BN2474" s="2">
        <v>46.47</v>
      </c>
      <c r="BO2474" s="2">
        <v>46.47</v>
      </c>
      <c r="BP2474" s="2"/>
      <c r="BQ2474" s="2" t="s">
        <v>1181</v>
      </c>
      <c r="BR2474" s="2" t="s">
        <v>83</v>
      </c>
      <c r="BS2474" s="3">
        <v>42670</v>
      </c>
      <c r="BT2474" s="4">
        <v>0.41666666666666669</v>
      </c>
      <c r="BU2474" s="2" t="s">
        <v>84</v>
      </c>
      <c r="BV2474" s="2" t="s">
        <v>85</v>
      </c>
      <c r="BW2474" s="2"/>
      <c r="BX2474" s="2"/>
      <c r="BY2474" s="2">
        <v>1200</v>
      </c>
      <c r="BZ2474" s="2"/>
      <c r="CA2474" s="2"/>
      <c r="CB2474" s="2"/>
      <c r="CC2474" s="2" t="s">
        <v>79</v>
      </c>
      <c r="CD2474" s="2">
        <v>1871</v>
      </c>
      <c r="CE2474" s="2" t="s">
        <v>108</v>
      </c>
      <c r="CF2474" s="5">
        <v>42674</v>
      </c>
      <c r="CG2474" s="2"/>
      <c r="CH2474" s="2"/>
      <c r="CI2474" s="2">
        <v>1</v>
      </c>
      <c r="CJ2474" s="2">
        <v>1</v>
      </c>
      <c r="CK2474" s="2">
        <v>21</v>
      </c>
      <c r="CL2474" s="2" t="s">
        <v>88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"FES1162509316"</f>
        <v>FES1162509316</v>
      </c>
      <c r="F2475" s="3">
        <v>42669</v>
      </c>
      <c r="G2475" s="2">
        <v>201704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160</v>
      </c>
      <c r="M2475" s="2" t="s">
        <v>161</v>
      </c>
      <c r="N2475" s="2" t="s">
        <v>2367</v>
      </c>
      <c r="O2475" s="2" t="s">
        <v>96</v>
      </c>
      <c r="P2475" s="2" t="str">
        <f>"2170532542                    "</f>
        <v xml:space="preserve">2170532542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3.32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1</v>
      </c>
      <c r="BJ2475" s="2">
        <v>0.2</v>
      </c>
      <c r="BK2475" s="2">
        <v>1</v>
      </c>
      <c r="BL2475" s="2">
        <v>40.76</v>
      </c>
      <c r="BM2475" s="2">
        <v>5.71</v>
      </c>
      <c r="BN2475" s="2">
        <v>46.47</v>
      </c>
      <c r="BO2475" s="2">
        <v>46.47</v>
      </c>
      <c r="BP2475" s="2"/>
      <c r="BQ2475" s="2" t="s">
        <v>1684</v>
      </c>
      <c r="BR2475" s="2" t="s">
        <v>83</v>
      </c>
      <c r="BS2475" s="3">
        <v>42670</v>
      </c>
      <c r="BT2475" s="4">
        <v>0.41180555555555554</v>
      </c>
      <c r="BU2475" s="2" t="s">
        <v>2368</v>
      </c>
      <c r="BV2475" s="2" t="s">
        <v>85</v>
      </c>
      <c r="BW2475" s="2"/>
      <c r="BX2475" s="2"/>
      <c r="BY2475" s="2">
        <v>1200</v>
      </c>
      <c r="BZ2475" s="2"/>
      <c r="CA2475" s="2"/>
      <c r="CB2475" s="2"/>
      <c r="CC2475" s="2" t="s">
        <v>161</v>
      </c>
      <c r="CD2475" s="2">
        <v>7490</v>
      </c>
      <c r="CE2475" s="2" t="s">
        <v>108</v>
      </c>
      <c r="CF2475" s="5">
        <v>42671</v>
      </c>
      <c r="CG2475" s="2"/>
      <c r="CH2475" s="2"/>
      <c r="CI2475" s="2">
        <v>1</v>
      </c>
      <c r="CJ2475" s="2">
        <v>1</v>
      </c>
      <c r="CK2475" s="2">
        <v>21</v>
      </c>
      <c r="CL2475" s="2" t="s">
        <v>88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"FES1162508632"</f>
        <v>FES1162508632</v>
      </c>
      <c r="F2476" s="3">
        <v>42669</v>
      </c>
      <c r="G2476" s="2">
        <v>201704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171</v>
      </c>
      <c r="M2476" s="2" t="s">
        <v>172</v>
      </c>
      <c r="N2476" s="2" t="s">
        <v>2142</v>
      </c>
      <c r="O2476" s="2" t="s">
        <v>96</v>
      </c>
      <c r="P2476" s="2" t="str">
        <f>"2170531873                    "</f>
        <v xml:space="preserve">2170531873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3.32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1</v>
      </c>
      <c r="BJ2476" s="2">
        <v>0.2</v>
      </c>
      <c r="BK2476" s="2">
        <v>1</v>
      </c>
      <c r="BL2476" s="2">
        <v>40.76</v>
      </c>
      <c r="BM2476" s="2">
        <v>5.71</v>
      </c>
      <c r="BN2476" s="2">
        <v>46.47</v>
      </c>
      <c r="BO2476" s="2">
        <v>46.47</v>
      </c>
      <c r="BP2476" s="2"/>
      <c r="BQ2476" s="2" t="s">
        <v>2143</v>
      </c>
      <c r="BR2476" s="2" t="s">
        <v>83</v>
      </c>
      <c r="BS2476" s="3">
        <v>42670</v>
      </c>
      <c r="BT2476" s="4">
        <v>0.40277777777777773</v>
      </c>
      <c r="BU2476" s="2" t="s">
        <v>554</v>
      </c>
      <c r="BV2476" s="2" t="s">
        <v>85</v>
      </c>
      <c r="BW2476" s="2"/>
      <c r="BX2476" s="2"/>
      <c r="BY2476" s="2">
        <v>1200</v>
      </c>
      <c r="BZ2476" s="2"/>
      <c r="CA2476" s="2"/>
      <c r="CB2476" s="2"/>
      <c r="CC2476" s="2" t="s">
        <v>172</v>
      </c>
      <c r="CD2476" s="2">
        <v>6220</v>
      </c>
      <c r="CE2476" s="2" t="s">
        <v>108</v>
      </c>
      <c r="CF2476" s="5">
        <v>42671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88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"FES1162509314"</f>
        <v>FES1162509314</v>
      </c>
      <c r="F2477" s="3">
        <v>42669</v>
      </c>
      <c r="G2477" s="2">
        <v>201704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160</v>
      </c>
      <c r="M2477" s="2" t="s">
        <v>161</v>
      </c>
      <c r="N2477" s="2" t="s">
        <v>179</v>
      </c>
      <c r="O2477" s="2" t="s">
        <v>96</v>
      </c>
      <c r="P2477" s="2" t="str">
        <f>"2170532537                    "</f>
        <v xml:space="preserve">2170532537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3.32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</v>
      </c>
      <c r="BJ2477" s="2">
        <v>0.2</v>
      </c>
      <c r="BK2477" s="2">
        <v>1</v>
      </c>
      <c r="BL2477" s="2">
        <v>40.76</v>
      </c>
      <c r="BM2477" s="2">
        <v>5.71</v>
      </c>
      <c r="BN2477" s="2">
        <v>46.47</v>
      </c>
      <c r="BO2477" s="2">
        <v>46.47</v>
      </c>
      <c r="BP2477" s="2"/>
      <c r="BQ2477" s="2" t="s">
        <v>180</v>
      </c>
      <c r="BR2477" s="2" t="s">
        <v>83</v>
      </c>
      <c r="BS2477" s="3">
        <v>42670</v>
      </c>
      <c r="BT2477" s="4">
        <v>0.41666666666666669</v>
      </c>
      <c r="BU2477" s="2" t="s">
        <v>1988</v>
      </c>
      <c r="BV2477" s="2" t="s">
        <v>85</v>
      </c>
      <c r="BW2477" s="2"/>
      <c r="BX2477" s="2"/>
      <c r="BY2477" s="2">
        <v>1200</v>
      </c>
      <c r="BZ2477" s="2"/>
      <c r="CA2477" s="2"/>
      <c r="CB2477" s="2"/>
      <c r="CC2477" s="2" t="s">
        <v>161</v>
      </c>
      <c r="CD2477" s="2">
        <v>7405</v>
      </c>
      <c r="CE2477" s="2" t="s">
        <v>108</v>
      </c>
      <c r="CF2477" s="5">
        <v>42671</v>
      </c>
      <c r="CG2477" s="2"/>
      <c r="CH2477" s="2"/>
      <c r="CI2477" s="2">
        <v>1</v>
      </c>
      <c r="CJ2477" s="2">
        <v>1</v>
      </c>
      <c r="CK2477" s="2">
        <v>21</v>
      </c>
      <c r="CL2477" s="2" t="s">
        <v>88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"FES1162509462"</f>
        <v>FES1162509462</v>
      </c>
      <c r="F2478" s="3">
        <v>42669</v>
      </c>
      <c r="G2478" s="2">
        <v>201704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148</v>
      </c>
      <c r="M2478" s="2" t="s">
        <v>149</v>
      </c>
      <c r="N2478" s="2" t="s">
        <v>2369</v>
      </c>
      <c r="O2478" s="2" t="s">
        <v>96</v>
      </c>
      <c r="P2478" s="2" t="str">
        <f>"2170532394                    "</f>
        <v xml:space="preserve">2170532394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3.32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40.76</v>
      </c>
      <c r="BM2478" s="2">
        <v>5.71</v>
      </c>
      <c r="BN2478" s="2">
        <v>46.47</v>
      </c>
      <c r="BO2478" s="2">
        <v>46.47</v>
      </c>
      <c r="BP2478" s="2"/>
      <c r="BQ2478" s="2" t="s">
        <v>168</v>
      </c>
      <c r="BR2478" s="2" t="s">
        <v>83</v>
      </c>
      <c r="BS2478" s="3">
        <v>42670</v>
      </c>
      <c r="BT2478" s="4">
        <v>0.4375</v>
      </c>
      <c r="BU2478" s="2" t="s">
        <v>2370</v>
      </c>
      <c r="BV2478" s="2" t="s">
        <v>85</v>
      </c>
      <c r="BW2478" s="2"/>
      <c r="BX2478" s="2"/>
      <c r="BY2478" s="2">
        <v>1200</v>
      </c>
      <c r="BZ2478" s="2"/>
      <c r="CA2478" s="2"/>
      <c r="CB2478" s="2"/>
      <c r="CC2478" s="2" t="s">
        <v>149</v>
      </c>
      <c r="CD2478" s="2">
        <v>4147</v>
      </c>
      <c r="CE2478" s="2" t="s">
        <v>108</v>
      </c>
      <c r="CF2478" s="5">
        <v>42671</v>
      </c>
      <c r="CG2478" s="2"/>
      <c r="CH2478" s="2"/>
      <c r="CI2478" s="2">
        <v>1</v>
      </c>
      <c r="CJ2478" s="2">
        <v>1</v>
      </c>
      <c r="CK2478" s="2">
        <v>21</v>
      </c>
      <c r="CL2478" s="2" t="s">
        <v>88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"FES1162509427"</f>
        <v>FES1162509427</v>
      </c>
      <c r="F2479" s="3">
        <v>42669</v>
      </c>
      <c r="G2479" s="2">
        <v>201704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1380</v>
      </c>
      <c r="M2479" s="2" t="s">
        <v>1381</v>
      </c>
      <c r="N2479" s="2" t="s">
        <v>2339</v>
      </c>
      <c r="O2479" s="2" t="s">
        <v>96</v>
      </c>
      <c r="P2479" s="2" t="str">
        <f>"2170532246                    "</f>
        <v xml:space="preserve">2170532246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6.43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1</v>
      </c>
      <c r="BJ2479" s="2">
        <v>0.2</v>
      </c>
      <c r="BK2479" s="2">
        <v>1</v>
      </c>
      <c r="BL2479" s="2">
        <v>78.97</v>
      </c>
      <c r="BM2479" s="2">
        <v>11.06</v>
      </c>
      <c r="BN2479" s="2">
        <v>90.03</v>
      </c>
      <c r="BO2479" s="2">
        <v>90.03</v>
      </c>
      <c r="BP2479" s="2"/>
      <c r="BQ2479" s="2" t="s">
        <v>91</v>
      </c>
      <c r="BR2479" s="2" t="s">
        <v>83</v>
      </c>
      <c r="BS2479" s="3">
        <v>42670</v>
      </c>
      <c r="BT2479" s="4">
        <v>0.4375</v>
      </c>
      <c r="BU2479" s="2" t="s">
        <v>2146</v>
      </c>
      <c r="BV2479" s="2" t="s">
        <v>85</v>
      </c>
      <c r="BW2479" s="2"/>
      <c r="BX2479" s="2"/>
      <c r="BY2479" s="2">
        <v>1200</v>
      </c>
      <c r="BZ2479" s="2"/>
      <c r="CA2479" s="2"/>
      <c r="CB2479" s="2"/>
      <c r="CC2479" s="2" t="s">
        <v>1381</v>
      </c>
      <c r="CD2479" s="2">
        <v>4339</v>
      </c>
      <c r="CE2479" s="2" t="s">
        <v>108</v>
      </c>
      <c r="CF2479" s="5">
        <v>42671</v>
      </c>
      <c r="CG2479" s="2"/>
      <c r="CH2479" s="2"/>
      <c r="CI2479" s="2">
        <v>1</v>
      </c>
      <c r="CJ2479" s="2">
        <v>1</v>
      </c>
      <c r="CK2479" s="2">
        <v>23</v>
      </c>
      <c r="CL2479" s="2" t="s">
        <v>88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"FES1162509463"</f>
        <v>FES1162509463</v>
      </c>
      <c r="F2480" s="3">
        <v>42669</v>
      </c>
      <c r="G2480" s="2">
        <v>201704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137</v>
      </c>
      <c r="M2480" s="2" t="s">
        <v>138</v>
      </c>
      <c r="N2480" s="2" t="s">
        <v>526</v>
      </c>
      <c r="O2480" s="2" t="s">
        <v>96</v>
      </c>
      <c r="P2480" s="2" t="str">
        <f>"2170532623                    "</f>
        <v xml:space="preserve">2170532623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3.32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1</v>
      </c>
      <c r="BJ2480" s="2">
        <v>0.2</v>
      </c>
      <c r="BK2480" s="2">
        <v>1</v>
      </c>
      <c r="BL2480" s="2">
        <v>40.76</v>
      </c>
      <c r="BM2480" s="2">
        <v>5.71</v>
      </c>
      <c r="BN2480" s="2">
        <v>46.47</v>
      </c>
      <c r="BO2480" s="2">
        <v>46.47</v>
      </c>
      <c r="BP2480" s="2"/>
      <c r="BQ2480" s="2" t="s">
        <v>117</v>
      </c>
      <c r="BR2480" s="2" t="s">
        <v>83</v>
      </c>
      <c r="BS2480" s="3">
        <v>42670</v>
      </c>
      <c r="BT2480" s="4">
        <v>0.41319444444444442</v>
      </c>
      <c r="BU2480" s="2" t="s">
        <v>1372</v>
      </c>
      <c r="BV2480" s="2"/>
      <c r="BW2480" s="2"/>
      <c r="BX2480" s="2"/>
      <c r="BY2480" s="2">
        <v>1200</v>
      </c>
      <c r="BZ2480" s="2"/>
      <c r="CA2480" s="2" t="s">
        <v>1091</v>
      </c>
      <c r="CB2480" s="2"/>
      <c r="CC2480" s="2" t="s">
        <v>138</v>
      </c>
      <c r="CD2480" s="2">
        <v>3201</v>
      </c>
      <c r="CE2480" s="2" t="s">
        <v>108</v>
      </c>
      <c r="CF2480" s="5">
        <v>42670</v>
      </c>
      <c r="CG2480" s="2"/>
      <c r="CH2480" s="2"/>
      <c r="CI2480" s="2">
        <v>0</v>
      </c>
      <c r="CJ2480" s="2">
        <v>0</v>
      </c>
      <c r="CK2480" s="2">
        <v>21</v>
      </c>
      <c r="CL2480" s="2" t="s">
        <v>88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"FES1162509464"</f>
        <v>FES1162509464</v>
      </c>
      <c r="F2481" s="3">
        <v>42669</v>
      </c>
      <c r="G2481" s="2">
        <v>201704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137</v>
      </c>
      <c r="M2481" s="2" t="s">
        <v>138</v>
      </c>
      <c r="N2481" s="2" t="s">
        <v>2371</v>
      </c>
      <c r="O2481" s="2" t="s">
        <v>96</v>
      </c>
      <c r="P2481" s="2" t="str">
        <f>"2170532625                    "</f>
        <v xml:space="preserve">2170532625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3.32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1.4</v>
      </c>
      <c r="BJ2481" s="2">
        <v>0.2</v>
      </c>
      <c r="BK2481" s="2">
        <v>1.5</v>
      </c>
      <c r="BL2481" s="2">
        <v>40.76</v>
      </c>
      <c r="BM2481" s="2">
        <v>5.71</v>
      </c>
      <c r="BN2481" s="2">
        <v>46.47</v>
      </c>
      <c r="BO2481" s="2">
        <v>46.47</v>
      </c>
      <c r="BP2481" s="2"/>
      <c r="BQ2481" s="2" t="s">
        <v>602</v>
      </c>
      <c r="BR2481" s="2" t="s">
        <v>83</v>
      </c>
      <c r="BS2481" s="3">
        <v>42670</v>
      </c>
      <c r="BT2481" s="4">
        <v>0.34027777777777773</v>
      </c>
      <c r="BU2481" s="2" t="s">
        <v>2372</v>
      </c>
      <c r="BV2481" s="2"/>
      <c r="BW2481" s="2"/>
      <c r="BX2481" s="2"/>
      <c r="BY2481" s="2">
        <v>1200</v>
      </c>
      <c r="BZ2481" s="2"/>
      <c r="CA2481" s="2"/>
      <c r="CB2481" s="2"/>
      <c r="CC2481" s="2" t="s">
        <v>138</v>
      </c>
      <c r="CD2481" s="2">
        <v>3201</v>
      </c>
      <c r="CE2481" s="2" t="s">
        <v>108</v>
      </c>
      <c r="CF2481" s="5">
        <v>42671</v>
      </c>
      <c r="CG2481" s="2"/>
      <c r="CH2481" s="2"/>
      <c r="CI2481" s="2">
        <v>0</v>
      </c>
      <c r="CJ2481" s="2">
        <v>0</v>
      </c>
      <c r="CK2481" s="2">
        <v>21</v>
      </c>
      <c r="CL2481" s="2" t="s">
        <v>88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"FES1162509434"</f>
        <v>FES1162509434</v>
      </c>
      <c r="F2482" s="3">
        <v>42669</v>
      </c>
      <c r="G2482" s="2">
        <v>201704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148</v>
      </c>
      <c r="M2482" s="2" t="s">
        <v>149</v>
      </c>
      <c r="N2482" s="2" t="s">
        <v>422</v>
      </c>
      <c r="O2482" s="2" t="s">
        <v>96</v>
      </c>
      <c r="P2482" s="2" t="str">
        <f>"2170532577                    "</f>
        <v xml:space="preserve">2170532577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3.32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1</v>
      </c>
      <c r="BJ2482" s="2">
        <v>0.2</v>
      </c>
      <c r="BK2482" s="2">
        <v>1</v>
      </c>
      <c r="BL2482" s="2">
        <v>40.76</v>
      </c>
      <c r="BM2482" s="2">
        <v>5.71</v>
      </c>
      <c r="BN2482" s="2">
        <v>46.47</v>
      </c>
      <c r="BO2482" s="2">
        <v>46.47</v>
      </c>
      <c r="BP2482" s="2"/>
      <c r="BQ2482" s="2" t="s">
        <v>423</v>
      </c>
      <c r="BR2482" s="2" t="s">
        <v>83</v>
      </c>
      <c r="BS2482" s="3">
        <v>42670</v>
      </c>
      <c r="BT2482" s="4">
        <v>0.39583333333333331</v>
      </c>
      <c r="BU2482" s="2" t="s">
        <v>2373</v>
      </c>
      <c r="BV2482" s="2" t="s">
        <v>85</v>
      </c>
      <c r="BW2482" s="2"/>
      <c r="BX2482" s="2"/>
      <c r="BY2482" s="2">
        <v>1200</v>
      </c>
      <c r="BZ2482" s="2"/>
      <c r="CA2482" s="2"/>
      <c r="CB2482" s="2"/>
      <c r="CC2482" s="2" t="s">
        <v>149</v>
      </c>
      <c r="CD2482" s="2">
        <v>4052</v>
      </c>
      <c r="CE2482" s="2" t="s">
        <v>108</v>
      </c>
      <c r="CF2482" s="5">
        <v>42671</v>
      </c>
      <c r="CG2482" s="2"/>
      <c r="CH2482" s="2"/>
      <c r="CI2482" s="2">
        <v>1</v>
      </c>
      <c r="CJ2482" s="2">
        <v>1</v>
      </c>
      <c r="CK2482" s="2">
        <v>21</v>
      </c>
      <c r="CL2482" s="2" t="s">
        <v>88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"FES1162509377"</f>
        <v>FES1162509377</v>
      </c>
      <c r="F2483" s="3">
        <v>42669</v>
      </c>
      <c r="G2483" s="2">
        <v>201704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269</v>
      </c>
      <c r="M2483" s="2" t="s">
        <v>270</v>
      </c>
      <c r="N2483" s="2" t="s">
        <v>496</v>
      </c>
      <c r="O2483" s="2" t="s">
        <v>96</v>
      </c>
      <c r="P2483" s="2" t="str">
        <f>"2170532558                    "</f>
        <v xml:space="preserve">2170532558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3.32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1</v>
      </c>
      <c r="BJ2483" s="2">
        <v>0.2</v>
      </c>
      <c r="BK2483" s="2">
        <v>1</v>
      </c>
      <c r="BL2483" s="2">
        <v>40.76</v>
      </c>
      <c r="BM2483" s="2">
        <v>5.71</v>
      </c>
      <c r="BN2483" s="2">
        <v>46.47</v>
      </c>
      <c r="BO2483" s="2">
        <v>46.47</v>
      </c>
      <c r="BP2483" s="2"/>
      <c r="BQ2483" s="2" t="s">
        <v>892</v>
      </c>
      <c r="BR2483" s="2" t="s">
        <v>83</v>
      </c>
      <c r="BS2483" s="3">
        <v>42670</v>
      </c>
      <c r="BT2483" s="4">
        <v>0.39583333333333331</v>
      </c>
      <c r="BU2483" s="2" t="s">
        <v>2374</v>
      </c>
      <c r="BV2483" s="2" t="s">
        <v>85</v>
      </c>
      <c r="BW2483" s="2"/>
      <c r="BX2483" s="2"/>
      <c r="BY2483" s="2">
        <v>1200</v>
      </c>
      <c r="BZ2483" s="2"/>
      <c r="CA2483" s="2"/>
      <c r="CB2483" s="2"/>
      <c r="CC2483" s="2" t="s">
        <v>270</v>
      </c>
      <c r="CD2483" s="2">
        <v>3610</v>
      </c>
      <c r="CE2483" s="2" t="s">
        <v>108</v>
      </c>
      <c r="CF2483" s="5">
        <v>42671</v>
      </c>
      <c r="CG2483" s="2"/>
      <c r="CH2483" s="2"/>
      <c r="CI2483" s="2">
        <v>1</v>
      </c>
      <c r="CJ2483" s="2">
        <v>1</v>
      </c>
      <c r="CK2483" s="2">
        <v>21</v>
      </c>
      <c r="CL2483" s="2" t="s">
        <v>88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"FES1162509460"</f>
        <v>FES1162509460</v>
      </c>
      <c r="F2484" s="3">
        <v>42669</v>
      </c>
      <c r="G2484" s="2">
        <v>201704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160</v>
      </c>
      <c r="M2484" s="2" t="s">
        <v>161</v>
      </c>
      <c r="N2484" s="2" t="s">
        <v>2375</v>
      </c>
      <c r="O2484" s="2" t="s">
        <v>96</v>
      </c>
      <c r="P2484" s="2" t="str">
        <f>"2170531876                    "</f>
        <v xml:space="preserve">2170531876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3.32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1</v>
      </c>
      <c r="BJ2484" s="2">
        <v>0.2</v>
      </c>
      <c r="BK2484" s="2">
        <v>1</v>
      </c>
      <c r="BL2484" s="2">
        <v>40.76</v>
      </c>
      <c r="BM2484" s="2">
        <v>5.71</v>
      </c>
      <c r="BN2484" s="2">
        <v>46.47</v>
      </c>
      <c r="BO2484" s="2">
        <v>46.47</v>
      </c>
      <c r="BP2484" s="2"/>
      <c r="BQ2484" s="2" t="s">
        <v>2376</v>
      </c>
      <c r="BR2484" s="2" t="s">
        <v>83</v>
      </c>
      <c r="BS2484" s="3">
        <v>42670</v>
      </c>
      <c r="BT2484" s="4">
        <v>0.41666666666666669</v>
      </c>
      <c r="BU2484" s="2" t="s">
        <v>2377</v>
      </c>
      <c r="BV2484" s="2" t="s">
        <v>85</v>
      </c>
      <c r="BW2484" s="2"/>
      <c r="BX2484" s="2"/>
      <c r="BY2484" s="2">
        <v>1200</v>
      </c>
      <c r="BZ2484" s="2"/>
      <c r="CA2484" s="2"/>
      <c r="CB2484" s="2"/>
      <c r="CC2484" s="2" t="s">
        <v>161</v>
      </c>
      <c r="CD2484" s="2">
        <v>7405</v>
      </c>
      <c r="CE2484" s="2" t="s">
        <v>108</v>
      </c>
      <c r="CF2484" s="5">
        <v>42671</v>
      </c>
      <c r="CG2484" s="2"/>
      <c r="CH2484" s="2"/>
      <c r="CI2484" s="2">
        <v>1</v>
      </c>
      <c r="CJ2484" s="2">
        <v>1</v>
      </c>
      <c r="CK2484" s="2">
        <v>21</v>
      </c>
      <c r="CL2484" s="2" t="s">
        <v>88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"FES1162509469"</f>
        <v>FES1162509469</v>
      </c>
      <c r="F2485" s="3">
        <v>42669</v>
      </c>
      <c r="G2485" s="2">
        <v>201704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160</v>
      </c>
      <c r="M2485" s="2" t="s">
        <v>161</v>
      </c>
      <c r="N2485" s="2" t="s">
        <v>754</v>
      </c>
      <c r="O2485" s="2" t="s">
        <v>96</v>
      </c>
      <c r="P2485" s="2" t="str">
        <f>"2170532642                    "</f>
        <v xml:space="preserve">2170532642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3.32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1</v>
      </c>
      <c r="BJ2485" s="2">
        <v>0.2</v>
      </c>
      <c r="BK2485" s="2">
        <v>1</v>
      </c>
      <c r="BL2485" s="2">
        <v>40.76</v>
      </c>
      <c r="BM2485" s="2">
        <v>5.71</v>
      </c>
      <c r="BN2485" s="2">
        <v>46.47</v>
      </c>
      <c r="BO2485" s="2">
        <v>46.47</v>
      </c>
      <c r="BP2485" s="2"/>
      <c r="BQ2485" s="2" t="s">
        <v>755</v>
      </c>
      <c r="BR2485" s="2" t="s">
        <v>83</v>
      </c>
      <c r="BS2485" s="3">
        <v>42670</v>
      </c>
      <c r="BT2485" s="4">
        <v>0.41666666666666669</v>
      </c>
      <c r="BU2485" s="2" t="s">
        <v>2378</v>
      </c>
      <c r="BV2485" s="2" t="s">
        <v>85</v>
      </c>
      <c r="BW2485" s="2"/>
      <c r="BX2485" s="2"/>
      <c r="BY2485" s="2">
        <v>1200</v>
      </c>
      <c r="BZ2485" s="2"/>
      <c r="CA2485" s="2"/>
      <c r="CB2485" s="2"/>
      <c r="CC2485" s="2" t="s">
        <v>161</v>
      </c>
      <c r="CD2485" s="2">
        <v>7441</v>
      </c>
      <c r="CE2485" s="2" t="s">
        <v>108</v>
      </c>
      <c r="CF2485" s="5">
        <v>42671</v>
      </c>
      <c r="CG2485" s="2"/>
      <c r="CH2485" s="2"/>
      <c r="CI2485" s="2">
        <v>1</v>
      </c>
      <c r="CJ2485" s="2">
        <v>1</v>
      </c>
      <c r="CK2485" s="2">
        <v>21</v>
      </c>
      <c r="CL2485" s="2" t="s">
        <v>88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"FES1162509399"</f>
        <v>FES1162509399</v>
      </c>
      <c r="F2486" s="3">
        <v>42669</v>
      </c>
      <c r="G2486" s="2">
        <v>201704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1567</v>
      </c>
      <c r="M2486" s="2" t="s">
        <v>1568</v>
      </c>
      <c r="N2486" s="2" t="s">
        <v>312</v>
      </c>
      <c r="O2486" s="2" t="s">
        <v>96</v>
      </c>
      <c r="P2486" s="2" t="str">
        <f>"2170532582                    "</f>
        <v xml:space="preserve">2170532582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6.43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</v>
      </c>
      <c r="BJ2486" s="2">
        <v>0.2</v>
      </c>
      <c r="BK2486" s="2">
        <v>1</v>
      </c>
      <c r="BL2486" s="2">
        <v>78.97</v>
      </c>
      <c r="BM2486" s="2">
        <v>11.06</v>
      </c>
      <c r="BN2486" s="2">
        <v>90.03</v>
      </c>
      <c r="BO2486" s="2">
        <v>90.03</v>
      </c>
      <c r="BP2486" s="2"/>
      <c r="BQ2486" s="2" t="s">
        <v>117</v>
      </c>
      <c r="BR2486" s="2" t="s">
        <v>83</v>
      </c>
      <c r="BS2486" s="3">
        <v>42670</v>
      </c>
      <c r="BT2486" s="4">
        <v>0.4375</v>
      </c>
      <c r="BU2486" s="2" t="s">
        <v>433</v>
      </c>
      <c r="BV2486" s="2" t="s">
        <v>85</v>
      </c>
      <c r="BW2486" s="2"/>
      <c r="BX2486" s="2"/>
      <c r="BY2486" s="2">
        <v>1200</v>
      </c>
      <c r="BZ2486" s="2"/>
      <c r="CA2486" s="2"/>
      <c r="CB2486" s="2"/>
      <c r="CC2486" s="2" t="s">
        <v>1568</v>
      </c>
      <c r="CD2486" s="2">
        <v>4449</v>
      </c>
      <c r="CE2486" s="2" t="s">
        <v>108</v>
      </c>
      <c r="CF2486" s="5">
        <v>42675</v>
      </c>
      <c r="CG2486" s="2"/>
      <c r="CH2486" s="2"/>
      <c r="CI2486" s="2">
        <v>1</v>
      </c>
      <c r="CJ2486" s="2">
        <v>1</v>
      </c>
      <c r="CK2486" s="2">
        <v>23</v>
      </c>
      <c r="CL2486" s="2" t="s">
        <v>88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"FES1162509437"</f>
        <v>FES1162509437</v>
      </c>
      <c r="F2487" s="3">
        <v>42669</v>
      </c>
      <c r="G2487" s="2">
        <v>201704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253</v>
      </c>
      <c r="M2487" s="2" t="s">
        <v>254</v>
      </c>
      <c r="N2487" s="2" t="s">
        <v>255</v>
      </c>
      <c r="O2487" s="2" t="s">
        <v>96</v>
      </c>
      <c r="P2487" s="2" t="str">
        <f>"2170532591                    "</f>
        <v xml:space="preserve">2170532591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6.43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1</v>
      </c>
      <c r="BJ2487" s="2">
        <v>0.2</v>
      </c>
      <c r="BK2487" s="2">
        <v>1</v>
      </c>
      <c r="BL2487" s="2">
        <v>78.97</v>
      </c>
      <c r="BM2487" s="2">
        <v>11.06</v>
      </c>
      <c r="BN2487" s="2">
        <v>90.03</v>
      </c>
      <c r="BO2487" s="2">
        <v>90.03</v>
      </c>
      <c r="BP2487" s="2"/>
      <c r="BQ2487" s="2" t="s">
        <v>117</v>
      </c>
      <c r="BR2487" s="2" t="s">
        <v>83</v>
      </c>
      <c r="BS2487" s="3">
        <v>42670</v>
      </c>
      <c r="BT2487" s="4">
        <v>0.43055555555555558</v>
      </c>
      <c r="BU2487" s="2" t="s">
        <v>457</v>
      </c>
      <c r="BV2487" s="2" t="s">
        <v>85</v>
      </c>
      <c r="BW2487" s="2"/>
      <c r="BX2487" s="2"/>
      <c r="BY2487" s="2">
        <v>1200</v>
      </c>
      <c r="BZ2487" s="2"/>
      <c r="CA2487" s="2"/>
      <c r="CB2487" s="2"/>
      <c r="CC2487" s="2" t="s">
        <v>254</v>
      </c>
      <c r="CD2487" s="2">
        <v>3370</v>
      </c>
      <c r="CE2487" s="2" t="s">
        <v>108</v>
      </c>
      <c r="CF2487" s="5">
        <v>42674</v>
      </c>
      <c r="CG2487" s="2"/>
      <c r="CH2487" s="2"/>
      <c r="CI2487" s="2">
        <v>3</v>
      </c>
      <c r="CJ2487" s="2">
        <v>1</v>
      </c>
      <c r="CK2487" s="2">
        <v>23</v>
      </c>
      <c r="CL2487" s="2" t="s">
        <v>88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"FES1162509353"</f>
        <v>FES1162509353</v>
      </c>
      <c r="F2488" s="3">
        <v>42669</v>
      </c>
      <c r="G2488" s="2">
        <v>201704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160</v>
      </c>
      <c r="M2488" s="2" t="s">
        <v>161</v>
      </c>
      <c r="N2488" s="2" t="s">
        <v>176</v>
      </c>
      <c r="O2488" s="2" t="s">
        <v>96</v>
      </c>
      <c r="P2488" s="2" t="str">
        <f>"2170530444                    "</f>
        <v xml:space="preserve">2170530444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3.32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1</v>
      </c>
      <c r="BJ2488" s="2">
        <v>0.2</v>
      </c>
      <c r="BK2488" s="2">
        <v>1</v>
      </c>
      <c r="BL2488" s="2">
        <v>40.76</v>
      </c>
      <c r="BM2488" s="2">
        <v>5.71</v>
      </c>
      <c r="BN2488" s="2">
        <v>46.47</v>
      </c>
      <c r="BO2488" s="2">
        <v>46.47</v>
      </c>
      <c r="BP2488" s="2"/>
      <c r="BQ2488" s="2" t="s">
        <v>177</v>
      </c>
      <c r="BR2488" s="2" t="s">
        <v>83</v>
      </c>
      <c r="BS2488" s="3">
        <v>42670</v>
      </c>
      <c r="BT2488" s="4">
        <v>0.4069444444444445</v>
      </c>
      <c r="BU2488" s="2" t="s">
        <v>1659</v>
      </c>
      <c r="BV2488" s="2" t="s">
        <v>85</v>
      </c>
      <c r="BW2488" s="2"/>
      <c r="BX2488" s="2"/>
      <c r="BY2488" s="2">
        <v>1200</v>
      </c>
      <c r="BZ2488" s="2"/>
      <c r="CA2488" s="2"/>
      <c r="CB2488" s="2"/>
      <c r="CC2488" s="2" t="s">
        <v>161</v>
      </c>
      <c r="CD2488" s="2">
        <v>7530</v>
      </c>
      <c r="CE2488" s="2" t="s">
        <v>108</v>
      </c>
      <c r="CF2488" s="5">
        <v>42671</v>
      </c>
      <c r="CG2488" s="2"/>
      <c r="CH2488" s="2"/>
      <c r="CI2488" s="2">
        <v>1</v>
      </c>
      <c r="CJ2488" s="2">
        <v>1</v>
      </c>
      <c r="CK2488" s="2">
        <v>21</v>
      </c>
      <c r="CL2488" s="2" t="s">
        <v>88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"FES1162509405"</f>
        <v>FES1162509405</v>
      </c>
      <c r="F2489" s="3">
        <v>42669</v>
      </c>
      <c r="G2489" s="2">
        <v>201704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160</v>
      </c>
      <c r="M2489" s="2" t="s">
        <v>161</v>
      </c>
      <c r="N2489" s="2" t="s">
        <v>1269</v>
      </c>
      <c r="O2489" s="2" t="s">
        <v>96</v>
      </c>
      <c r="P2489" s="2" t="str">
        <f>"2170532588                    "</f>
        <v xml:space="preserve">2170532588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3.32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1</v>
      </c>
      <c r="BJ2489" s="2">
        <v>0.2</v>
      </c>
      <c r="BK2489" s="2">
        <v>1</v>
      </c>
      <c r="BL2489" s="2">
        <v>40.76</v>
      </c>
      <c r="BM2489" s="2">
        <v>5.71</v>
      </c>
      <c r="BN2489" s="2">
        <v>46.47</v>
      </c>
      <c r="BO2489" s="2">
        <v>46.47</v>
      </c>
      <c r="BP2489" s="2"/>
      <c r="BQ2489" s="2" t="s">
        <v>91</v>
      </c>
      <c r="BR2489" s="2" t="s">
        <v>83</v>
      </c>
      <c r="BS2489" s="3">
        <v>42670</v>
      </c>
      <c r="BT2489" s="4">
        <v>0.41666666666666669</v>
      </c>
      <c r="BU2489" s="2" t="s">
        <v>2379</v>
      </c>
      <c r="BV2489" s="2" t="s">
        <v>85</v>
      </c>
      <c r="BW2489" s="2"/>
      <c r="BX2489" s="2"/>
      <c r="BY2489" s="2">
        <v>1200</v>
      </c>
      <c r="BZ2489" s="2"/>
      <c r="CA2489" s="2"/>
      <c r="CB2489" s="2"/>
      <c r="CC2489" s="2" t="s">
        <v>161</v>
      </c>
      <c r="CD2489" s="2">
        <v>7925</v>
      </c>
      <c r="CE2489" s="2" t="s">
        <v>108</v>
      </c>
      <c r="CF2489" s="5">
        <v>42671</v>
      </c>
      <c r="CG2489" s="2"/>
      <c r="CH2489" s="2"/>
      <c r="CI2489" s="2">
        <v>1</v>
      </c>
      <c r="CJ2489" s="2">
        <v>1</v>
      </c>
      <c r="CK2489" s="2">
        <v>21</v>
      </c>
      <c r="CL2489" s="2" t="s">
        <v>88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"FES1162509375"</f>
        <v>FES1162509375</v>
      </c>
      <c r="F2490" s="3">
        <v>42669</v>
      </c>
      <c r="G2490" s="2">
        <v>201704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153</v>
      </c>
      <c r="M2490" s="2" t="s">
        <v>153</v>
      </c>
      <c r="N2490" s="2" t="s">
        <v>343</v>
      </c>
      <c r="O2490" s="2" t="s">
        <v>96</v>
      </c>
      <c r="P2490" s="2" t="str">
        <f>"2170532555                    "</f>
        <v xml:space="preserve">2170532555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3.32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1</v>
      </c>
      <c r="BJ2490" s="2">
        <v>0.2</v>
      </c>
      <c r="BK2490" s="2">
        <v>1</v>
      </c>
      <c r="BL2490" s="2">
        <v>40.76</v>
      </c>
      <c r="BM2490" s="2">
        <v>5.71</v>
      </c>
      <c r="BN2490" s="2">
        <v>46.47</v>
      </c>
      <c r="BO2490" s="2">
        <v>46.47</v>
      </c>
      <c r="BP2490" s="2"/>
      <c r="BQ2490" s="2" t="s">
        <v>344</v>
      </c>
      <c r="BR2490" s="2" t="s">
        <v>83</v>
      </c>
      <c r="BS2490" s="3">
        <v>42670</v>
      </c>
      <c r="BT2490" s="4">
        <v>0.52083333333333337</v>
      </c>
      <c r="BU2490" s="2" t="s">
        <v>720</v>
      </c>
      <c r="BV2490" s="2" t="s">
        <v>85</v>
      </c>
      <c r="BW2490" s="2"/>
      <c r="BX2490" s="2"/>
      <c r="BY2490" s="2">
        <v>1200</v>
      </c>
      <c r="BZ2490" s="2"/>
      <c r="CA2490" s="2"/>
      <c r="CB2490" s="2"/>
      <c r="CC2490" s="2" t="s">
        <v>153</v>
      </c>
      <c r="CD2490" s="2">
        <v>7646</v>
      </c>
      <c r="CE2490" s="2" t="s">
        <v>108</v>
      </c>
      <c r="CF2490" s="5">
        <v>42671</v>
      </c>
      <c r="CG2490" s="2"/>
      <c r="CH2490" s="2"/>
      <c r="CI2490" s="2">
        <v>1</v>
      </c>
      <c r="CJ2490" s="2">
        <v>1</v>
      </c>
      <c r="CK2490" s="2">
        <v>21</v>
      </c>
      <c r="CL2490" s="2" t="s">
        <v>88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"FES1162509360"</f>
        <v>FES1162509360</v>
      </c>
      <c r="F2491" s="3">
        <v>42669</v>
      </c>
      <c r="G2491" s="2">
        <v>201704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160</v>
      </c>
      <c r="M2491" s="2" t="s">
        <v>161</v>
      </c>
      <c r="N2491" s="2" t="s">
        <v>357</v>
      </c>
      <c r="O2491" s="2" t="s">
        <v>96</v>
      </c>
      <c r="P2491" s="2" t="str">
        <f>"2170530829                    "</f>
        <v xml:space="preserve">2170530829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3.32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1</v>
      </c>
      <c r="BJ2491" s="2">
        <v>0.2</v>
      </c>
      <c r="BK2491" s="2">
        <v>1</v>
      </c>
      <c r="BL2491" s="2">
        <v>40.76</v>
      </c>
      <c r="BM2491" s="2">
        <v>5.71</v>
      </c>
      <c r="BN2491" s="2">
        <v>46.47</v>
      </c>
      <c r="BO2491" s="2">
        <v>46.47</v>
      </c>
      <c r="BP2491" s="2"/>
      <c r="BQ2491" s="2" t="s">
        <v>358</v>
      </c>
      <c r="BR2491" s="2" t="s">
        <v>83</v>
      </c>
      <c r="BS2491" s="3">
        <v>42670</v>
      </c>
      <c r="BT2491" s="4">
        <v>0.41666666666666669</v>
      </c>
      <c r="BU2491" s="2" t="s">
        <v>2380</v>
      </c>
      <c r="BV2491" s="2" t="s">
        <v>85</v>
      </c>
      <c r="BW2491" s="2"/>
      <c r="BX2491" s="2"/>
      <c r="BY2491" s="2">
        <v>1200</v>
      </c>
      <c r="BZ2491" s="2"/>
      <c r="CA2491" s="2"/>
      <c r="CB2491" s="2"/>
      <c r="CC2491" s="2" t="s">
        <v>161</v>
      </c>
      <c r="CD2491" s="2">
        <v>7441</v>
      </c>
      <c r="CE2491" s="2" t="s">
        <v>108</v>
      </c>
      <c r="CF2491" s="5">
        <v>42671</v>
      </c>
      <c r="CG2491" s="2"/>
      <c r="CH2491" s="2"/>
      <c r="CI2491" s="2">
        <v>1</v>
      </c>
      <c r="CJ2491" s="2">
        <v>1</v>
      </c>
      <c r="CK2491" s="2">
        <v>21</v>
      </c>
      <c r="CL2491" s="2" t="s">
        <v>88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"FES1162509435"</f>
        <v>FES1162509435</v>
      </c>
      <c r="F2492" s="3">
        <v>42669</v>
      </c>
      <c r="G2492" s="2">
        <v>201704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1567</v>
      </c>
      <c r="M2492" s="2" t="s">
        <v>1568</v>
      </c>
      <c r="N2492" s="2" t="s">
        <v>312</v>
      </c>
      <c r="O2492" s="2" t="s">
        <v>96</v>
      </c>
      <c r="P2492" s="2" t="str">
        <f>"2170532582                    "</f>
        <v xml:space="preserve">2170532582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6.43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1</v>
      </c>
      <c r="BJ2492" s="2">
        <v>0.2</v>
      </c>
      <c r="BK2492" s="2">
        <v>1</v>
      </c>
      <c r="BL2492" s="2">
        <v>78.97</v>
      </c>
      <c r="BM2492" s="2">
        <v>11.06</v>
      </c>
      <c r="BN2492" s="2">
        <v>90.03</v>
      </c>
      <c r="BO2492" s="2">
        <v>90.03</v>
      </c>
      <c r="BP2492" s="2"/>
      <c r="BQ2492" s="2" t="s">
        <v>117</v>
      </c>
      <c r="BR2492" s="2" t="s">
        <v>83</v>
      </c>
      <c r="BS2492" s="3">
        <v>42670</v>
      </c>
      <c r="BT2492" s="4">
        <v>0.4375</v>
      </c>
      <c r="BU2492" s="2" t="s">
        <v>433</v>
      </c>
      <c r="BV2492" s="2" t="s">
        <v>85</v>
      </c>
      <c r="BW2492" s="2"/>
      <c r="BX2492" s="2"/>
      <c r="BY2492" s="2">
        <v>1200</v>
      </c>
      <c r="BZ2492" s="2"/>
      <c r="CA2492" s="2"/>
      <c r="CB2492" s="2"/>
      <c r="CC2492" s="2" t="s">
        <v>1568</v>
      </c>
      <c r="CD2492" s="2">
        <v>4449</v>
      </c>
      <c r="CE2492" s="2" t="s">
        <v>108</v>
      </c>
      <c r="CF2492" s="5">
        <v>42675</v>
      </c>
      <c r="CG2492" s="2"/>
      <c r="CH2492" s="2"/>
      <c r="CI2492" s="2">
        <v>1</v>
      </c>
      <c r="CJ2492" s="2">
        <v>1</v>
      </c>
      <c r="CK2492" s="2">
        <v>23</v>
      </c>
      <c r="CL2492" s="2" t="s">
        <v>88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"FES1162509341"</f>
        <v>FES1162509341</v>
      </c>
      <c r="F2493" s="3">
        <v>42669</v>
      </c>
      <c r="G2493" s="2">
        <v>201704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160</v>
      </c>
      <c r="M2493" s="2" t="s">
        <v>161</v>
      </c>
      <c r="N2493" s="2" t="s">
        <v>176</v>
      </c>
      <c r="O2493" s="2" t="s">
        <v>96</v>
      </c>
      <c r="P2493" s="2" t="str">
        <f>"2170530330                    "</f>
        <v xml:space="preserve">2170530330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3.32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1</v>
      </c>
      <c r="BJ2493" s="2">
        <v>0.2</v>
      </c>
      <c r="BK2493" s="2">
        <v>1</v>
      </c>
      <c r="BL2493" s="2">
        <v>40.76</v>
      </c>
      <c r="BM2493" s="2">
        <v>5.71</v>
      </c>
      <c r="BN2493" s="2">
        <v>46.47</v>
      </c>
      <c r="BO2493" s="2">
        <v>46.47</v>
      </c>
      <c r="BP2493" s="2"/>
      <c r="BQ2493" s="2" t="s">
        <v>177</v>
      </c>
      <c r="BR2493" s="2" t="s">
        <v>83</v>
      </c>
      <c r="BS2493" s="3">
        <v>42670</v>
      </c>
      <c r="BT2493" s="4">
        <v>0.4069444444444445</v>
      </c>
      <c r="BU2493" s="2" t="s">
        <v>2381</v>
      </c>
      <c r="BV2493" s="2" t="s">
        <v>85</v>
      </c>
      <c r="BW2493" s="2"/>
      <c r="BX2493" s="2"/>
      <c r="BY2493" s="2">
        <v>1200</v>
      </c>
      <c r="BZ2493" s="2"/>
      <c r="CA2493" s="2"/>
      <c r="CB2493" s="2"/>
      <c r="CC2493" s="2" t="s">
        <v>161</v>
      </c>
      <c r="CD2493" s="2">
        <v>7530</v>
      </c>
      <c r="CE2493" s="2" t="s">
        <v>108</v>
      </c>
      <c r="CF2493" s="5">
        <v>42671</v>
      </c>
      <c r="CG2493" s="2"/>
      <c r="CH2493" s="2"/>
      <c r="CI2493" s="2">
        <v>1</v>
      </c>
      <c r="CJ2493" s="2">
        <v>1</v>
      </c>
      <c r="CK2493" s="2">
        <v>21</v>
      </c>
      <c r="CL2493" s="2" t="s">
        <v>88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"FES1162509348"</f>
        <v>FES1162509348</v>
      </c>
      <c r="F2494" s="3">
        <v>42669</v>
      </c>
      <c r="G2494" s="2">
        <v>201704</v>
      </c>
      <c r="H2494" s="2" t="s">
        <v>74</v>
      </c>
      <c r="I2494" s="2" t="s">
        <v>75</v>
      </c>
      <c r="J2494" s="2" t="s">
        <v>76</v>
      </c>
      <c r="K2494" s="2" t="s">
        <v>77</v>
      </c>
      <c r="L2494" s="2" t="s">
        <v>160</v>
      </c>
      <c r="M2494" s="2" t="s">
        <v>161</v>
      </c>
      <c r="N2494" s="2" t="s">
        <v>2382</v>
      </c>
      <c r="O2494" s="2" t="s">
        <v>96</v>
      </c>
      <c r="P2494" s="2" t="str">
        <f>"2170530385                    "</f>
        <v xml:space="preserve">2170530385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3.32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1</v>
      </c>
      <c r="BJ2494" s="2">
        <v>0.2</v>
      </c>
      <c r="BK2494" s="2">
        <v>1</v>
      </c>
      <c r="BL2494" s="2">
        <v>40.76</v>
      </c>
      <c r="BM2494" s="2">
        <v>5.71</v>
      </c>
      <c r="BN2494" s="2">
        <v>46.47</v>
      </c>
      <c r="BO2494" s="2">
        <v>46.47</v>
      </c>
      <c r="BP2494" s="2"/>
      <c r="BQ2494" s="2" t="s">
        <v>101</v>
      </c>
      <c r="BR2494" s="2" t="s">
        <v>83</v>
      </c>
      <c r="BS2494" s="3">
        <v>42670</v>
      </c>
      <c r="BT2494" s="4">
        <v>0.4291666666666667</v>
      </c>
      <c r="BU2494" s="2" t="s">
        <v>2383</v>
      </c>
      <c r="BV2494" s="2" t="s">
        <v>85</v>
      </c>
      <c r="BW2494" s="2"/>
      <c r="BX2494" s="2"/>
      <c r="BY2494" s="2">
        <v>1200</v>
      </c>
      <c r="BZ2494" s="2"/>
      <c r="CA2494" s="2"/>
      <c r="CB2494" s="2"/>
      <c r="CC2494" s="2" t="s">
        <v>161</v>
      </c>
      <c r="CD2494" s="2">
        <v>7580</v>
      </c>
      <c r="CE2494" s="2" t="s">
        <v>108</v>
      </c>
      <c r="CF2494" s="5">
        <v>42671</v>
      </c>
      <c r="CG2494" s="2"/>
      <c r="CH2494" s="2"/>
      <c r="CI2494" s="2">
        <v>1</v>
      </c>
      <c r="CJ2494" s="2">
        <v>1</v>
      </c>
      <c r="CK2494" s="2">
        <v>21</v>
      </c>
      <c r="CL2494" s="2" t="s">
        <v>88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"FES1162509350"</f>
        <v>FES1162509350</v>
      </c>
      <c r="F2495" s="3">
        <v>42669</v>
      </c>
      <c r="G2495" s="2">
        <v>201704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160</v>
      </c>
      <c r="M2495" s="2" t="s">
        <v>161</v>
      </c>
      <c r="N2495" s="2" t="s">
        <v>994</v>
      </c>
      <c r="O2495" s="2" t="s">
        <v>96</v>
      </c>
      <c r="P2495" s="2" t="str">
        <f>"2170530416                    "</f>
        <v xml:space="preserve">2170530416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3.32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40.76</v>
      </c>
      <c r="BM2495" s="2">
        <v>5.71</v>
      </c>
      <c r="BN2495" s="2">
        <v>46.47</v>
      </c>
      <c r="BO2495" s="2">
        <v>46.47</v>
      </c>
      <c r="BP2495" s="2"/>
      <c r="BQ2495" s="2" t="s">
        <v>1627</v>
      </c>
      <c r="BR2495" s="2" t="s">
        <v>83</v>
      </c>
      <c r="BS2495" s="3">
        <v>42670</v>
      </c>
      <c r="BT2495" s="4">
        <v>0.42499999999999999</v>
      </c>
      <c r="BU2495" s="2" t="s">
        <v>245</v>
      </c>
      <c r="BV2495" s="2" t="s">
        <v>85</v>
      </c>
      <c r="BW2495" s="2"/>
      <c r="BX2495" s="2"/>
      <c r="BY2495" s="2">
        <v>1200</v>
      </c>
      <c r="BZ2495" s="2"/>
      <c r="CA2495" s="2"/>
      <c r="CB2495" s="2"/>
      <c r="CC2495" s="2" t="s">
        <v>161</v>
      </c>
      <c r="CD2495" s="2">
        <v>7580</v>
      </c>
      <c r="CE2495" s="2" t="s">
        <v>108</v>
      </c>
      <c r="CF2495" s="5">
        <v>42671</v>
      </c>
      <c r="CG2495" s="2"/>
      <c r="CH2495" s="2"/>
      <c r="CI2495" s="2">
        <v>1</v>
      </c>
      <c r="CJ2495" s="2">
        <v>1</v>
      </c>
      <c r="CK2495" s="2">
        <v>21</v>
      </c>
      <c r="CL2495" s="2" t="s">
        <v>88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"FES1162509502"</f>
        <v>FES1162509502</v>
      </c>
      <c r="F2496" s="3">
        <v>42669</v>
      </c>
      <c r="G2496" s="2">
        <v>201704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93</v>
      </c>
      <c r="M2496" s="2" t="s">
        <v>94</v>
      </c>
      <c r="N2496" s="2" t="s">
        <v>536</v>
      </c>
      <c r="O2496" s="2" t="s">
        <v>96</v>
      </c>
      <c r="P2496" s="2" t="str">
        <f>"2170532961                    "</f>
        <v xml:space="preserve">2170532961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3.32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1</v>
      </c>
      <c r="BJ2496" s="2">
        <v>0.2</v>
      </c>
      <c r="BK2496" s="2">
        <v>1</v>
      </c>
      <c r="BL2496" s="2">
        <v>40.76</v>
      </c>
      <c r="BM2496" s="2">
        <v>5.71</v>
      </c>
      <c r="BN2496" s="2">
        <v>46.47</v>
      </c>
      <c r="BO2496" s="2">
        <v>46.47</v>
      </c>
      <c r="BP2496" s="2"/>
      <c r="BQ2496" s="2" t="s">
        <v>537</v>
      </c>
      <c r="BR2496" s="2" t="s">
        <v>83</v>
      </c>
      <c r="BS2496" s="3">
        <v>42670</v>
      </c>
      <c r="BT2496" s="4">
        <v>0.4375</v>
      </c>
      <c r="BU2496" s="2" t="s">
        <v>852</v>
      </c>
      <c r="BV2496" s="2" t="s">
        <v>85</v>
      </c>
      <c r="BW2496" s="2"/>
      <c r="BX2496" s="2"/>
      <c r="BY2496" s="2">
        <v>1200</v>
      </c>
      <c r="BZ2496" s="2"/>
      <c r="CA2496" s="2"/>
      <c r="CB2496" s="2"/>
      <c r="CC2496" s="2" t="s">
        <v>94</v>
      </c>
      <c r="CD2496" s="2">
        <v>4300</v>
      </c>
      <c r="CE2496" s="2" t="s">
        <v>108</v>
      </c>
      <c r="CF2496" s="5">
        <v>42671</v>
      </c>
      <c r="CG2496" s="2"/>
      <c r="CH2496" s="2"/>
      <c r="CI2496" s="2">
        <v>1</v>
      </c>
      <c r="CJ2496" s="2">
        <v>1</v>
      </c>
      <c r="CK2496" s="2">
        <v>21</v>
      </c>
      <c r="CL2496" s="2" t="s">
        <v>88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"FES1162509508"</f>
        <v>FES1162509508</v>
      </c>
      <c r="F2497" s="3">
        <v>42669</v>
      </c>
      <c r="G2497" s="2">
        <v>201704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98</v>
      </c>
      <c r="M2497" s="2" t="s">
        <v>99</v>
      </c>
      <c r="N2497" s="2" t="s">
        <v>894</v>
      </c>
      <c r="O2497" s="2" t="s">
        <v>96</v>
      </c>
      <c r="P2497" s="2" t="str">
        <f>"2170532640                    "</f>
        <v xml:space="preserve">2170532640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3.32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1</v>
      </c>
      <c r="BJ2497" s="2">
        <v>0.2</v>
      </c>
      <c r="BK2497" s="2">
        <v>1</v>
      </c>
      <c r="BL2497" s="2">
        <v>40.76</v>
      </c>
      <c r="BM2497" s="2">
        <v>5.71</v>
      </c>
      <c r="BN2497" s="2">
        <v>46.47</v>
      </c>
      <c r="BO2497" s="2">
        <v>46.47</v>
      </c>
      <c r="BP2497" s="2"/>
      <c r="BQ2497" s="2" t="s">
        <v>895</v>
      </c>
      <c r="BR2497" s="2" t="s">
        <v>83</v>
      </c>
      <c r="BS2497" s="3">
        <v>42670</v>
      </c>
      <c r="BT2497" s="4">
        <v>0.30972222222222223</v>
      </c>
      <c r="BU2497" s="2" t="s">
        <v>2198</v>
      </c>
      <c r="BV2497" s="2" t="s">
        <v>85</v>
      </c>
      <c r="BW2497" s="2"/>
      <c r="BX2497" s="2"/>
      <c r="BY2497" s="2">
        <v>1200</v>
      </c>
      <c r="BZ2497" s="2"/>
      <c r="CA2497" s="2"/>
      <c r="CB2497" s="2"/>
      <c r="CC2497" s="2" t="s">
        <v>99</v>
      </c>
      <c r="CD2497" s="2">
        <v>6012</v>
      </c>
      <c r="CE2497" s="2" t="s">
        <v>108</v>
      </c>
      <c r="CF2497" s="5">
        <v>42671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88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"FES1162509364"</f>
        <v>FES1162509364</v>
      </c>
      <c r="F2498" s="3">
        <v>42669</v>
      </c>
      <c r="G2498" s="2">
        <v>201704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260</v>
      </c>
      <c r="M2498" s="2" t="s">
        <v>261</v>
      </c>
      <c r="N2498" s="2" t="s">
        <v>347</v>
      </c>
      <c r="O2498" s="2" t="s">
        <v>96</v>
      </c>
      <c r="P2498" s="2" t="str">
        <f>"2170531213                    "</f>
        <v xml:space="preserve">2170531213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3.32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1</v>
      </c>
      <c r="BJ2498" s="2">
        <v>0.2</v>
      </c>
      <c r="BK2498" s="2">
        <v>1</v>
      </c>
      <c r="BL2498" s="2">
        <v>40.76</v>
      </c>
      <c r="BM2498" s="2">
        <v>5.71</v>
      </c>
      <c r="BN2498" s="2">
        <v>46.47</v>
      </c>
      <c r="BO2498" s="2">
        <v>46.47</v>
      </c>
      <c r="BP2498" s="2"/>
      <c r="BQ2498" s="2"/>
      <c r="BR2498" s="2" t="s">
        <v>83</v>
      </c>
      <c r="BS2498" s="3">
        <v>42670</v>
      </c>
      <c r="BT2498" s="4">
        <v>0.41666666666666669</v>
      </c>
      <c r="BU2498" s="2" t="s">
        <v>450</v>
      </c>
      <c r="BV2498" s="2" t="s">
        <v>85</v>
      </c>
      <c r="BW2498" s="2"/>
      <c r="BX2498" s="2"/>
      <c r="BY2498" s="2">
        <v>1200</v>
      </c>
      <c r="BZ2498" s="2"/>
      <c r="CA2498" s="2"/>
      <c r="CB2498" s="2"/>
      <c r="CC2498" s="2" t="s">
        <v>261</v>
      </c>
      <c r="CD2498" s="2">
        <v>6850</v>
      </c>
      <c r="CE2498" s="2" t="s">
        <v>108</v>
      </c>
      <c r="CF2498" s="5">
        <v>42671</v>
      </c>
      <c r="CG2498" s="2"/>
      <c r="CH2498" s="2"/>
      <c r="CI2498" s="2">
        <v>3</v>
      </c>
      <c r="CJ2498" s="2">
        <v>1</v>
      </c>
      <c r="CK2498" s="2">
        <v>21</v>
      </c>
      <c r="CL2498" s="2" t="s">
        <v>88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"FES1162509321"</f>
        <v>FES1162509321</v>
      </c>
      <c r="F2499" s="3">
        <v>42669</v>
      </c>
      <c r="G2499" s="2">
        <v>201704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153</v>
      </c>
      <c r="M2499" s="2" t="s">
        <v>153</v>
      </c>
      <c r="N2499" s="2" t="s">
        <v>353</v>
      </c>
      <c r="O2499" s="2" t="s">
        <v>96</v>
      </c>
      <c r="P2499" s="2" t="str">
        <f>"2170532546                    "</f>
        <v xml:space="preserve">2170532546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3.32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1</v>
      </c>
      <c r="BJ2499" s="2">
        <v>0.2</v>
      </c>
      <c r="BK2499" s="2">
        <v>1</v>
      </c>
      <c r="BL2499" s="2">
        <v>40.76</v>
      </c>
      <c r="BM2499" s="2">
        <v>5.71</v>
      </c>
      <c r="BN2499" s="2">
        <v>46.47</v>
      </c>
      <c r="BO2499" s="2">
        <v>46.47</v>
      </c>
      <c r="BP2499" s="2"/>
      <c r="BQ2499" s="2" t="s">
        <v>354</v>
      </c>
      <c r="BR2499" s="2" t="s">
        <v>83</v>
      </c>
      <c r="BS2499" s="3">
        <v>42670</v>
      </c>
      <c r="BT2499" s="4">
        <v>0.52430555555555558</v>
      </c>
      <c r="BU2499" s="2" t="s">
        <v>434</v>
      </c>
      <c r="BV2499" s="2" t="s">
        <v>85</v>
      </c>
      <c r="BW2499" s="2"/>
      <c r="BX2499" s="2"/>
      <c r="BY2499" s="2">
        <v>1200</v>
      </c>
      <c r="BZ2499" s="2"/>
      <c r="CA2499" s="2"/>
      <c r="CB2499" s="2"/>
      <c r="CC2499" s="2" t="s">
        <v>153</v>
      </c>
      <c r="CD2499" s="2">
        <v>7646</v>
      </c>
      <c r="CE2499" s="2" t="s">
        <v>108</v>
      </c>
      <c r="CF2499" s="5">
        <v>42671</v>
      </c>
      <c r="CG2499" s="2"/>
      <c r="CH2499" s="2"/>
      <c r="CI2499" s="2">
        <v>1</v>
      </c>
      <c r="CJ2499" s="2">
        <v>1</v>
      </c>
      <c r="CK2499" s="2">
        <v>21</v>
      </c>
      <c r="CL2499" s="2" t="s">
        <v>88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"FES1162509455"</f>
        <v>FES1162509455</v>
      </c>
      <c r="F2500" s="3">
        <v>42669</v>
      </c>
      <c r="G2500" s="2">
        <v>201704</v>
      </c>
      <c r="H2500" s="2" t="s">
        <v>74</v>
      </c>
      <c r="I2500" s="2" t="s">
        <v>75</v>
      </c>
      <c r="J2500" s="2" t="s">
        <v>76</v>
      </c>
      <c r="K2500" s="2" t="s">
        <v>77</v>
      </c>
      <c r="L2500" s="2" t="s">
        <v>160</v>
      </c>
      <c r="M2500" s="2" t="s">
        <v>161</v>
      </c>
      <c r="N2500" s="2" t="s">
        <v>643</v>
      </c>
      <c r="O2500" s="2" t="s">
        <v>96</v>
      </c>
      <c r="P2500" s="2" t="str">
        <f>"2170532631                    "</f>
        <v xml:space="preserve">2170532631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3.32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1</v>
      </c>
      <c r="BJ2500" s="2">
        <v>0.2</v>
      </c>
      <c r="BK2500" s="2">
        <v>1</v>
      </c>
      <c r="BL2500" s="2">
        <v>40.76</v>
      </c>
      <c r="BM2500" s="2">
        <v>5.71</v>
      </c>
      <c r="BN2500" s="2">
        <v>46.47</v>
      </c>
      <c r="BO2500" s="2">
        <v>46.47</v>
      </c>
      <c r="BP2500" s="2"/>
      <c r="BQ2500" s="2" t="s">
        <v>644</v>
      </c>
      <c r="BR2500" s="2" t="s">
        <v>83</v>
      </c>
      <c r="BS2500" s="3">
        <v>42670</v>
      </c>
      <c r="BT2500" s="4">
        <v>0.41666666666666669</v>
      </c>
      <c r="BU2500" s="2" t="s">
        <v>1700</v>
      </c>
      <c r="BV2500" s="2" t="s">
        <v>85</v>
      </c>
      <c r="BW2500" s="2"/>
      <c r="BX2500" s="2"/>
      <c r="BY2500" s="2">
        <v>1200</v>
      </c>
      <c r="BZ2500" s="2"/>
      <c r="CA2500" s="2"/>
      <c r="CB2500" s="2"/>
      <c r="CC2500" s="2" t="s">
        <v>161</v>
      </c>
      <c r="CD2500" s="2">
        <v>7925</v>
      </c>
      <c r="CE2500" s="2" t="s">
        <v>108</v>
      </c>
      <c r="CF2500" s="5">
        <v>42671</v>
      </c>
      <c r="CG2500" s="2"/>
      <c r="CH2500" s="2"/>
      <c r="CI2500" s="2">
        <v>1</v>
      </c>
      <c r="CJ2500" s="2">
        <v>1</v>
      </c>
      <c r="CK2500" s="2">
        <v>21</v>
      </c>
      <c r="CL2500" s="2" t="s">
        <v>88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"FES1162509356"</f>
        <v>FES1162509356</v>
      </c>
      <c r="F2501" s="3">
        <v>42669</v>
      </c>
      <c r="G2501" s="2">
        <v>201704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160</v>
      </c>
      <c r="M2501" s="2" t="s">
        <v>161</v>
      </c>
      <c r="N2501" s="2" t="s">
        <v>1766</v>
      </c>
      <c r="O2501" s="2" t="s">
        <v>96</v>
      </c>
      <c r="P2501" s="2" t="str">
        <f>"2170530472                    "</f>
        <v xml:space="preserve">2170530472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3.32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1.4</v>
      </c>
      <c r="BJ2501" s="2">
        <v>0.2</v>
      </c>
      <c r="BK2501" s="2">
        <v>1.5</v>
      </c>
      <c r="BL2501" s="2">
        <v>40.76</v>
      </c>
      <c r="BM2501" s="2">
        <v>5.71</v>
      </c>
      <c r="BN2501" s="2">
        <v>46.47</v>
      </c>
      <c r="BO2501" s="2">
        <v>46.47</v>
      </c>
      <c r="BP2501" s="2"/>
      <c r="BQ2501" s="2" t="s">
        <v>91</v>
      </c>
      <c r="BR2501" s="2" t="s">
        <v>83</v>
      </c>
      <c r="BS2501" s="3">
        <v>42670</v>
      </c>
      <c r="BT2501" s="4">
        <v>0.41666666666666669</v>
      </c>
      <c r="BU2501" s="2" t="s">
        <v>2384</v>
      </c>
      <c r="BV2501" s="2" t="s">
        <v>85</v>
      </c>
      <c r="BW2501" s="2"/>
      <c r="BX2501" s="2"/>
      <c r="BY2501" s="2">
        <v>1200</v>
      </c>
      <c r="BZ2501" s="2"/>
      <c r="CA2501" s="2"/>
      <c r="CB2501" s="2"/>
      <c r="CC2501" s="2" t="s">
        <v>161</v>
      </c>
      <c r="CD2501" s="2">
        <v>7460</v>
      </c>
      <c r="CE2501" s="2" t="s">
        <v>108</v>
      </c>
      <c r="CF2501" s="5">
        <v>42671</v>
      </c>
      <c r="CG2501" s="2"/>
      <c r="CH2501" s="2"/>
      <c r="CI2501" s="2">
        <v>1</v>
      </c>
      <c r="CJ2501" s="2">
        <v>1</v>
      </c>
      <c r="CK2501" s="2">
        <v>21</v>
      </c>
      <c r="CL2501" s="2" t="s">
        <v>88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"FES1162509408"</f>
        <v>FES1162509408</v>
      </c>
      <c r="F2502" s="3">
        <v>42669</v>
      </c>
      <c r="G2502" s="2">
        <v>201704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160</v>
      </c>
      <c r="M2502" s="2" t="s">
        <v>161</v>
      </c>
      <c r="N2502" s="2" t="s">
        <v>750</v>
      </c>
      <c r="O2502" s="2" t="s">
        <v>96</v>
      </c>
      <c r="P2502" s="2" t="str">
        <f>"2170532594                    "</f>
        <v xml:space="preserve">2170532594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3.32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1</v>
      </c>
      <c r="BJ2502" s="2">
        <v>0.2</v>
      </c>
      <c r="BK2502" s="2">
        <v>1</v>
      </c>
      <c r="BL2502" s="2">
        <v>40.76</v>
      </c>
      <c r="BM2502" s="2">
        <v>5.71</v>
      </c>
      <c r="BN2502" s="2">
        <v>46.47</v>
      </c>
      <c r="BO2502" s="2">
        <v>46.47</v>
      </c>
      <c r="BP2502" s="2"/>
      <c r="BQ2502" s="2" t="s">
        <v>91</v>
      </c>
      <c r="BR2502" s="2" t="s">
        <v>83</v>
      </c>
      <c r="BS2502" s="3">
        <v>42670</v>
      </c>
      <c r="BT2502" s="4">
        <v>0.41666666666666669</v>
      </c>
      <c r="BU2502" s="2" t="s">
        <v>2193</v>
      </c>
      <c r="BV2502" s="2" t="s">
        <v>85</v>
      </c>
      <c r="BW2502" s="2"/>
      <c r="BX2502" s="2"/>
      <c r="BY2502" s="2">
        <v>1200</v>
      </c>
      <c r="BZ2502" s="2"/>
      <c r="CA2502" s="2"/>
      <c r="CB2502" s="2"/>
      <c r="CC2502" s="2" t="s">
        <v>161</v>
      </c>
      <c r="CD2502" s="2">
        <v>7405</v>
      </c>
      <c r="CE2502" s="2" t="s">
        <v>108</v>
      </c>
      <c r="CF2502" s="5">
        <v>42671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88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"FES1162509510"</f>
        <v>FES1162509510</v>
      </c>
      <c r="F2503" s="3">
        <v>42669</v>
      </c>
      <c r="G2503" s="2">
        <v>201704</v>
      </c>
      <c r="H2503" s="2" t="s">
        <v>74</v>
      </c>
      <c r="I2503" s="2" t="s">
        <v>75</v>
      </c>
      <c r="J2503" s="2" t="s">
        <v>76</v>
      </c>
      <c r="K2503" s="2" t="s">
        <v>77</v>
      </c>
      <c r="L2503" s="2" t="s">
        <v>1380</v>
      </c>
      <c r="M2503" s="2" t="s">
        <v>1381</v>
      </c>
      <c r="N2503" s="2" t="s">
        <v>2385</v>
      </c>
      <c r="O2503" s="2" t="s">
        <v>96</v>
      </c>
      <c r="P2503" s="2" t="str">
        <f>"2170532685                    "</f>
        <v xml:space="preserve">2170532685  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20.94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7</v>
      </c>
      <c r="BJ2503" s="2">
        <v>4.0999999999999996</v>
      </c>
      <c r="BK2503" s="2">
        <v>7</v>
      </c>
      <c r="BL2503" s="2">
        <v>257.27999999999997</v>
      </c>
      <c r="BM2503" s="2">
        <v>36.020000000000003</v>
      </c>
      <c r="BN2503" s="2">
        <v>293.3</v>
      </c>
      <c r="BO2503" s="2">
        <v>293.3</v>
      </c>
      <c r="BP2503" s="2"/>
      <c r="BQ2503" s="2" t="s">
        <v>82</v>
      </c>
      <c r="BR2503" s="2" t="s">
        <v>83</v>
      </c>
      <c r="BS2503" s="3">
        <v>42670</v>
      </c>
      <c r="BT2503" s="4">
        <v>0.4375</v>
      </c>
      <c r="BU2503" s="2" t="s">
        <v>247</v>
      </c>
      <c r="BV2503" s="2" t="s">
        <v>85</v>
      </c>
      <c r="BW2503" s="2"/>
      <c r="BX2503" s="2"/>
      <c r="BY2503" s="2">
        <v>20358</v>
      </c>
      <c r="BZ2503" s="2"/>
      <c r="CA2503" s="2"/>
      <c r="CB2503" s="2"/>
      <c r="CC2503" s="2" t="s">
        <v>1381</v>
      </c>
      <c r="CD2503" s="2">
        <v>4339</v>
      </c>
      <c r="CE2503" s="2" t="s">
        <v>86</v>
      </c>
      <c r="CF2503" s="5">
        <v>42671</v>
      </c>
      <c r="CG2503" s="2"/>
      <c r="CH2503" s="2"/>
      <c r="CI2503" s="2">
        <v>1</v>
      </c>
      <c r="CJ2503" s="2">
        <v>1</v>
      </c>
      <c r="CK2503" s="2">
        <v>23</v>
      </c>
      <c r="CL2503" s="2" t="s">
        <v>88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"FES1162509514"</f>
        <v>FES1162509514</v>
      </c>
      <c r="F2504" s="3">
        <v>42669</v>
      </c>
      <c r="G2504" s="2">
        <v>201704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148</v>
      </c>
      <c r="M2504" s="2" t="s">
        <v>149</v>
      </c>
      <c r="N2504" s="2" t="s">
        <v>473</v>
      </c>
      <c r="O2504" s="2" t="s">
        <v>96</v>
      </c>
      <c r="P2504" s="2" t="str">
        <f>"2170532697                    "</f>
        <v xml:space="preserve">2170532697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3.32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1</v>
      </c>
      <c r="BJ2504" s="2">
        <v>0.2</v>
      </c>
      <c r="BK2504" s="2">
        <v>1</v>
      </c>
      <c r="BL2504" s="2">
        <v>40.76</v>
      </c>
      <c r="BM2504" s="2">
        <v>5.71</v>
      </c>
      <c r="BN2504" s="2">
        <v>46.47</v>
      </c>
      <c r="BO2504" s="2">
        <v>46.47</v>
      </c>
      <c r="BP2504" s="2"/>
      <c r="BQ2504" s="2" t="s">
        <v>117</v>
      </c>
      <c r="BR2504" s="2" t="s">
        <v>83</v>
      </c>
      <c r="BS2504" s="3">
        <v>42670</v>
      </c>
      <c r="BT2504" s="4">
        <v>0.39583333333333331</v>
      </c>
      <c r="BU2504" s="2" t="s">
        <v>2386</v>
      </c>
      <c r="BV2504" s="2" t="s">
        <v>85</v>
      </c>
      <c r="BW2504" s="2"/>
      <c r="BX2504" s="2"/>
      <c r="BY2504" s="2">
        <v>1200</v>
      </c>
      <c r="BZ2504" s="2"/>
      <c r="CA2504" s="2"/>
      <c r="CB2504" s="2"/>
      <c r="CC2504" s="2" t="s">
        <v>149</v>
      </c>
      <c r="CD2504" s="2">
        <v>4052</v>
      </c>
      <c r="CE2504" s="2" t="s">
        <v>108</v>
      </c>
      <c r="CF2504" s="5">
        <v>42671</v>
      </c>
      <c r="CG2504" s="2"/>
      <c r="CH2504" s="2"/>
      <c r="CI2504" s="2">
        <v>1</v>
      </c>
      <c r="CJ2504" s="2">
        <v>1</v>
      </c>
      <c r="CK2504" s="2">
        <v>21</v>
      </c>
      <c r="CL2504" s="2" t="s">
        <v>88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"FES1162509525"</f>
        <v>FES1162509525</v>
      </c>
      <c r="F2505" s="3">
        <v>42669</v>
      </c>
      <c r="G2505" s="2">
        <v>201704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269</v>
      </c>
      <c r="M2505" s="2" t="s">
        <v>270</v>
      </c>
      <c r="N2505" s="2" t="s">
        <v>299</v>
      </c>
      <c r="O2505" s="2" t="s">
        <v>96</v>
      </c>
      <c r="P2505" s="2" t="str">
        <f>"2170532710                    "</f>
        <v xml:space="preserve">2170532710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3.32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1</v>
      </c>
      <c r="BJ2505" s="2">
        <v>0.2</v>
      </c>
      <c r="BK2505" s="2">
        <v>1</v>
      </c>
      <c r="BL2505" s="2">
        <v>40.76</v>
      </c>
      <c r="BM2505" s="2">
        <v>5.71</v>
      </c>
      <c r="BN2505" s="2">
        <v>46.47</v>
      </c>
      <c r="BO2505" s="2">
        <v>46.47</v>
      </c>
      <c r="BP2505" s="2"/>
      <c r="BQ2505" s="2" t="s">
        <v>300</v>
      </c>
      <c r="BR2505" s="2" t="s">
        <v>83</v>
      </c>
      <c r="BS2505" s="3">
        <v>42670</v>
      </c>
      <c r="BT2505" s="4">
        <v>0.39583333333333331</v>
      </c>
      <c r="BU2505" s="2" t="s">
        <v>2387</v>
      </c>
      <c r="BV2505" s="2" t="s">
        <v>85</v>
      </c>
      <c r="BW2505" s="2"/>
      <c r="BX2505" s="2"/>
      <c r="BY2505" s="2">
        <v>1200</v>
      </c>
      <c r="BZ2505" s="2"/>
      <c r="CA2505" s="2"/>
      <c r="CB2505" s="2"/>
      <c r="CC2505" s="2" t="s">
        <v>270</v>
      </c>
      <c r="CD2505" s="2">
        <v>3610</v>
      </c>
      <c r="CE2505" s="2" t="s">
        <v>108</v>
      </c>
      <c r="CF2505" s="5">
        <v>42671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88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"FES1162509444"</f>
        <v>FES1162509444</v>
      </c>
      <c r="F2506" s="3">
        <v>42669</v>
      </c>
      <c r="G2506" s="2">
        <v>201704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160</v>
      </c>
      <c r="M2506" s="2" t="s">
        <v>161</v>
      </c>
      <c r="N2506" s="2" t="s">
        <v>279</v>
      </c>
      <c r="O2506" s="2" t="s">
        <v>96</v>
      </c>
      <c r="P2506" s="2" t="str">
        <f>"2170532621                    "</f>
        <v xml:space="preserve">2170532621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3.32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1</v>
      </c>
      <c r="BJ2506" s="2">
        <v>0.2</v>
      </c>
      <c r="BK2506" s="2">
        <v>1</v>
      </c>
      <c r="BL2506" s="2">
        <v>40.76</v>
      </c>
      <c r="BM2506" s="2">
        <v>5.71</v>
      </c>
      <c r="BN2506" s="2">
        <v>46.47</v>
      </c>
      <c r="BO2506" s="2">
        <v>46.47</v>
      </c>
      <c r="BP2506" s="2"/>
      <c r="BQ2506" s="2" t="s">
        <v>280</v>
      </c>
      <c r="BR2506" s="2" t="s">
        <v>83</v>
      </c>
      <c r="BS2506" s="3">
        <v>42670</v>
      </c>
      <c r="BT2506" s="4">
        <v>0.41666666666666669</v>
      </c>
      <c r="BU2506" s="2" t="s">
        <v>281</v>
      </c>
      <c r="BV2506" s="2" t="s">
        <v>85</v>
      </c>
      <c r="BW2506" s="2"/>
      <c r="BX2506" s="2"/>
      <c r="BY2506" s="2">
        <v>1200</v>
      </c>
      <c r="BZ2506" s="2"/>
      <c r="CA2506" s="2"/>
      <c r="CB2506" s="2"/>
      <c r="CC2506" s="2" t="s">
        <v>161</v>
      </c>
      <c r="CD2506" s="2">
        <v>7441</v>
      </c>
      <c r="CE2506" s="2" t="s">
        <v>108</v>
      </c>
      <c r="CF2506" s="5">
        <v>42671</v>
      </c>
      <c r="CG2506" s="2"/>
      <c r="CH2506" s="2"/>
      <c r="CI2506" s="2">
        <v>1</v>
      </c>
      <c r="CJ2506" s="2">
        <v>1</v>
      </c>
      <c r="CK2506" s="2">
        <v>21</v>
      </c>
      <c r="CL2506" s="2" t="s">
        <v>88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"FES1162509355"</f>
        <v>FES1162509355</v>
      </c>
      <c r="F2507" s="3">
        <v>42669</v>
      </c>
      <c r="G2507" s="2">
        <v>201704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160</v>
      </c>
      <c r="M2507" s="2" t="s">
        <v>161</v>
      </c>
      <c r="N2507" s="2" t="s">
        <v>176</v>
      </c>
      <c r="O2507" s="2" t="s">
        <v>96</v>
      </c>
      <c r="P2507" s="2" t="str">
        <f>"2170530447                    "</f>
        <v xml:space="preserve">2170530447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3.32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40.76</v>
      </c>
      <c r="BM2507" s="2">
        <v>5.71</v>
      </c>
      <c r="BN2507" s="2">
        <v>46.47</v>
      </c>
      <c r="BO2507" s="2">
        <v>46.47</v>
      </c>
      <c r="BP2507" s="2"/>
      <c r="BQ2507" s="2" t="s">
        <v>177</v>
      </c>
      <c r="BR2507" s="2" t="s">
        <v>83</v>
      </c>
      <c r="BS2507" s="3">
        <v>42670</v>
      </c>
      <c r="BT2507" s="4">
        <v>0.4069444444444445</v>
      </c>
      <c r="BU2507" s="2" t="s">
        <v>2388</v>
      </c>
      <c r="BV2507" s="2" t="s">
        <v>85</v>
      </c>
      <c r="BW2507" s="2"/>
      <c r="BX2507" s="2"/>
      <c r="BY2507" s="2">
        <v>1200</v>
      </c>
      <c r="BZ2507" s="2"/>
      <c r="CA2507" s="2"/>
      <c r="CB2507" s="2"/>
      <c r="CC2507" s="2" t="s">
        <v>161</v>
      </c>
      <c r="CD2507" s="2">
        <v>7530</v>
      </c>
      <c r="CE2507" s="2" t="s">
        <v>108</v>
      </c>
      <c r="CF2507" s="5">
        <v>42671</v>
      </c>
      <c r="CG2507" s="2"/>
      <c r="CH2507" s="2"/>
      <c r="CI2507" s="2">
        <v>1</v>
      </c>
      <c r="CJ2507" s="2">
        <v>1</v>
      </c>
      <c r="CK2507" s="2">
        <v>21</v>
      </c>
      <c r="CL2507" s="2" t="s">
        <v>88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"FES1162509354"</f>
        <v>FES1162509354</v>
      </c>
      <c r="F2508" s="3">
        <v>42669</v>
      </c>
      <c r="G2508" s="2">
        <v>201704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160</v>
      </c>
      <c r="M2508" s="2" t="s">
        <v>161</v>
      </c>
      <c r="N2508" s="2" t="s">
        <v>176</v>
      </c>
      <c r="O2508" s="2" t="s">
        <v>96</v>
      </c>
      <c r="P2508" s="2" t="str">
        <f>"2170530445                    "</f>
        <v xml:space="preserve">2170530445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3.32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40.76</v>
      </c>
      <c r="BM2508" s="2">
        <v>5.71</v>
      </c>
      <c r="BN2508" s="2">
        <v>46.47</v>
      </c>
      <c r="BO2508" s="2">
        <v>46.47</v>
      </c>
      <c r="BP2508" s="2"/>
      <c r="BQ2508" s="2" t="s">
        <v>177</v>
      </c>
      <c r="BR2508" s="2" t="s">
        <v>83</v>
      </c>
      <c r="BS2508" s="3">
        <v>42670</v>
      </c>
      <c r="BT2508" s="4">
        <v>0.4069444444444445</v>
      </c>
      <c r="BU2508" s="2" t="s">
        <v>1659</v>
      </c>
      <c r="BV2508" s="2" t="s">
        <v>85</v>
      </c>
      <c r="BW2508" s="2"/>
      <c r="BX2508" s="2"/>
      <c r="BY2508" s="2">
        <v>1200</v>
      </c>
      <c r="BZ2508" s="2"/>
      <c r="CA2508" s="2"/>
      <c r="CB2508" s="2"/>
      <c r="CC2508" s="2" t="s">
        <v>161</v>
      </c>
      <c r="CD2508" s="2">
        <v>7530</v>
      </c>
      <c r="CE2508" s="2" t="s">
        <v>108</v>
      </c>
      <c r="CF2508" s="5">
        <v>42671</v>
      </c>
      <c r="CG2508" s="2"/>
      <c r="CH2508" s="2"/>
      <c r="CI2508" s="2">
        <v>1</v>
      </c>
      <c r="CJ2508" s="2">
        <v>1</v>
      </c>
      <c r="CK2508" s="2">
        <v>21</v>
      </c>
      <c r="CL2508" s="2" t="s">
        <v>88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"FES1162509419"</f>
        <v>FES1162509419</v>
      </c>
      <c r="F2509" s="3">
        <v>42669</v>
      </c>
      <c r="G2509" s="2">
        <v>201704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160</v>
      </c>
      <c r="M2509" s="2" t="s">
        <v>161</v>
      </c>
      <c r="N2509" s="2" t="s">
        <v>409</v>
      </c>
      <c r="O2509" s="2" t="s">
        <v>96</v>
      </c>
      <c r="P2509" s="2" t="str">
        <f>"2170531466                    "</f>
        <v xml:space="preserve">2170531466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3.32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1</v>
      </c>
      <c r="BJ2509" s="2">
        <v>0.2</v>
      </c>
      <c r="BK2509" s="2">
        <v>1</v>
      </c>
      <c r="BL2509" s="2">
        <v>40.76</v>
      </c>
      <c r="BM2509" s="2">
        <v>5.71</v>
      </c>
      <c r="BN2509" s="2">
        <v>46.47</v>
      </c>
      <c r="BO2509" s="2">
        <v>46.47</v>
      </c>
      <c r="BP2509" s="2"/>
      <c r="BQ2509" s="2" t="s">
        <v>410</v>
      </c>
      <c r="BR2509" s="2" t="s">
        <v>83</v>
      </c>
      <c r="BS2509" s="3">
        <v>42670</v>
      </c>
      <c r="BT2509" s="4">
        <v>0.38541666666666669</v>
      </c>
      <c r="BU2509" s="2" t="s">
        <v>410</v>
      </c>
      <c r="BV2509" s="2" t="s">
        <v>85</v>
      </c>
      <c r="BW2509" s="2"/>
      <c r="BX2509" s="2"/>
      <c r="BY2509" s="2">
        <v>1200</v>
      </c>
      <c r="BZ2509" s="2"/>
      <c r="CA2509" s="2"/>
      <c r="CB2509" s="2"/>
      <c r="CC2509" s="2" t="s">
        <v>161</v>
      </c>
      <c r="CD2509" s="2">
        <v>7975</v>
      </c>
      <c r="CE2509" s="2" t="s">
        <v>108</v>
      </c>
      <c r="CF2509" s="5">
        <v>42671</v>
      </c>
      <c r="CG2509" s="2"/>
      <c r="CH2509" s="2"/>
      <c r="CI2509" s="2">
        <v>1</v>
      </c>
      <c r="CJ2509" s="2">
        <v>1</v>
      </c>
      <c r="CK2509" s="2">
        <v>21</v>
      </c>
      <c r="CL2509" s="2" t="s">
        <v>88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"FES1162509429"</f>
        <v>FES1162509429</v>
      </c>
      <c r="F2510" s="3">
        <v>42669</v>
      </c>
      <c r="G2510" s="2">
        <v>201704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160</v>
      </c>
      <c r="M2510" s="2" t="s">
        <v>161</v>
      </c>
      <c r="N2510" s="2" t="s">
        <v>748</v>
      </c>
      <c r="O2510" s="2" t="s">
        <v>96</v>
      </c>
      <c r="P2510" s="2" t="str">
        <f>"2170532603                    "</f>
        <v xml:space="preserve">2170532603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3.32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</v>
      </c>
      <c r="BJ2510" s="2">
        <v>0.2</v>
      </c>
      <c r="BK2510" s="2">
        <v>1</v>
      </c>
      <c r="BL2510" s="2">
        <v>40.76</v>
      </c>
      <c r="BM2510" s="2">
        <v>5.71</v>
      </c>
      <c r="BN2510" s="2">
        <v>46.47</v>
      </c>
      <c r="BO2510" s="2">
        <v>46.47</v>
      </c>
      <c r="BP2510" s="2"/>
      <c r="BQ2510" s="2" t="s">
        <v>117</v>
      </c>
      <c r="BR2510" s="2" t="s">
        <v>83</v>
      </c>
      <c r="BS2510" s="3">
        <v>42670</v>
      </c>
      <c r="BT2510" s="4">
        <v>0.35625000000000001</v>
      </c>
      <c r="BU2510" s="2" t="s">
        <v>2389</v>
      </c>
      <c r="BV2510" s="2" t="s">
        <v>85</v>
      </c>
      <c r="BW2510" s="2"/>
      <c r="BX2510" s="2"/>
      <c r="BY2510" s="2">
        <v>1200</v>
      </c>
      <c r="BZ2510" s="2"/>
      <c r="CA2510" s="2"/>
      <c r="CB2510" s="2"/>
      <c r="CC2510" s="2" t="s">
        <v>161</v>
      </c>
      <c r="CD2510" s="2">
        <v>7493</v>
      </c>
      <c r="CE2510" s="2" t="s">
        <v>108</v>
      </c>
      <c r="CF2510" s="5">
        <v>42671</v>
      </c>
      <c r="CG2510" s="2"/>
      <c r="CH2510" s="2"/>
      <c r="CI2510" s="2">
        <v>1</v>
      </c>
      <c r="CJ2510" s="2">
        <v>1</v>
      </c>
      <c r="CK2510" s="2">
        <v>21</v>
      </c>
      <c r="CL2510" s="2" t="s">
        <v>88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"FES1162509346"</f>
        <v>FES1162509346</v>
      </c>
      <c r="F2511" s="3">
        <v>42669</v>
      </c>
      <c r="G2511" s="2">
        <v>201704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153</v>
      </c>
      <c r="M2511" s="2" t="s">
        <v>153</v>
      </c>
      <c r="N2511" s="2" t="s">
        <v>154</v>
      </c>
      <c r="O2511" s="2" t="s">
        <v>96</v>
      </c>
      <c r="P2511" s="2" t="str">
        <f>"2170530375                    "</f>
        <v xml:space="preserve">2170530375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3.32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1</v>
      </c>
      <c r="BJ2511" s="2">
        <v>0.2</v>
      </c>
      <c r="BK2511" s="2">
        <v>1</v>
      </c>
      <c r="BL2511" s="2">
        <v>40.76</v>
      </c>
      <c r="BM2511" s="2">
        <v>5.71</v>
      </c>
      <c r="BN2511" s="2">
        <v>46.47</v>
      </c>
      <c r="BO2511" s="2">
        <v>46.47</v>
      </c>
      <c r="BP2511" s="2"/>
      <c r="BQ2511" s="2" t="s">
        <v>117</v>
      </c>
      <c r="BR2511" s="2" t="s">
        <v>83</v>
      </c>
      <c r="BS2511" s="3">
        <v>42670</v>
      </c>
      <c r="BT2511" s="4">
        <v>0.53263888888888888</v>
      </c>
      <c r="BU2511" s="2" t="s">
        <v>1583</v>
      </c>
      <c r="BV2511" s="2" t="s">
        <v>85</v>
      </c>
      <c r="BW2511" s="2"/>
      <c r="BX2511" s="2"/>
      <c r="BY2511" s="2">
        <v>1200</v>
      </c>
      <c r="BZ2511" s="2"/>
      <c r="CA2511" s="2"/>
      <c r="CB2511" s="2"/>
      <c r="CC2511" s="2" t="s">
        <v>153</v>
      </c>
      <c r="CD2511" s="2">
        <v>7646</v>
      </c>
      <c r="CE2511" s="2" t="s">
        <v>108</v>
      </c>
      <c r="CF2511" s="5">
        <v>42671</v>
      </c>
      <c r="CG2511" s="2"/>
      <c r="CH2511" s="2"/>
      <c r="CI2511" s="2">
        <v>1</v>
      </c>
      <c r="CJ2511" s="2">
        <v>1</v>
      </c>
      <c r="CK2511" s="2">
        <v>21</v>
      </c>
      <c r="CL2511" s="2" t="s">
        <v>88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"FES1162509351"</f>
        <v>FES1162509351</v>
      </c>
      <c r="F2512" s="3">
        <v>42669</v>
      </c>
      <c r="G2512" s="2">
        <v>201704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260</v>
      </c>
      <c r="M2512" s="2" t="s">
        <v>261</v>
      </c>
      <c r="N2512" s="2" t="s">
        <v>665</v>
      </c>
      <c r="O2512" s="2" t="s">
        <v>96</v>
      </c>
      <c r="P2512" s="2" t="str">
        <f>"2170530433                    "</f>
        <v xml:space="preserve">2170530433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3.32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40.76</v>
      </c>
      <c r="BM2512" s="2">
        <v>5.71</v>
      </c>
      <c r="BN2512" s="2">
        <v>46.47</v>
      </c>
      <c r="BO2512" s="2">
        <v>46.47</v>
      </c>
      <c r="BP2512" s="2"/>
      <c r="BQ2512" s="2" t="s">
        <v>91</v>
      </c>
      <c r="BR2512" s="2" t="s">
        <v>83</v>
      </c>
      <c r="BS2512" s="3">
        <v>42670</v>
      </c>
      <c r="BT2512" s="4">
        <v>0.41666666666666669</v>
      </c>
      <c r="BU2512" s="2" t="s">
        <v>666</v>
      </c>
      <c r="BV2512" s="2" t="s">
        <v>85</v>
      </c>
      <c r="BW2512" s="2"/>
      <c r="BX2512" s="2"/>
      <c r="BY2512" s="2">
        <v>1200</v>
      </c>
      <c r="BZ2512" s="2"/>
      <c r="CA2512" s="2"/>
      <c r="CB2512" s="2"/>
      <c r="CC2512" s="2" t="s">
        <v>261</v>
      </c>
      <c r="CD2512" s="2">
        <v>6850</v>
      </c>
      <c r="CE2512" s="2" t="s">
        <v>108</v>
      </c>
      <c r="CF2512" s="5">
        <v>42671</v>
      </c>
      <c r="CG2512" s="2"/>
      <c r="CH2512" s="2"/>
      <c r="CI2512" s="2">
        <v>3</v>
      </c>
      <c r="CJ2512" s="2">
        <v>1</v>
      </c>
      <c r="CK2512" s="2">
        <v>21</v>
      </c>
      <c r="CL2512" s="2" t="s">
        <v>88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"FES1162509520"</f>
        <v>FES1162509520</v>
      </c>
      <c r="F2513" s="3">
        <v>42669</v>
      </c>
      <c r="G2513" s="2">
        <v>201704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98</v>
      </c>
      <c r="M2513" s="2" t="s">
        <v>99</v>
      </c>
      <c r="N2513" s="2" t="s">
        <v>369</v>
      </c>
      <c r="O2513" s="2" t="s">
        <v>96</v>
      </c>
      <c r="P2513" s="2" t="str">
        <f>"2170532701                    "</f>
        <v xml:space="preserve">2170532701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3.32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1</v>
      </c>
      <c r="BJ2513" s="2">
        <v>0.2</v>
      </c>
      <c r="BK2513" s="2">
        <v>1</v>
      </c>
      <c r="BL2513" s="2">
        <v>40.76</v>
      </c>
      <c r="BM2513" s="2">
        <v>5.71</v>
      </c>
      <c r="BN2513" s="2">
        <v>46.47</v>
      </c>
      <c r="BO2513" s="2">
        <v>46.47</v>
      </c>
      <c r="BP2513" s="2"/>
      <c r="BQ2513" s="2" t="s">
        <v>370</v>
      </c>
      <c r="BR2513" s="2" t="s">
        <v>83</v>
      </c>
      <c r="BS2513" s="3">
        <v>42670</v>
      </c>
      <c r="BT2513" s="4">
        <v>0.40277777777777773</v>
      </c>
      <c r="BU2513" s="2" t="s">
        <v>2301</v>
      </c>
      <c r="BV2513" s="2" t="s">
        <v>85</v>
      </c>
      <c r="BW2513" s="2"/>
      <c r="BX2513" s="2"/>
      <c r="BY2513" s="2">
        <v>1200</v>
      </c>
      <c r="BZ2513" s="2"/>
      <c r="CA2513" s="2"/>
      <c r="CB2513" s="2"/>
      <c r="CC2513" s="2" t="s">
        <v>99</v>
      </c>
      <c r="CD2513" s="2">
        <v>6001</v>
      </c>
      <c r="CE2513" s="2" t="s">
        <v>108</v>
      </c>
      <c r="CF2513" s="5">
        <v>42671</v>
      </c>
      <c r="CG2513" s="2"/>
      <c r="CH2513" s="2"/>
      <c r="CI2513" s="2">
        <v>1</v>
      </c>
      <c r="CJ2513" s="2">
        <v>1</v>
      </c>
      <c r="CK2513" s="2">
        <v>21</v>
      </c>
      <c r="CL2513" s="2" t="s">
        <v>88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"FES1162509436"</f>
        <v>FES1162509436</v>
      </c>
      <c r="F2514" s="3">
        <v>42669</v>
      </c>
      <c r="G2514" s="2">
        <v>201704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160</v>
      </c>
      <c r="M2514" s="2" t="s">
        <v>161</v>
      </c>
      <c r="N2514" s="2" t="s">
        <v>2390</v>
      </c>
      <c r="O2514" s="2" t="s">
        <v>96</v>
      </c>
      <c r="P2514" s="2" t="str">
        <f>"2170532590                    "</f>
        <v xml:space="preserve">2170532590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3.32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</v>
      </c>
      <c r="BJ2514" s="2">
        <v>0.2</v>
      </c>
      <c r="BK2514" s="2">
        <v>1</v>
      </c>
      <c r="BL2514" s="2">
        <v>40.76</v>
      </c>
      <c r="BM2514" s="2">
        <v>5.71</v>
      </c>
      <c r="BN2514" s="2">
        <v>46.47</v>
      </c>
      <c r="BO2514" s="2">
        <v>46.47</v>
      </c>
      <c r="BP2514" s="2"/>
      <c r="BQ2514" s="2" t="s">
        <v>2391</v>
      </c>
      <c r="BR2514" s="2" t="s">
        <v>83</v>
      </c>
      <c r="BS2514" s="3">
        <v>42670</v>
      </c>
      <c r="BT2514" s="4">
        <v>0.41666666666666669</v>
      </c>
      <c r="BU2514" s="2" t="s">
        <v>2392</v>
      </c>
      <c r="BV2514" s="2" t="s">
        <v>85</v>
      </c>
      <c r="BW2514" s="2"/>
      <c r="BX2514" s="2"/>
      <c r="BY2514" s="2">
        <v>1200</v>
      </c>
      <c r="BZ2514" s="2"/>
      <c r="CA2514" s="2"/>
      <c r="CB2514" s="2"/>
      <c r="CC2514" s="2" t="s">
        <v>161</v>
      </c>
      <c r="CD2514" s="2">
        <v>7925</v>
      </c>
      <c r="CE2514" s="2" t="s">
        <v>108</v>
      </c>
      <c r="CF2514" s="5">
        <v>42671</v>
      </c>
      <c r="CG2514" s="2"/>
      <c r="CH2514" s="2"/>
      <c r="CI2514" s="2">
        <v>1</v>
      </c>
      <c r="CJ2514" s="2">
        <v>1</v>
      </c>
      <c r="CK2514" s="2">
        <v>21</v>
      </c>
      <c r="CL2514" s="2" t="s">
        <v>88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"FES1162509379"</f>
        <v>FES1162509379</v>
      </c>
      <c r="F2515" s="3">
        <v>42669</v>
      </c>
      <c r="G2515" s="2">
        <v>201704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160</v>
      </c>
      <c r="M2515" s="2" t="s">
        <v>161</v>
      </c>
      <c r="N2515" s="2" t="s">
        <v>2393</v>
      </c>
      <c r="O2515" s="2" t="s">
        <v>96</v>
      </c>
      <c r="P2515" s="2" t="str">
        <f>"2170532562                    "</f>
        <v xml:space="preserve">2170532562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3.32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1</v>
      </c>
      <c r="BJ2515" s="2">
        <v>0.2</v>
      </c>
      <c r="BK2515" s="2">
        <v>1</v>
      </c>
      <c r="BL2515" s="2">
        <v>40.76</v>
      </c>
      <c r="BM2515" s="2">
        <v>5.71</v>
      </c>
      <c r="BN2515" s="2">
        <v>46.47</v>
      </c>
      <c r="BO2515" s="2">
        <v>46.47</v>
      </c>
      <c r="BP2515" s="2"/>
      <c r="BQ2515" s="2" t="s">
        <v>2394</v>
      </c>
      <c r="BR2515" s="2" t="s">
        <v>83</v>
      </c>
      <c r="BS2515" s="3">
        <v>42670</v>
      </c>
      <c r="BT2515" s="4">
        <v>0.41666666666666669</v>
      </c>
      <c r="BU2515" s="2" t="s">
        <v>2395</v>
      </c>
      <c r="BV2515" s="2"/>
      <c r="BW2515" s="2"/>
      <c r="BX2515" s="2"/>
      <c r="BY2515" s="2">
        <v>1200</v>
      </c>
      <c r="BZ2515" s="2"/>
      <c r="CA2515" s="2"/>
      <c r="CB2515" s="2"/>
      <c r="CC2515" s="2" t="s">
        <v>161</v>
      </c>
      <c r="CD2515" s="2">
        <v>8001</v>
      </c>
      <c r="CE2515" s="2" t="s">
        <v>108</v>
      </c>
      <c r="CF2515" s="5">
        <v>42671</v>
      </c>
      <c r="CG2515" s="2"/>
      <c r="CH2515" s="2"/>
      <c r="CI2515" s="2">
        <v>0</v>
      </c>
      <c r="CJ2515" s="2">
        <v>0</v>
      </c>
      <c r="CK2515" s="2">
        <v>21</v>
      </c>
      <c r="CL2515" s="2" t="s">
        <v>88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"FES1162509537"</f>
        <v>FES1162509537</v>
      </c>
      <c r="F2516" s="3">
        <v>42669</v>
      </c>
      <c r="G2516" s="2">
        <v>201704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137</v>
      </c>
      <c r="M2516" s="2" t="s">
        <v>138</v>
      </c>
      <c r="N2516" s="2" t="s">
        <v>167</v>
      </c>
      <c r="O2516" s="2" t="s">
        <v>96</v>
      </c>
      <c r="P2516" s="2" t="str">
        <f>"2170528708                    "</f>
        <v xml:space="preserve">2170528708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20.73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9.1999999999999993</v>
      </c>
      <c r="BJ2516" s="2">
        <v>12.3</v>
      </c>
      <c r="BK2516" s="2">
        <v>12.5</v>
      </c>
      <c r="BL2516" s="2">
        <v>254.73</v>
      </c>
      <c r="BM2516" s="2">
        <v>35.659999999999997</v>
      </c>
      <c r="BN2516" s="2">
        <v>290.39</v>
      </c>
      <c r="BO2516" s="2">
        <v>290.39</v>
      </c>
      <c r="BP2516" s="2"/>
      <c r="BQ2516" s="2" t="s">
        <v>168</v>
      </c>
      <c r="BR2516" s="2" t="s">
        <v>83</v>
      </c>
      <c r="BS2516" s="3">
        <v>42670</v>
      </c>
      <c r="BT2516" s="4">
        <v>0.4069444444444445</v>
      </c>
      <c r="BU2516" s="2" t="s">
        <v>559</v>
      </c>
      <c r="BV2516" s="2" t="s">
        <v>85</v>
      </c>
      <c r="BW2516" s="2"/>
      <c r="BX2516" s="2"/>
      <c r="BY2516" s="2">
        <v>61712</v>
      </c>
      <c r="BZ2516" s="2"/>
      <c r="CA2516" s="2" t="s">
        <v>170</v>
      </c>
      <c r="CB2516" s="2"/>
      <c r="CC2516" s="2" t="s">
        <v>138</v>
      </c>
      <c r="CD2516" s="2">
        <v>3201</v>
      </c>
      <c r="CE2516" s="2" t="s">
        <v>86</v>
      </c>
      <c r="CF2516" s="5">
        <v>42670</v>
      </c>
      <c r="CG2516" s="2"/>
      <c r="CH2516" s="2"/>
      <c r="CI2516" s="2">
        <v>1</v>
      </c>
      <c r="CJ2516" s="2">
        <v>1</v>
      </c>
      <c r="CK2516" s="2">
        <v>21</v>
      </c>
      <c r="CL2516" s="2" t="s">
        <v>88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"FES1162509403"</f>
        <v>FES1162509403</v>
      </c>
      <c r="F2517" s="3">
        <v>42669</v>
      </c>
      <c r="G2517" s="2">
        <v>201704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160</v>
      </c>
      <c r="M2517" s="2" t="s">
        <v>161</v>
      </c>
      <c r="N2517" s="2" t="s">
        <v>1269</v>
      </c>
      <c r="O2517" s="2" t="s">
        <v>96</v>
      </c>
      <c r="P2517" s="2" t="str">
        <f>"2170532586                    "</f>
        <v xml:space="preserve">2170532586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3.32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1.4</v>
      </c>
      <c r="BJ2517" s="2">
        <v>0.9</v>
      </c>
      <c r="BK2517" s="2">
        <v>1.5</v>
      </c>
      <c r="BL2517" s="2">
        <v>40.76</v>
      </c>
      <c r="BM2517" s="2">
        <v>5.71</v>
      </c>
      <c r="BN2517" s="2">
        <v>46.47</v>
      </c>
      <c r="BO2517" s="2">
        <v>46.47</v>
      </c>
      <c r="BP2517" s="2"/>
      <c r="BQ2517" s="2" t="s">
        <v>91</v>
      </c>
      <c r="BR2517" s="2" t="s">
        <v>83</v>
      </c>
      <c r="BS2517" s="3">
        <v>42670</v>
      </c>
      <c r="BT2517" s="4">
        <v>0.41666666666666669</v>
      </c>
      <c r="BU2517" s="2" t="s">
        <v>2396</v>
      </c>
      <c r="BV2517" s="2" t="s">
        <v>85</v>
      </c>
      <c r="BW2517" s="2"/>
      <c r="BX2517" s="2"/>
      <c r="BY2517" s="2">
        <v>4368</v>
      </c>
      <c r="BZ2517" s="2"/>
      <c r="CA2517" s="2"/>
      <c r="CB2517" s="2"/>
      <c r="CC2517" s="2" t="s">
        <v>161</v>
      </c>
      <c r="CD2517" s="2">
        <v>7925</v>
      </c>
      <c r="CE2517" s="2" t="s">
        <v>86</v>
      </c>
      <c r="CF2517" s="5">
        <v>42671</v>
      </c>
      <c r="CG2517" s="2"/>
      <c r="CH2517" s="2"/>
      <c r="CI2517" s="2">
        <v>1</v>
      </c>
      <c r="CJ2517" s="2">
        <v>1</v>
      </c>
      <c r="CK2517" s="2">
        <v>21</v>
      </c>
      <c r="CL2517" s="2" t="s">
        <v>88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"FES1162509337"</f>
        <v>FES1162509337</v>
      </c>
      <c r="F2518" s="3">
        <v>42669</v>
      </c>
      <c r="G2518" s="2">
        <v>201704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160</v>
      </c>
      <c r="M2518" s="2" t="s">
        <v>161</v>
      </c>
      <c r="N2518" s="2" t="s">
        <v>179</v>
      </c>
      <c r="O2518" s="2" t="s">
        <v>96</v>
      </c>
      <c r="P2518" s="2" t="str">
        <f>"2170530304                    "</f>
        <v xml:space="preserve">2170530304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3.32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1</v>
      </c>
      <c r="BJ2518" s="2">
        <v>0.2</v>
      </c>
      <c r="BK2518" s="2">
        <v>1</v>
      </c>
      <c r="BL2518" s="2">
        <v>40.76</v>
      </c>
      <c r="BM2518" s="2">
        <v>5.71</v>
      </c>
      <c r="BN2518" s="2">
        <v>46.47</v>
      </c>
      <c r="BO2518" s="2">
        <v>46.47</v>
      </c>
      <c r="BP2518" s="2"/>
      <c r="BQ2518" s="2" t="s">
        <v>180</v>
      </c>
      <c r="BR2518" s="2" t="s">
        <v>83</v>
      </c>
      <c r="BS2518" s="3">
        <v>42670</v>
      </c>
      <c r="BT2518" s="4">
        <v>0.41666666666666669</v>
      </c>
      <c r="BU2518" s="2" t="s">
        <v>1988</v>
      </c>
      <c r="BV2518" s="2" t="s">
        <v>85</v>
      </c>
      <c r="BW2518" s="2"/>
      <c r="BX2518" s="2"/>
      <c r="BY2518" s="2">
        <v>1200</v>
      </c>
      <c r="BZ2518" s="2"/>
      <c r="CA2518" s="2"/>
      <c r="CB2518" s="2"/>
      <c r="CC2518" s="2" t="s">
        <v>161</v>
      </c>
      <c r="CD2518" s="2">
        <v>7405</v>
      </c>
      <c r="CE2518" s="2" t="s">
        <v>108</v>
      </c>
      <c r="CF2518" s="5">
        <v>42671</v>
      </c>
      <c r="CG2518" s="2"/>
      <c r="CH2518" s="2"/>
      <c r="CI2518" s="2">
        <v>1</v>
      </c>
      <c r="CJ2518" s="2">
        <v>1</v>
      </c>
      <c r="CK2518" s="2">
        <v>21</v>
      </c>
      <c r="CL2518" s="2" t="s">
        <v>88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"FES1162509491"</f>
        <v>FES1162509491</v>
      </c>
      <c r="F2519" s="3">
        <v>42669</v>
      </c>
      <c r="G2519" s="2">
        <v>201704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372</v>
      </c>
      <c r="M2519" s="2" t="s">
        <v>373</v>
      </c>
      <c r="N2519" s="2" t="s">
        <v>374</v>
      </c>
      <c r="O2519" s="2" t="s">
        <v>96</v>
      </c>
      <c r="P2519" s="2" t="str">
        <f>"2170532675                    "</f>
        <v xml:space="preserve">2170532675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6.43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1</v>
      </c>
      <c r="BJ2519" s="2">
        <v>0.2</v>
      </c>
      <c r="BK2519" s="2">
        <v>1</v>
      </c>
      <c r="BL2519" s="2">
        <v>78.97</v>
      </c>
      <c r="BM2519" s="2">
        <v>11.06</v>
      </c>
      <c r="BN2519" s="2">
        <v>90.03</v>
      </c>
      <c r="BO2519" s="2">
        <v>90.03</v>
      </c>
      <c r="BP2519" s="2"/>
      <c r="BQ2519" s="2" t="s">
        <v>375</v>
      </c>
      <c r="BR2519" s="2" t="s">
        <v>83</v>
      </c>
      <c r="BS2519" s="3">
        <v>42670</v>
      </c>
      <c r="BT2519" s="4">
        <v>0.51041666666666663</v>
      </c>
      <c r="BU2519" s="2" t="s">
        <v>2397</v>
      </c>
      <c r="BV2519" s="2" t="s">
        <v>85</v>
      </c>
      <c r="BW2519" s="2"/>
      <c r="BX2519" s="2"/>
      <c r="BY2519" s="2">
        <v>1200</v>
      </c>
      <c r="BZ2519" s="2"/>
      <c r="CA2519" s="2"/>
      <c r="CB2519" s="2"/>
      <c r="CC2519" s="2" t="s">
        <v>373</v>
      </c>
      <c r="CD2519" s="2">
        <v>9650</v>
      </c>
      <c r="CE2519" s="2" t="s">
        <v>108</v>
      </c>
      <c r="CF2519" s="5">
        <v>42675</v>
      </c>
      <c r="CG2519" s="2"/>
      <c r="CH2519" s="2"/>
      <c r="CI2519" s="2">
        <v>1</v>
      </c>
      <c r="CJ2519" s="2">
        <v>1</v>
      </c>
      <c r="CK2519" s="2">
        <v>23</v>
      </c>
      <c r="CL2519" s="2" t="s">
        <v>88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"FES1162509559"</f>
        <v>FES1162509559</v>
      </c>
      <c r="F2520" s="3">
        <v>42669</v>
      </c>
      <c r="G2520" s="2">
        <v>201704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310</v>
      </c>
      <c r="M2520" s="2" t="s">
        <v>311</v>
      </c>
      <c r="N2520" s="2" t="s">
        <v>2398</v>
      </c>
      <c r="O2520" s="2" t="s">
        <v>96</v>
      </c>
      <c r="P2520" s="2" t="str">
        <f>"2170527630                    "</f>
        <v xml:space="preserve">2170527630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48.51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10</v>
      </c>
      <c r="BJ2520" s="2">
        <v>16.3</v>
      </c>
      <c r="BK2520" s="2">
        <v>16.5</v>
      </c>
      <c r="BL2520" s="2">
        <v>596.07000000000005</v>
      </c>
      <c r="BM2520" s="2">
        <v>83.45</v>
      </c>
      <c r="BN2520" s="2">
        <v>679.52</v>
      </c>
      <c r="BO2520" s="2">
        <v>679.52</v>
      </c>
      <c r="BP2520" s="2"/>
      <c r="BQ2520" s="2" t="s">
        <v>82</v>
      </c>
      <c r="BR2520" s="2" t="s">
        <v>83</v>
      </c>
      <c r="BS2520" s="3">
        <v>42675</v>
      </c>
      <c r="BT2520" s="4">
        <v>0.54166666666666663</v>
      </c>
      <c r="BU2520" s="2" t="s">
        <v>210</v>
      </c>
      <c r="BV2520" s="2" t="s">
        <v>88</v>
      </c>
      <c r="BW2520" s="2" t="s">
        <v>277</v>
      </c>
      <c r="BX2520" s="2" t="s">
        <v>2399</v>
      </c>
      <c r="BY2520" s="2">
        <v>81396</v>
      </c>
      <c r="BZ2520" s="2"/>
      <c r="CA2520" s="2"/>
      <c r="CB2520" s="2"/>
      <c r="CC2520" s="2" t="s">
        <v>311</v>
      </c>
      <c r="CD2520" s="2">
        <v>4170</v>
      </c>
      <c r="CE2520" s="2" t="s">
        <v>86</v>
      </c>
      <c r="CF2520" s="5">
        <v>42677</v>
      </c>
      <c r="CG2520" s="2"/>
      <c r="CH2520" s="2"/>
      <c r="CI2520" s="2">
        <v>1</v>
      </c>
      <c r="CJ2520" s="2">
        <v>4</v>
      </c>
      <c r="CK2520" s="2">
        <v>23</v>
      </c>
      <c r="CL2520" s="2" t="s">
        <v>88</v>
      </c>
      <c r="CM2520" s="2"/>
    </row>
    <row r="2521" spans="1:91">
      <c r="A2521" s="2" t="s">
        <v>71</v>
      </c>
      <c r="B2521" s="2" t="s">
        <v>72</v>
      </c>
      <c r="C2521" s="2" t="s">
        <v>73</v>
      </c>
      <c r="D2521" s="2"/>
      <c r="E2521" s="2" t="str">
        <f>"FES1162509302"</f>
        <v>FES1162509302</v>
      </c>
      <c r="F2521" s="3">
        <v>42669</v>
      </c>
      <c r="G2521" s="2">
        <v>201704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160</v>
      </c>
      <c r="M2521" s="2" t="s">
        <v>161</v>
      </c>
      <c r="N2521" s="2" t="s">
        <v>601</v>
      </c>
      <c r="O2521" s="2" t="s">
        <v>96</v>
      </c>
      <c r="P2521" s="2" t="str">
        <f>"2170532520                    "</f>
        <v xml:space="preserve">2170532520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234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7.46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4</v>
      </c>
      <c r="BJ2521" s="2">
        <v>4.0999999999999996</v>
      </c>
      <c r="BK2521" s="2">
        <v>4.5</v>
      </c>
      <c r="BL2521" s="2">
        <v>325.7</v>
      </c>
      <c r="BM2521" s="2">
        <v>45.6</v>
      </c>
      <c r="BN2521" s="2">
        <v>371.3</v>
      </c>
      <c r="BO2521" s="2">
        <v>371.3</v>
      </c>
      <c r="BP2521" s="2" t="s">
        <v>487</v>
      </c>
      <c r="BQ2521" s="2" t="s">
        <v>602</v>
      </c>
      <c r="BR2521" s="2" t="s">
        <v>83</v>
      </c>
      <c r="BS2521" s="3">
        <v>42674</v>
      </c>
      <c r="BT2521" s="4">
        <v>0.33333333333333331</v>
      </c>
      <c r="BU2521" s="2" t="s">
        <v>668</v>
      </c>
      <c r="BV2521" s="2" t="s">
        <v>88</v>
      </c>
      <c r="BW2521" s="2" t="s">
        <v>277</v>
      </c>
      <c r="BX2521" s="2" t="s">
        <v>604</v>
      </c>
      <c r="BY2521" s="2">
        <v>20358</v>
      </c>
      <c r="BZ2521" s="2" t="s">
        <v>25</v>
      </c>
      <c r="CA2521" s="2" t="s">
        <v>2400</v>
      </c>
      <c r="CB2521" s="2"/>
      <c r="CC2521" s="2" t="s">
        <v>161</v>
      </c>
      <c r="CD2521" s="2">
        <v>7945</v>
      </c>
      <c r="CE2521" s="2" t="s">
        <v>86</v>
      </c>
      <c r="CF2521" s="5">
        <v>42675</v>
      </c>
      <c r="CG2521" s="2"/>
      <c r="CH2521" s="2"/>
      <c r="CI2521" s="2">
        <v>1</v>
      </c>
      <c r="CJ2521" s="2">
        <v>3</v>
      </c>
      <c r="CK2521" s="2">
        <v>21</v>
      </c>
      <c r="CL2521" s="2" t="s">
        <v>85</v>
      </c>
      <c r="CM2521" s="4">
        <v>0.33333333333333331</v>
      </c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"FES1162509488"</f>
        <v>FES1162509488</v>
      </c>
      <c r="F2522" s="3">
        <v>42669</v>
      </c>
      <c r="G2522" s="2">
        <v>201704</v>
      </c>
      <c r="H2522" s="2" t="s">
        <v>74</v>
      </c>
      <c r="I2522" s="2" t="s">
        <v>75</v>
      </c>
      <c r="J2522" s="2" t="s">
        <v>76</v>
      </c>
      <c r="K2522" s="2" t="s">
        <v>77</v>
      </c>
      <c r="L2522" s="2" t="s">
        <v>372</v>
      </c>
      <c r="M2522" s="2" t="s">
        <v>373</v>
      </c>
      <c r="N2522" s="2" t="s">
        <v>374</v>
      </c>
      <c r="O2522" s="2" t="s">
        <v>96</v>
      </c>
      <c r="P2522" s="2" t="str">
        <f>"2170532672                    "</f>
        <v xml:space="preserve">2170532672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6.43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78.97</v>
      </c>
      <c r="BM2522" s="2">
        <v>11.06</v>
      </c>
      <c r="BN2522" s="2">
        <v>90.03</v>
      </c>
      <c r="BO2522" s="2">
        <v>90.03</v>
      </c>
      <c r="BP2522" s="2"/>
      <c r="BQ2522" s="2" t="s">
        <v>375</v>
      </c>
      <c r="BR2522" s="2" t="s">
        <v>83</v>
      </c>
      <c r="BS2522" s="3">
        <v>42670</v>
      </c>
      <c r="BT2522" s="4">
        <v>0.51041666666666663</v>
      </c>
      <c r="BU2522" s="2" t="s">
        <v>2397</v>
      </c>
      <c r="BV2522" s="2" t="s">
        <v>85</v>
      </c>
      <c r="BW2522" s="2"/>
      <c r="BX2522" s="2"/>
      <c r="BY2522" s="2">
        <v>1200</v>
      </c>
      <c r="BZ2522" s="2"/>
      <c r="CA2522" s="2"/>
      <c r="CB2522" s="2"/>
      <c r="CC2522" s="2" t="s">
        <v>373</v>
      </c>
      <c r="CD2522" s="2">
        <v>9650</v>
      </c>
      <c r="CE2522" s="2" t="s">
        <v>108</v>
      </c>
      <c r="CF2522" s="5">
        <v>42675</v>
      </c>
      <c r="CG2522" s="2"/>
      <c r="CH2522" s="2"/>
      <c r="CI2522" s="2">
        <v>1</v>
      </c>
      <c r="CJ2522" s="2">
        <v>1</v>
      </c>
      <c r="CK2522" s="2">
        <v>23</v>
      </c>
      <c r="CL2522" s="2" t="s">
        <v>88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"FES1162509312"</f>
        <v>FES1162509312</v>
      </c>
      <c r="F2523" s="3">
        <v>42669</v>
      </c>
      <c r="G2523" s="2">
        <v>201704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160</v>
      </c>
      <c r="M2523" s="2" t="s">
        <v>161</v>
      </c>
      <c r="N2523" s="2" t="s">
        <v>179</v>
      </c>
      <c r="O2523" s="2" t="s">
        <v>96</v>
      </c>
      <c r="P2523" s="2" t="str">
        <f>"2170532535                    "</f>
        <v xml:space="preserve">2170532535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3.32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1</v>
      </c>
      <c r="BJ2523" s="2">
        <v>0.2</v>
      </c>
      <c r="BK2523" s="2">
        <v>1</v>
      </c>
      <c r="BL2523" s="2">
        <v>40.76</v>
      </c>
      <c r="BM2523" s="2">
        <v>5.71</v>
      </c>
      <c r="BN2523" s="2">
        <v>46.47</v>
      </c>
      <c r="BO2523" s="2">
        <v>46.47</v>
      </c>
      <c r="BP2523" s="2"/>
      <c r="BQ2523" s="2" t="s">
        <v>180</v>
      </c>
      <c r="BR2523" s="2" t="s">
        <v>83</v>
      </c>
      <c r="BS2523" s="3">
        <v>42670</v>
      </c>
      <c r="BT2523" s="4">
        <v>0.41666666666666669</v>
      </c>
      <c r="BU2523" s="2" t="s">
        <v>1988</v>
      </c>
      <c r="BV2523" s="2" t="s">
        <v>85</v>
      </c>
      <c r="BW2523" s="2"/>
      <c r="BX2523" s="2"/>
      <c r="BY2523" s="2">
        <v>1200</v>
      </c>
      <c r="BZ2523" s="2"/>
      <c r="CA2523" s="2"/>
      <c r="CB2523" s="2"/>
      <c r="CC2523" s="2" t="s">
        <v>161</v>
      </c>
      <c r="CD2523" s="2">
        <v>7405</v>
      </c>
      <c r="CE2523" s="2" t="s">
        <v>108</v>
      </c>
      <c r="CF2523" s="5">
        <v>42671</v>
      </c>
      <c r="CG2523" s="2"/>
      <c r="CH2523" s="2"/>
      <c r="CI2523" s="2">
        <v>1</v>
      </c>
      <c r="CJ2523" s="2">
        <v>1</v>
      </c>
      <c r="CK2523" s="2">
        <v>21</v>
      </c>
      <c r="CL2523" s="2" t="s">
        <v>88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"FES1162509481"</f>
        <v>FES1162509481</v>
      </c>
      <c r="F2524" s="3">
        <v>42669</v>
      </c>
      <c r="G2524" s="2">
        <v>201704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823</v>
      </c>
      <c r="M2524" s="2" t="s">
        <v>824</v>
      </c>
      <c r="N2524" s="2" t="s">
        <v>825</v>
      </c>
      <c r="O2524" s="2" t="s">
        <v>96</v>
      </c>
      <c r="P2524" s="2" t="str">
        <f>"2170527585                    "</f>
        <v xml:space="preserve">2170527585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4.66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1</v>
      </c>
      <c r="BJ2524" s="2">
        <v>0.2</v>
      </c>
      <c r="BK2524" s="2">
        <v>1</v>
      </c>
      <c r="BL2524" s="2">
        <v>57.31</v>
      </c>
      <c r="BM2524" s="2">
        <v>8.02</v>
      </c>
      <c r="BN2524" s="2">
        <v>65.33</v>
      </c>
      <c r="BO2524" s="2">
        <v>65.33</v>
      </c>
      <c r="BP2524" s="2"/>
      <c r="BQ2524" s="2" t="s">
        <v>91</v>
      </c>
      <c r="BR2524" s="2" t="s">
        <v>83</v>
      </c>
      <c r="BS2524" s="3">
        <v>42670</v>
      </c>
      <c r="BT2524" s="4">
        <v>0.41666666666666669</v>
      </c>
      <c r="BU2524" s="2" t="s">
        <v>2044</v>
      </c>
      <c r="BV2524" s="2"/>
      <c r="BW2524" s="2"/>
      <c r="BX2524" s="2"/>
      <c r="BY2524" s="2">
        <v>1200</v>
      </c>
      <c r="BZ2524" s="2"/>
      <c r="CA2524" s="2"/>
      <c r="CB2524" s="2"/>
      <c r="CC2524" s="2" t="s">
        <v>824</v>
      </c>
      <c r="CD2524" s="2">
        <v>2410</v>
      </c>
      <c r="CE2524" s="2" t="s">
        <v>108</v>
      </c>
      <c r="CF2524" s="5">
        <v>42674</v>
      </c>
      <c r="CG2524" s="2"/>
      <c r="CH2524" s="2"/>
      <c r="CI2524" s="2">
        <v>0</v>
      </c>
      <c r="CJ2524" s="2">
        <v>0</v>
      </c>
      <c r="CK2524" s="2">
        <v>24</v>
      </c>
      <c r="CL2524" s="2" t="s">
        <v>88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"019910429938"</f>
        <v>019910429938</v>
      </c>
      <c r="F2525" s="3">
        <v>42669</v>
      </c>
      <c r="G2525" s="2">
        <v>201704</v>
      </c>
      <c r="H2525" s="2" t="s">
        <v>160</v>
      </c>
      <c r="I2525" s="2" t="s">
        <v>161</v>
      </c>
      <c r="J2525" s="2" t="s">
        <v>2401</v>
      </c>
      <c r="K2525" s="2" t="s">
        <v>77</v>
      </c>
      <c r="L2525" s="2" t="s">
        <v>74</v>
      </c>
      <c r="M2525" s="2" t="s">
        <v>75</v>
      </c>
      <c r="N2525" s="2" t="s">
        <v>189</v>
      </c>
      <c r="O2525" s="2" t="s">
        <v>96</v>
      </c>
      <c r="P2525" s="2" t="str">
        <f>"                              "</f>
        <v xml:space="preserve">          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9.1199999999999992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5.5</v>
      </c>
      <c r="BJ2525" s="2">
        <v>2.1</v>
      </c>
      <c r="BK2525" s="2">
        <v>5.5</v>
      </c>
      <c r="BL2525" s="2">
        <v>112.08</v>
      </c>
      <c r="BM2525" s="2">
        <v>15.69</v>
      </c>
      <c r="BN2525" s="2">
        <v>127.77</v>
      </c>
      <c r="BO2525" s="2">
        <v>127.77</v>
      </c>
      <c r="BP2525" s="2"/>
      <c r="BQ2525" s="2" t="s">
        <v>2402</v>
      </c>
      <c r="BR2525" s="2" t="s">
        <v>359</v>
      </c>
      <c r="BS2525" s="3">
        <v>42670</v>
      </c>
      <c r="BT2525" s="4">
        <v>0.38541666666666669</v>
      </c>
      <c r="BU2525" s="2" t="s">
        <v>102</v>
      </c>
      <c r="BV2525" s="2" t="s">
        <v>85</v>
      </c>
      <c r="BW2525" s="2"/>
      <c r="BX2525" s="2"/>
      <c r="BY2525" s="2">
        <v>10500</v>
      </c>
      <c r="BZ2525" s="2" t="s">
        <v>27</v>
      </c>
      <c r="CA2525" s="2"/>
      <c r="CB2525" s="2"/>
      <c r="CC2525" s="2" t="s">
        <v>75</v>
      </c>
      <c r="CD2525" s="2">
        <v>1600</v>
      </c>
      <c r="CE2525" s="2" t="s">
        <v>86</v>
      </c>
      <c r="CF2525" s="5">
        <v>42671</v>
      </c>
      <c r="CG2525" s="2"/>
      <c r="CH2525" s="2"/>
      <c r="CI2525" s="2">
        <v>1</v>
      </c>
      <c r="CJ2525" s="2">
        <v>1</v>
      </c>
      <c r="CK2525" s="2">
        <v>21</v>
      </c>
      <c r="CL2525" s="2" t="s">
        <v>88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"FES1162509554"</f>
        <v>FES1162509554</v>
      </c>
      <c r="F2526" s="3">
        <v>42669</v>
      </c>
      <c r="G2526" s="2">
        <v>201704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98</v>
      </c>
      <c r="M2526" s="2" t="s">
        <v>99</v>
      </c>
      <c r="N2526" s="2" t="s">
        <v>2403</v>
      </c>
      <c r="O2526" s="2" t="s">
        <v>96</v>
      </c>
      <c r="P2526" s="2" t="str">
        <f>"2170532728                    "</f>
        <v xml:space="preserve">2170532728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9.9499999999999993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3.1</v>
      </c>
      <c r="BJ2526" s="2">
        <v>5.6</v>
      </c>
      <c r="BK2526" s="2">
        <v>6</v>
      </c>
      <c r="BL2526" s="2">
        <v>122.27</v>
      </c>
      <c r="BM2526" s="2">
        <v>17.12</v>
      </c>
      <c r="BN2526" s="2">
        <v>139.38999999999999</v>
      </c>
      <c r="BO2526" s="2">
        <v>139.38999999999999</v>
      </c>
      <c r="BP2526" s="2"/>
      <c r="BQ2526" s="2" t="s">
        <v>91</v>
      </c>
      <c r="BR2526" s="2" t="s">
        <v>83</v>
      </c>
      <c r="BS2526" s="3">
        <v>42670</v>
      </c>
      <c r="BT2526" s="4">
        <v>0.30416666666666664</v>
      </c>
      <c r="BU2526" s="2" t="s">
        <v>235</v>
      </c>
      <c r="BV2526" s="2" t="s">
        <v>85</v>
      </c>
      <c r="BW2526" s="2"/>
      <c r="BX2526" s="2"/>
      <c r="BY2526" s="2">
        <v>27783</v>
      </c>
      <c r="BZ2526" s="2"/>
      <c r="CA2526" s="2"/>
      <c r="CB2526" s="2"/>
      <c r="CC2526" s="2" t="s">
        <v>99</v>
      </c>
      <c r="CD2526" s="2">
        <v>6012</v>
      </c>
      <c r="CE2526" s="2" t="s">
        <v>86</v>
      </c>
      <c r="CF2526" s="5">
        <v>42671</v>
      </c>
      <c r="CG2526" s="2"/>
      <c r="CH2526" s="2"/>
      <c r="CI2526" s="2">
        <v>1</v>
      </c>
      <c r="CJ2526" s="2">
        <v>1</v>
      </c>
      <c r="CK2526" s="2">
        <v>21</v>
      </c>
      <c r="CL2526" s="2" t="s">
        <v>88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"FES1162509543"</f>
        <v>FES1162509543</v>
      </c>
      <c r="F2527" s="3">
        <v>42669</v>
      </c>
      <c r="G2527" s="2">
        <v>201704</v>
      </c>
      <c r="H2527" s="2" t="s">
        <v>74</v>
      </c>
      <c r="I2527" s="2" t="s">
        <v>75</v>
      </c>
      <c r="J2527" s="2" t="s">
        <v>76</v>
      </c>
      <c r="K2527" s="2" t="s">
        <v>77</v>
      </c>
      <c r="L2527" s="2" t="s">
        <v>98</v>
      </c>
      <c r="M2527" s="2" t="s">
        <v>99</v>
      </c>
      <c r="N2527" s="2" t="s">
        <v>109</v>
      </c>
      <c r="O2527" s="2" t="s">
        <v>96</v>
      </c>
      <c r="P2527" s="2" t="str">
        <f>"2170530916                    "</f>
        <v xml:space="preserve">2170530916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11.61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4.3</v>
      </c>
      <c r="BJ2527" s="2">
        <v>6.7</v>
      </c>
      <c r="BK2527" s="2">
        <v>7</v>
      </c>
      <c r="BL2527" s="2">
        <v>142.65</v>
      </c>
      <c r="BM2527" s="2">
        <v>19.97</v>
      </c>
      <c r="BN2527" s="2">
        <v>162.62</v>
      </c>
      <c r="BO2527" s="2">
        <v>162.62</v>
      </c>
      <c r="BP2527" s="2"/>
      <c r="BQ2527" s="2" t="s">
        <v>110</v>
      </c>
      <c r="BR2527" s="2" t="s">
        <v>83</v>
      </c>
      <c r="BS2527" s="3">
        <v>42670</v>
      </c>
      <c r="BT2527" s="4">
        <v>0.375</v>
      </c>
      <c r="BU2527" s="2" t="s">
        <v>110</v>
      </c>
      <c r="BV2527" s="2" t="s">
        <v>85</v>
      </c>
      <c r="BW2527" s="2"/>
      <c r="BX2527" s="2"/>
      <c r="BY2527" s="2">
        <v>33570.400000000001</v>
      </c>
      <c r="BZ2527" s="2"/>
      <c r="CA2527" s="2"/>
      <c r="CB2527" s="2"/>
      <c r="CC2527" s="2" t="s">
        <v>99</v>
      </c>
      <c r="CD2527" s="2">
        <v>6001</v>
      </c>
      <c r="CE2527" s="2" t="s">
        <v>86</v>
      </c>
      <c r="CF2527" s="5">
        <v>42671</v>
      </c>
      <c r="CG2527" s="2"/>
      <c r="CH2527" s="2"/>
      <c r="CI2527" s="2">
        <v>1</v>
      </c>
      <c r="CJ2527" s="2">
        <v>1</v>
      </c>
      <c r="CK2527" s="2">
        <v>21</v>
      </c>
      <c r="CL2527" s="2" t="s">
        <v>88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"FES1162509473"</f>
        <v>FES1162509473</v>
      </c>
      <c r="F2528" s="3">
        <v>42669</v>
      </c>
      <c r="G2528" s="2">
        <v>201704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160</v>
      </c>
      <c r="M2528" s="2" t="s">
        <v>161</v>
      </c>
      <c r="N2528" s="2" t="s">
        <v>1893</v>
      </c>
      <c r="O2528" s="2" t="s">
        <v>96</v>
      </c>
      <c r="P2528" s="2" t="str">
        <f>"2170532509                    "</f>
        <v xml:space="preserve">2170532509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4.1500000000000004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2.5</v>
      </c>
      <c r="BJ2528" s="2">
        <v>1</v>
      </c>
      <c r="BK2528" s="2">
        <v>2.5</v>
      </c>
      <c r="BL2528" s="2">
        <v>50.95</v>
      </c>
      <c r="BM2528" s="2">
        <v>7.13</v>
      </c>
      <c r="BN2528" s="2">
        <v>58.08</v>
      </c>
      <c r="BO2528" s="2">
        <v>58.08</v>
      </c>
      <c r="BP2528" s="2"/>
      <c r="BQ2528" s="2" t="s">
        <v>117</v>
      </c>
      <c r="BR2528" s="2" t="s">
        <v>83</v>
      </c>
      <c r="BS2528" s="3">
        <v>42670</v>
      </c>
      <c r="BT2528" s="4">
        <v>0.41736111111111113</v>
      </c>
      <c r="BU2528" s="2" t="s">
        <v>2404</v>
      </c>
      <c r="BV2528" s="2" t="s">
        <v>85</v>
      </c>
      <c r="BW2528" s="2"/>
      <c r="BX2528" s="2"/>
      <c r="BY2528" s="2">
        <v>4991.21</v>
      </c>
      <c r="BZ2528" s="2"/>
      <c r="CA2528" s="2"/>
      <c r="CB2528" s="2"/>
      <c r="CC2528" s="2" t="s">
        <v>161</v>
      </c>
      <c r="CD2528" s="2">
        <v>7490</v>
      </c>
      <c r="CE2528" s="2" t="s">
        <v>86</v>
      </c>
      <c r="CF2528" s="5">
        <v>42671</v>
      </c>
      <c r="CG2528" s="2"/>
      <c r="CH2528" s="2"/>
      <c r="CI2528" s="2">
        <v>1</v>
      </c>
      <c r="CJ2528" s="2">
        <v>1</v>
      </c>
      <c r="CK2528" s="2">
        <v>21</v>
      </c>
      <c r="CL2528" s="2" t="s">
        <v>88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"FES1162509540"</f>
        <v>FES1162509540</v>
      </c>
      <c r="F2529" s="3">
        <v>42669</v>
      </c>
      <c r="G2529" s="2">
        <v>201704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98</v>
      </c>
      <c r="M2529" s="2" t="s">
        <v>99</v>
      </c>
      <c r="N2529" s="2" t="s">
        <v>133</v>
      </c>
      <c r="O2529" s="2" t="s">
        <v>96</v>
      </c>
      <c r="P2529" s="2" t="str">
        <f>"2170529749                    "</f>
        <v xml:space="preserve">2170529749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5.81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3.1</v>
      </c>
      <c r="BJ2529" s="2">
        <v>3.5</v>
      </c>
      <c r="BK2529" s="2">
        <v>3.5</v>
      </c>
      <c r="BL2529" s="2">
        <v>71.33</v>
      </c>
      <c r="BM2529" s="2">
        <v>9.99</v>
      </c>
      <c r="BN2529" s="2">
        <v>81.319999999999993</v>
      </c>
      <c r="BO2529" s="2">
        <v>81.319999999999993</v>
      </c>
      <c r="BP2529" s="2"/>
      <c r="BQ2529" s="2" t="s">
        <v>134</v>
      </c>
      <c r="BR2529" s="2" t="s">
        <v>83</v>
      </c>
      <c r="BS2529" s="3">
        <v>42670</v>
      </c>
      <c r="BT2529" s="4">
        <v>0.34027777777777773</v>
      </c>
      <c r="BU2529" s="2" t="s">
        <v>2110</v>
      </c>
      <c r="BV2529" s="2" t="s">
        <v>85</v>
      </c>
      <c r="BW2529" s="2"/>
      <c r="BX2529" s="2"/>
      <c r="BY2529" s="2">
        <v>17701.53</v>
      </c>
      <c r="BZ2529" s="2"/>
      <c r="CA2529" s="2" t="s">
        <v>437</v>
      </c>
      <c r="CB2529" s="2"/>
      <c r="CC2529" s="2" t="s">
        <v>99</v>
      </c>
      <c r="CD2529" s="2">
        <v>6001</v>
      </c>
      <c r="CE2529" s="2" t="s">
        <v>86</v>
      </c>
      <c r="CF2529" s="5">
        <v>42670</v>
      </c>
      <c r="CG2529" s="2"/>
      <c r="CH2529" s="2"/>
      <c r="CI2529" s="2">
        <v>1</v>
      </c>
      <c r="CJ2529" s="2">
        <v>1</v>
      </c>
      <c r="CK2529" s="2">
        <v>21</v>
      </c>
      <c r="CL2529" s="2" t="s">
        <v>88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"FES1162509465"</f>
        <v>FES1162509465</v>
      </c>
      <c r="F2530" s="3">
        <v>42669</v>
      </c>
      <c r="G2530" s="2">
        <v>201704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148</v>
      </c>
      <c r="M2530" s="2" t="s">
        <v>149</v>
      </c>
      <c r="N2530" s="2" t="s">
        <v>686</v>
      </c>
      <c r="O2530" s="2" t="s">
        <v>96</v>
      </c>
      <c r="P2530" s="2" t="str">
        <f>"2170532634                    "</f>
        <v xml:space="preserve">2170532634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8.2899999999999991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3</v>
      </c>
      <c r="BJ2530" s="2">
        <v>4.9000000000000004</v>
      </c>
      <c r="BK2530" s="2">
        <v>5</v>
      </c>
      <c r="BL2530" s="2">
        <v>101.89</v>
      </c>
      <c r="BM2530" s="2">
        <v>14.26</v>
      </c>
      <c r="BN2530" s="2">
        <v>116.15</v>
      </c>
      <c r="BO2530" s="2">
        <v>116.15</v>
      </c>
      <c r="BP2530" s="2"/>
      <c r="BQ2530" s="2" t="s">
        <v>91</v>
      </c>
      <c r="BR2530" s="2" t="s">
        <v>83</v>
      </c>
      <c r="BS2530" s="3">
        <v>42670</v>
      </c>
      <c r="BT2530" s="4">
        <v>0.4375</v>
      </c>
      <c r="BU2530" s="2" t="s">
        <v>2405</v>
      </c>
      <c r="BV2530" s="2" t="s">
        <v>85</v>
      </c>
      <c r="BW2530" s="2"/>
      <c r="BX2530" s="2"/>
      <c r="BY2530" s="2">
        <v>24499.919999999998</v>
      </c>
      <c r="BZ2530" s="2"/>
      <c r="CA2530" s="2"/>
      <c r="CB2530" s="2"/>
      <c r="CC2530" s="2" t="s">
        <v>149</v>
      </c>
      <c r="CD2530" s="2">
        <v>4051</v>
      </c>
      <c r="CE2530" s="2" t="s">
        <v>86</v>
      </c>
      <c r="CF2530" s="5">
        <v>42671</v>
      </c>
      <c r="CG2530" s="2"/>
      <c r="CH2530" s="2"/>
      <c r="CI2530" s="2">
        <v>1</v>
      </c>
      <c r="CJ2530" s="2">
        <v>1</v>
      </c>
      <c r="CK2530" s="2">
        <v>21</v>
      </c>
      <c r="CL2530" s="2" t="s">
        <v>88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"FES1162509457"</f>
        <v>FES1162509457</v>
      </c>
      <c r="F2531" s="3">
        <v>42669</v>
      </c>
      <c r="G2531" s="2">
        <v>201704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93</v>
      </c>
      <c r="M2531" s="2" t="s">
        <v>94</v>
      </c>
      <c r="N2531" s="2" t="s">
        <v>130</v>
      </c>
      <c r="O2531" s="2" t="s">
        <v>96</v>
      </c>
      <c r="P2531" s="2" t="str">
        <f>"2170526863                    "</f>
        <v xml:space="preserve">2170526863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3.32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0.6</v>
      </c>
      <c r="BJ2531" s="2">
        <v>0.9</v>
      </c>
      <c r="BK2531" s="2">
        <v>1</v>
      </c>
      <c r="BL2531" s="2">
        <v>40.76</v>
      </c>
      <c r="BM2531" s="2">
        <v>5.71</v>
      </c>
      <c r="BN2531" s="2">
        <v>46.47</v>
      </c>
      <c r="BO2531" s="2">
        <v>46.47</v>
      </c>
      <c r="BP2531" s="2"/>
      <c r="BQ2531" s="2" t="s">
        <v>131</v>
      </c>
      <c r="BR2531" s="2" t="s">
        <v>83</v>
      </c>
      <c r="BS2531" s="3">
        <v>42670</v>
      </c>
      <c r="BT2531" s="4">
        <v>0.39583333333333331</v>
      </c>
      <c r="BU2531" s="2" t="s">
        <v>576</v>
      </c>
      <c r="BV2531" s="2" t="s">
        <v>85</v>
      </c>
      <c r="BW2531" s="2"/>
      <c r="BX2531" s="2"/>
      <c r="BY2531" s="2">
        <v>4520.3599999999997</v>
      </c>
      <c r="BZ2531" s="2"/>
      <c r="CA2531" s="2"/>
      <c r="CB2531" s="2"/>
      <c r="CC2531" s="2" t="s">
        <v>94</v>
      </c>
      <c r="CD2531" s="2">
        <v>4302</v>
      </c>
      <c r="CE2531" s="2" t="s">
        <v>368</v>
      </c>
      <c r="CF2531" s="5">
        <v>42671</v>
      </c>
      <c r="CG2531" s="2"/>
      <c r="CH2531" s="2"/>
      <c r="CI2531" s="2">
        <v>1</v>
      </c>
      <c r="CJ2531" s="2">
        <v>1</v>
      </c>
      <c r="CK2531" s="2">
        <v>21</v>
      </c>
      <c r="CL2531" s="2" t="s">
        <v>88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"FES1162509324"</f>
        <v>FES1162509324</v>
      </c>
      <c r="F2532" s="3">
        <v>42669</v>
      </c>
      <c r="G2532" s="2">
        <v>201704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148</v>
      </c>
      <c r="M2532" s="2" t="s">
        <v>149</v>
      </c>
      <c r="N2532" s="2" t="s">
        <v>233</v>
      </c>
      <c r="O2532" s="2" t="s">
        <v>96</v>
      </c>
      <c r="P2532" s="2" t="str">
        <f>"2170532549                    "</f>
        <v xml:space="preserve">2170532549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4.1500000000000004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2.4</v>
      </c>
      <c r="BJ2532" s="2">
        <v>1.6</v>
      </c>
      <c r="BK2532" s="2">
        <v>2.5</v>
      </c>
      <c r="BL2532" s="2">
        <v>50.95</v>
      </c>
      <c r="BM2532" s="2">
        <v>7.13</v>
      </c>
      <c r="BN2532" s="2">
        <v>58.08</v>
      </c>
      <c r="BO2532" s="2">
        <v>58.08</v>
      </c>
      <c r="BP2532" s="2"/>
      <c r="BQ2532" s="2" t="s">
        <v>234</v>
      </c>
      <c r="BR2532" s="2" t="s">
        <v>83</v>
      </c>
      <c r="BS2532" s="3">
        <v>42670</v>
      </c>
      <c r="BT2532" s="4">
        <v>0.43055555555555558</v>
      </c>
      <c r="BU2532" s="2" t="s">
        <v>2406</v>
      </c>
      <c r="BV2532" s="2"/>
      <c r="BW2532" s="2"/>
      <c r="BX2532" s="2"/>
      <c r="BY2532" s="2">
        <v>8198.57</v>
      </c>
      <c r="BZ2532" s="2"/>
      <c r="CA2532" s="2"/>
      <c r="CB2532" s="2"/>
      <c r="CC2532" s="2" t="s">
        <v>149</v>
      </c>
      <c r="CD2532" s="2">
        <v>4001</v>
      </c>
      <c r="CE2532" s="2" t="s">
        <v>108</v>
      </c>
      <c r="CF2532" s="5">
        <v>42675</v>
      </c>
      <c r="CG2532" s="2"/>
      <c r="CH2532" s="2"/>
      <c r="CI2532" s="2">
        <v>0</v>
      </c>
      <c r="CJ2532" s="2">
        <v>0</v>
      </c>
      <c r="CK2532" s="2">
        <v>21</v>
      </c>
      <c r="CL2532" s="2" t="s">
        <v>88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"FES1162509450"</f>
        <v>FES1162509450</v>
      </c>
      <c r="F2533" s="3">
        <v>42669</v>
      </c>
      <c r="G2533" s="2">
        <v>201704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1380</v>
      </c>
      <c r="M2533" s="2" t="s">
        <v>1381</v>
      </c>
      <c r="N2533" s="2" t="s">
        <v>2339</v>
      </c>
      <c r="O2533" s="2" t="s">
        <v>96</v>
      </c>
      <c r="P2533" s="2" t="str">
        <f>"2170532246                    "</f>
        <v xml:space="preserve">2170532246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6.43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1.1000000000000001</v>
      </c>
      <c r="BJ2533" s="2">
        <v>1.7</v>
      </c>
      <c r="BK2533" s="2">
        <v>2</v>
      </c>
      <c r="BL2533" s="2">
        <v>78.97</v>
      </c>
      <c r="BM2533" s="2">
        <v>11.06</v>
      </c>
      <c r="BN2533" s="2">
        <v>90.03</v>
      </c>
      <c r="BO2533" s="2">
        <v>90.03</v>
      </c>
      <c r="BP2533" s="2"/>
      <c r="BQ2533" s="2" t="s">
        <v>91</v>
      </c>
      <c r="BR2533" s="2" t="s">
        <v>83</v>
      </c>
      <c r="BS2533" s="3">
        <v>42670</v>
      </c>
      <c r="BT2533" s="4">
        <v>0.4375</v>
      </c>
      <c r="BU2533" s="2" t="s">
        <v>2146</v>
      </c>
      <c r="BV2533" s="2" t="s">
        <v>85</v>
      </c>
      <c r="BW2533" s="2"/>
      <c r="BX2533" s="2"/>
      <c r="BY2533" s="2">
        <v>8388.9599999999991</v>
      </c>
      <c r="BZ2533" s="2"/>
      <c r="CA2533" s="2"/>
      <c r="CB2533" s="2"/>
      <c r="CC2533" s="2" t="s">
        <v>1381</v>
      </c>
      <c r="CD2533" s="2">
        <v>4339</v>
      </c>
      <c r="CE2533" s="2" t="s">
        <v>86</v>
      </c>
      <c r="CF2533" s="5">
        <v>42671</v>
      </c>
      <c r="CG2533" s="2"/>
      <c r="CH2533" s="2"/>
      <c r="CI2533" s="2">
        <v>1</v>
      </c>
      <c r="CJ2533" s="2">
        <v>1</v>
      </c>
      <c r="CK2533" s="2">
        <v>23</v>
      </c>
      <c r="CL2533" s="2" t="s">
        <v>88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"FES1162509452"</f>
        <v>FES1162509452</v>
      </c>
      <c r="F2534" s="3">
        <v>42669</v>
      </c>
      <c r="G2534" s="2">
        <v>201704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98</v>
      </c>
      <c r="M2534" s="2" t="s">
        <v>99</v>
      </c>
      <c r="N2534" s="2" t="s">
        <v>894</v>
      </c>
      <c r="O2534" s="2" t="s">
        <v>96</v>
      </c>
      <c r="P2534" s="2" t="str">
        <f>"2170532552                    "</f>
        <v xml:space="preserve">2170532552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3.32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1.7</v>
      </c>
      <c r="BJ2534" s="2">
        <v>1.8</v>
      </c>
      <c r="BK2534" s="2">
        <v>2</v>
      </c>
      <c r="BL2534" s="2">
        <v>40.76</v>
      </c>
      <c r="BM2534" s="2">
        <v>5.71</v>
      </c>
      <c r="BN2534" s="2">
        <v>46.47</v>
      </c>
      <c r="BO2534" s="2">
        <v>46.47</v>
      </c>
      <c r="BP2534" s="2"/>
      <c r="BQ2534" s="2" t="s">
        <v>895</v>
      </c>
      <c r="BR2534" s="2" t="s">
        <v>83</v>
      </c>
      <c r="BS2534" s="3">
        <v>42670</v>
      </c>
      <c r="BT2534" s="4">
        <v>0.30972222222222223</v>
      </c>
      <c r="BU2534" s="2" t="s">
        <v>2198</v>
      </c>
      <c r="BV2534" s="2" t="s">
        <v>85</v>
      </c>
      <c r="BW2534" s="2"/>
      <c r="BX2534" s="2"/>
      <c r="BY2534" s="2">
        <v>8826.6</v>
      </c>
      <c r="BZ2534" s="2"/>
      <c r="CA2534" s="2"/>
      <c r="CB2534" s="2"/>
      <c r="CC2534" s="2" t="s">
        <v>99</v>
      </c>
      <c r="CD2534" s="2">
        <v>6012</v>
      </c>
      <c r="CE2534" s="2" t="s">
        <v>1350</v>
      </c>
      <c r="CF2534" s="5">
        <v>42671</v>
      </c>
      <c r="CG2534" s="2"/>
      <c r="CH2534" s="2"/>
      <c r="CI2534" s="2">
        <v>1</v>
      </c>
      <c r="CJ2534" s="2">
        <v>1</v>
      </c>
      <c r="CK2534" s="2">
        <v>21</v>
      </c>
      <c r="CL2534" s="2" t="s">
        <v>88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"FES1162509378"</f>
        <v>FES1162509378</v>
      </c>
      <c r="F2535" s="3">
        <v>42669</v>
      </c>
      <c r="G2535" s="2">
        <v>201704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143</v>
      </c>
      <c r="M2535" s="2" t="s">
        <v>144</v>
      </c>
      <c r="N2535" s="2" t="s">
        <v>317</v>
      </c>
      <c r="O2535" s="2" t="s">
        <v>96</v>
      </c>
      <c r="P2535" s="2" t="str">
        <f>"2170532560                    "</f>
        <v xml:space="preserve">2170532560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5.81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2.5</v>
      </c>
      <c r="BJ2535" s="2">
        <v>3.4</v>
      </c>
      <c r="BK2535" s="2">
        <v>3.5</v>
      </c>
      <c r="BL2535" s="2">
        <v>71.33</v>
      </c>
      <c r="BM2535" s="2">
        <v>9.99</v>
      </c>
      <c r="BN2535" s="2">
        <v>81.319999999999993</v>
      </c>
      <c r="BO2535" s="2">
        <v>81.319999999999993</v>
      </c>
      <c r="BP2535" s="2"/>
      <c r="BQ2535" s="2" t="s">
        <v>318</v>
      </c>
      <c r="BR2535" s="2" t="s">
        <v>83</v>
      </c>
      <c r="BS2535" s="3">
        <v>42670</v>
      </c>
      <c r="BT2535" s="4">
        <v>0.39930555555555558</v>
      </c>
      <c r="BU2535" s="2" t="s">
        <v>322</v>
      </c>
      <c r="BV2535" s="2"/>
      <c r="BW2535" s="2"/>
      <c r="BX2535" s="2"/>
      <c r="BY2535" s="2">
        <v>16990.400000000001</v>
      </c>
      <c r="BZ2535" s="2"/>
      <c r="CA2535" s="2"/>
      <c r="CB2535" s="2"/>
      <c r="CC2535" s="2" t="s">
        <v>144</v>
      </c>
      <c r="CD2535" s="2">
        <v>5200</v>
      </c>
      <c r="CE2535" s="2" t="s">
        <v>1350</v>
      </c>
      <c r="CF2535" s="5">
        <v>42674</v>
      </c>
      <c r="CG2535" s="2"/>
      <c r="CH2535" s="2"/>
      <c r="CI2535" s="2">
        <v>0</v>
      </c>
      <c r="CJ2535" s="2">
        <v>0</v>
      </c>
      <c r="CK2535" s="2">
        <v>21</v>
      </c>
      <c r="CL2535" s="2" t="s">
        <v>88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"FES1162509400"</f>
        <v>FES1162509400</v>
      </c>
      <c r="F2536" s="3">
        <v>42669</v>
      </c>
      <c r="G2536" s="2">
        <v>201704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98</v>
      </c>
      <c r="M2536" s="2" t="s">
        <v>99</v>
      </c>
      <c r="N2536" s="2" t="s">
        <v>133</v>
      </c>
      <c r="O2536" s="2" t="s">
        <v>96</v>
      </c>
      <c r="P2536" s="2" t="str">
        <f>"2170532583                    "</f>
        <v xml:space="preserve">2170532583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32.340000000000003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11.8</v>
      </c>
      <c r="BJ2536" s="2">
        <v>19.399999999999999</v>
      </c>
      <c r="BK2536" s="2">
        <v>19.5</v>
      </c>
      <c r="BL2536" s="2">
        <v>397.38</v>
      </c>
      <c r="BM2536" s="2">
        <v>55.63</v>
      </c>
      <c r="BN2536" s="2">
        <v>453.01</v>
      </c>
      <c r="BO2536" s="2">
        <v>453.01</v>
      </c>
      <c r="BP2536" s="2"/>
      <c r="BQ2536" s="2" t="s">
        <v>134</v>
      </c>
      <c r="BR2536" s="2" t="s">
        <v>83</v>
      </c>
      <c r="BS2536" s="3">
        <v>42670</v>
      </c>
      <c r="BT2536" s="4">
        <v>0.34027777777777773</v>
      </c>
      <c r="BU2536" s="2" t="s">
        <v>562</v>
      </c>
      <c r="BV2536" s="2" t="s">
        <v>85</v>
      </c>
      <c r="BW2536" s="2"/>
      <c r="BX2536" s="2"/>
      <c r="BY2536" s="2">
        <v>97189.09</v>
      </c>
      <c r="BZ2536" s="2"/>
      <c r="CA2536" s="2" t="s">
        <v>437</v>
      </c>
      <c r="CB2536" s="2"/>
      <c r="CC2536" s="2" t="s">
        <v>99</v>
      </c>
      <c r="CD2536" s="2">
        <v>6001</v>
      </c>
      <c r="CE2536" s="2" t="s">
        <v>86</v>
      </c>
      <c r="CF2536" s="5">
        <v>42670</v>
      </c>
      <c r="CG2536" s="2"/>
      <c r="CH2536" s="2"/>
      <c r="CI2536" s="2">
        <v>1</v>
      </c>
      <c r="CJ2536" s="2">
        <v>1</v>
      </c>
      <c r="CK2536" s="2">
        <v>21</v>
      </c>
      <c r="CL2536" s="2" t="s">
        <v>88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"FES1162509471"</f>
        <v>FES1162509471</v>
      </c>
      <c r="F2537" s="3">
        <v>42669</v>
      </c>
      <c r="G2537" s="2">
        <v>201704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98</v>
      </c>
      <c r="M2537" s="2" t="s">
        <v>99</v>
      </c>
      <c r="N2537" s="2" t="s">
        <v>176</v>
      </c>
      <c r="O2537" s="2" t="s">
        <v>96</v>
      </c>
      <c r="P2537" s="2" t="str">
        <f>"2170532647                    "</f>
        <v xml:space="preserve">2170532647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5.81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3.2</v>
      </c>
      <c r="BK2537" s="2">
        <v>3.5</v>
      </c>
      <c r="BL2537" s="2">
        <v>71.33</v>
      </c>
      <c r="BM2537" s="2">
        <v>9.99</v>
      </c>
      <c r="BN2537" s="2">
        <v>81.319999999999993</v>
      </c>
      <c r="BO2537" s="2">
        <v>81.319999999999993</v>
      </c>
      <c r="BP2537" s="2"/>
      <c r="BQ2537" s="2" t="s">
        <v>91</v>
      </c>
      <c r="BR2537" s="2" t="s">
        <v>83</v>
      </c>
      <c r="BS2537" s="3">
        <v>42670</v>
      </c>
      <c r="BT2537" s="4">
        <v>0.35069444444444442</v>
      </c>
      <c r="BU2537" s="2" t="s">
        <v>554</v>
      </c>
      <c r="BV2537" s="2" t="s">
        <v>85</v>
      </c>
      <c r="BW2537" s="2"/>
      <c r="BX2537" s="2"/>
      <c r="BY2537" s="2">
        <v>15924.48</v>
      </c>
      <c r="BZ2537" s="2"/>
      <c r="CA2537" s="2"/>
      <c r="CB2537" s="2"/>
      <c r="CC2537" s="2" t="s">
        <v>99</v>
      </c>
      <c r="CD2537" s="2">
        <v>6020</v>
      </c>
      <c r="CE2537" s="2" t="s">
        <v>1350</v>
      </c>
      <c r="CF2537" s="5">
        <v>42671</v>
      </c>
      <c r="CG2537" s="2"/>
      <c r="CH2537" s="2"/>
      <c r="CI2537" s="2">
        <v>1</v>
      </c>
      <c r="CJ2537" s="2">
        <v>1</v>
      </c>
      <c r="CK2537" s="2">
        <v>21</v>
      </c>
      <c r="CL2537" s="2" t="s">
        <v>88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"FES1162509318"</f>
        <v>FES1162509318</v>
      </c>
      <c r="F2538" s="3">
        <v>42669</v>
      </c>
      <c r="G2538" s="2">
        <v>201704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160</v>
      </c>
      <c r="M2538" s="2" t="s">
        <v>161</v>
      </c>
      <c r="N2538" s="2" t="s">
        <v>455</v>
      </c>
      <c r="O2538" s="2" t="s">
        <v>96</v>
      </c>
      <c r="P2538" s="2" t="str">
        <f>"2170527981                    "</f>
        <v xml:space="preserve">2170527981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56.39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25.8</v>
      </c>
      <c r="BJ2538" s="2">
        <v>34</v>
      </c>
      <c r="BK2538" s="2">
        <v>34</v>
      </c>
      <c r="BL2538" s="2">
        <v>692.87</v>
      </c>
      <c r="BM2538" s="2">
        <v>97</v>
      </c>
      <c r="BN2538" s="2">
        <v>789.87</v>
      </c>
      <c r="BO2538" s="2">
        <v>789.87</v>
      </c>
      <c r="BP2538" s="2"/>
      <c r="BQ2538" s="2" t="s">
        <v>82</v>
      </c>
      <c r="BR2538" s="2" t="s">
        <v>83</v>
      </c>
      <c r="BS2538" s="3">
        <v>42670</v>
      </c>
      <c r="BT2538" s="4">
        <v>0.41666666666666669</v>
      </c>
      <c r="BU2538" s="2" t="s">
        <v>1522</v>
      </c>
      <c r="BV2538" s="2" t="s">
        <v>85</v>
      </c>
      <c r="BW2538" s="2"/>
      <c r="BX2538" s="2"/>
      <c r="BY2538" s="2">
        <v>169947.5</v>
      </c>
      <c r="BZ2538" s="2"/>
      <c r="CA2538" s="2"/>
      <c r="CB2538" s="2"/>
      <c r="CC2538" s="2" t="s">
        <v>161</v>
      </c>
      <c r="CD2538" s="2">
        <v>7460</v>
      </c>
      <c r="CE2538" s="2" t="s">
        <v>86</v>
      </c>
      <c r="CF2538" s="5">
        <v>42671</v>
      </c>
      <c r="CG2538" s="2"/>
      <c r="CH2538" s="2"/>
      <c r="CI2538" s="2">
        <v>1</v>
      </c>
      <c r="CJ2538" s="2">
        <v>1</v>
      </c>
      <c r="CK2538" s="2">
        <v>21</v>
      </c>
      <c r="CL2538" s="2" t="s">
        <v>88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"FES1162509509"</f>
        <v>FES1162509509</v>
      </c>
      <c r="F2539" s="3">
        <v>42669</v>
      </c>
      <c r="G2539" s="2">
        <v>201704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1380</v>
      </c>
      <c r="M2539" s="2" t="s">
        <v>1381</v>
      </c>
      <c r="N2539" s="2" t="s">
        <v>2385</v>
      </c>
      <c r="O2539" s="2" t="s">
        <v>96</v>
      </c>
      <c r="P2539" s="2" t="str">
        <f>"2170532683                    "</f>
        <v xml:space="preserve">2170532683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23.84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7.9</v>
      </c>
      <c r="BJ2539" s="2">
        <v>3.3</v>
      </c>
      <c r="BK2539" s="2">
        <v>8</v>
      </c>
      <c r="BL2539" s="2">
        <v>292.94</v>
      </c>
      <c r="BM2539" s="2">
        <v>41.01</v>
      </c>
      <c r="BN2539" s="2">
        <v>333.95</v>
      </c>
      <c r="BO2539" s="2">
        <v>333.95</v>
      </c>
      <c r="BP2539" s="2"/>
      <c r="BQ2539" s="2" t="s">
        <v>82</v>
      </c>
      <c r="BR2539" s="2" t="s">
        <v>83</v>
      </c>
      <c r="BS2539" s="3">
        <v>42670</v>
      </c>
      <c r="BT2539" s="4">
        <v>0.4375</v>
      </c>
      <c r="BU2539" s="2" t="s">
        <v>2407</v>
      </c>
      <c r="BV2539" s="2" t="s">
        <v>85</v>
      </c>
      <c r="BW2539" s="2"/>
      <c r="BX2539" s="2"/>
      <c r="BY2539" s="2">
        <v>16624.25</v>
      </c>
      <c r="BZ2539" s="2"/>
      <c r="CA2539" s="2"/>
      <c r="CB2539" s="2"/>
      <c r="CC2539" s="2" t="s">
        <v>1381</v>
      </c>
      <c r="CD2539" s="2">
        <v>4339</v>
      </c>
      <c r="CE2539" s="2" t="s">
        <v>86</v>
      </c>
      <c r="CF2539" s="5">
        <v>42671</v>
      </c>
      <c r="CG2539" s="2"/>
      <c r="CH2539" s="2"/>
      <c r="CI2539" s="2">
        <v>1</v>
      </c>
      <c r="CJ2539" s="2">
        <v>1</v>
      </c>
      <c r="CK2539" s="2">
        <v>23</v>
      </c>
      <c r="CL2539" s="2" t="s">
        <v>88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"FES1162509523"</f>
        <v>FES1162509523</v>
      </c>
      <c r="F2540" s="3">
        <v>42669</v>
      </c>
      <c r="G2540" s="2">
        <v>201704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148</v>
      </c>
      <c r="M2540" s="2" t="s">
        <v>149</v>
      </c>
      <c r="N2540" s="2" t="s">
        <v>242</v>
      </c>
      <c r="O2540" s="2" t="s">
        <v>96</v>
      </c>
      <c r="P2540" s="2" t="str">
        <f>"2170532707                    "</f>
        <v xml:space="preserve">2170532707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3.32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1.3</v>
      </c>
      <c r="BJ2540" s="2">
        <v>2</v>
      </c>
      <c r="BK2540" s="2">
        <v>2</v>
      </c>
      <c r="BL2540" s="2">
        <v>40.76</v>
      </c>
      <c r="BM2540" s="2">
        <v>5.71</v>
      </c>
      <c r="BN2540" s="2">
        <v>46.47</v>
      </c>
      <c r="BO2540" s="2">
        <v>46.47</v>
      </c>
      <c r="BP2540" s="2"/>
      <c r="BQ2540" s="2" t="s">
        <v>91</v>
      </c>
      <c r="BR2540" s="2" t="s">
        <v>83</v>
      </c>
      <c r="BS2540" s="3">
        <v>42670</v>
      </c>
      <c r="BT2540" s="4">
        <v>0.4375</v>
      </c>
      <c r="BU2540" s="2" t="s">
        <v>2408</v>
      </c>
      <c r="BV2540" s="2"/>
      <c r="BW2540" s="2"/>
      <c r="BX2540" s="2"/>
      <c r="BY2540" s="2">
        <v>9976.68</v>
      </c>
      <c r="BZ2540" s="2"/>
      <c r="CA2540" s="2"/>
      <c r="CB2540" s="2"/>
      <c r="CC2540" s="2" t="s">
        <v>149</v>
      </c>
      <c r="CD2540" s="2">
        <v>4001</v>
      </c>
      <c r="CE2540" s="2" t="s">
        <v>86</v>
      </c>
      <c r="CF2540" s="5">
        <v>42671</v>
      </c>
      <c r="CG2540" s="2"/>
      <c r="CH2540" s="2"/>
      <c r="CI2540" s="2">
        <v>0</v>
      </c>
      <c r="CJ2540" s="2">
        <v>0</v>
      </c>
      <c r="CK2540" s="2">
        <v>21</v>
      </c>
      <c r="CL2540" s="2" t="s">
        <v>88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"FES1162509357"</f>
        <v>FES1162509357</v>
      </c>
      <c r="F2541" s="3">
        <v>42669</v>
      </c>
      <c r="G2541" s="2">
        <v>201704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218</v>
      </c>
      <c r="M2541" s="2" t="s">
        <v>219</v>
      </c>
      <c r="N2541" s="2" t="s">
        <v>1694</v>
      </c>
      <c r="O2541" s="2" t="s">
        <v>96</v>
      </c>
      <c r="P2541" s="2" t="str">
        <f>"2170530493                    "</f>
        <v xml:space="preserve">2170530493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3.32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1.2</v>
      </c>
      <c r="BJ2541" s="2">
        <v>1.8</v>
      </c>
      <c r="BK2541" s="2">
        <v>2</v>
      </c>
      <c r="BL2541" s="2">
        <v>40.76</v>
      </c>
      <c r="BM2541" s="2">
        <v>5.71</v>
      </c>
      <c r="BN2541" s="2">
        <v>46.47</v>
      </c>
      <c r="BO2541" s="2">
        <v>46.47</v>
      </c>
      <c r="BP2541" s="2"/>
      <c r="BQ2541" s="2" t="s">
        <v>1695</v>
      </c>
      <c r="BR2541" s="2" t="s">
        <v>83</v>
      </c>
      <c r="BS2541" s="3">
        <v>42670</v>
      </c>
      <c r="BT2541" s="4">
        <v>0.39027777777777778</v>
      </c>
      <c r="BU2541" s="2" t="s">
        <v>2409</v>
      </c>
      <c r="BV2541" s="2" t="s">
        <v>85</v>
      </c>
      <c r="BW2541" s="2"/>
      <c r="BX2541" s="2"/>
      <c r="BY2541" s="2">
        <v>8794.7900000000009</v>
      </c>
      <c r="BZ2541" s="2"/>
      <c r="CA2541" s="2"/>
      <c r="CB2541" s="2"/>
      <c r="CC2541" s="2" t="s">
        <v>219</v>
      </c>
      <c r="CD2541" s="2">
        <v>7599</v>
      </c>
      <c r="CE2541" s="2" t="s">
        <v>86</v>
      </c>
      <c r="CF2541" s="5">
        <v>42671</v>
      </c>
      <c r="CG2541" s="2"/>
      <c r="CH2541" s="2"/>
      <c r="CI2541" s="2">
        <v>1</v>
      </c>
      <c r="CJ2541" s="2">
        <v>1</v>
      </c>
      <c r="CK2541" s="2">
        <v>21</v>
      </c>
      <c r="CL2541" s="2" t="s">
        <v>88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"FES1162509501"</f>
        <v>FES1162509501</v>
      </c>
      <c r="F2542" s="3">
        <v>42669</v>
      </c>
      <c r="G2542" s="2">
        <v>201704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171</v>
      </c>
      <c r="M2542" s="2" t="s">
        <v>172</v>
      </c>
      <c r="N2542" s="2" t="s">
        <v>429</v>
      </c>
      <c r="O2542" s="2" t="s">
        <v>96</v>
      </c>
      <c r="P2542" s="2" t="str">
        <f>"2170529780                    "</f>
        <v xml:space="preserve">2170529780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26.54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16</v>
      </c>
      <c r="BJ2542" s="2">
        <v>9.1</v>
      </c>
      <c r="BK2542" s="2">
        <v>16</v>
      </c>
      <c r="BL2542" s="2">
        <v>326.06</v>
      </c>
      <c r="BM2542" s="2">
        <v>45.65</v>
      </c>
      <c r="BN2542" s="2">
        <v>371.71</v>
      </c>
      <c r="BO2542" s="2">
        <v>371.71</v>
      </c>
      <c r="BP2542" s="2"/>
      <c r="BQ2542" s="2" t="s">
        <v>430</v>
      </c>
      <c r="BR2542" s="2" t="s">
        <v>83</v>
      </c>
      <c r="BS2542" s="3">
        <v>42670</v>
      </c>
      <c r="BT2542" s="4">
        <v>0.40972222222222227</v>
      </c>
      <c r="BU2542" s="2" t="s">
        <v>554</v>
      </c>
      <c r="BV2542" s="2" t="s">
        <v>85</v>
      </c>
      <c r="BW2542" s="2"/>
      <c r="BX2542" s="2"/>
      <c r="BY2542" s="2">
        <v>45308.81</v>
      </c>
      <c r="BZ2542" s="2"/>
      <c r="CA2542" s="2"/>
      <c r="CB2542" s="2"/>
      <c r="CC2542" s="2" t="s">
        <v>172</v>
      </c>
      <c r="CD2542" s="2">
        <v>6220</v>
      </c>
      <c r="CE2542" s="2" t="s">
        <v>86</v>
      </c>
      <c r="CF2542" s="5">
        <v>42671</v>
      </c>
      <c r="CG2542" s="2"/>
      <c r="CH2542" s="2"/>
      <c r="CI2542" s="2">
        <v>1</v>
      </c>
      <c r="CJ2542" s="2">
        <v>1</v>
      </c>
      <c r="CK2542" s="2">
        <v>21</v>
      </c>
      <c r="CL2542" s="2" t="s">
        <v>88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"FES1162509512"</f>
        <v>FES1162509512</v>
      </c>
      <c r="F2543" s="3">
        <v>42669</v>
      </c>
      <c r="G2543" s="2">
        <v>201704</v>
      </c>
      <c r="H2543" s="2" t="s">
        <v>74</v>
      </c>
      <c r="I2543" s="2" t="s">
        <v>75</v>
      </c>
      <c r="J2543" s="2" t="s">
        <v>76</v>
      </c>
      <c r="K2543" s="2" t="s">
        <v>77</v>
      </c>
      <c r="L2543" s="2" t="s">
        <v>143</v>
      </c>
      <c r="M2543" s="2" t="s">
        <v>144</v>
      </c>
      <c r="N2543" s="2" t="s">
        <v>1018</v>
      </c>
      <c r="O2543" s="2" t="s">
        <v>96</v>
      </c>
      <c r="P2543" s="2" t="str">
        <f>"2170532689                    "</f>
        <v xml:space="preserve">2170532689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8.2899999999999991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4.5999999999999996</v>
      </c>
      <c r="BJ2543" s="2">
        <v>1.8</v>
      </c>
      <c r="BK2543" s="2">
        <v>5</v>
      </c>
      <c r="BL2543" s="2">
        <v>101.89</v>
      </c>
      <c r="BM2543" s="2">
        <v>14.26</v>
      </c>
      <c r="BN2543" s="2">
        <v>116.15</v>
      </c>
      <c r="BO2543" s="2">
        <v>116.15</v>
      </c>
      <c r="BP2543" s="2"/>
      <c r="BQ2543" s="2" t="s">
        <v>91</v>
      </c>
      <c r="BR2543" s="2" t="s">
        <v>83</v>
      </c>
      <c r="BS2543" s="3">
        <v>42670</v>
      </c>
      <c r="BT2543" s="4">
        <v>0.41666666666666669</v>
      </c>
      <c r="BU2543" s="2" t="s">
        <v>1991</v>
      </c>
      <c r="BV2543" s="2"/>
      <c r="BW2543" s="2"/>
      <c r="BX2543" s="2"/>
      <c r="BY2543" s="2">
        <v>9247.69</v>
      </c>
      <c r="BZ2543" s="2"/>
      <c r="CA2543" s="2"/>
      <c r="CB2543" s="2"/>
      <c r="CC2543" s="2" t="s">
        <v>144</v>
      </c>
      <c r="CD2543" s="2">
        <v>5201</v>
      </c>
      <c r="CE2543" s="2" t="s">
        <v>86</v>
      </c>
      <c r="CF2543" s="5">
        <v>42674</v>
      </c>
      <c r="CG2543" s="2"/>
      <c r="CH2543" s="2"/>
      <c r="CI2543" s="2">
        <v>0</v>
      </c>
      <c r="CJ2543" s="2">
        <v>0</v>
      </c>
      <c r="CK2543" s="2">
        <v>21</v>
      </c>
      <c r="CL2543" s="2" t="s">
        <v>88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"FES1162509402"</f>
        <v>FES1162509402</v>
      </c>
      <c r="F2544" s="3">
        <v>42669</v>
      </c>
      <c r="G2544" s="2">
        <v>201704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160</v>
      </c>
      <c r="M2544" s="2" t="s">
        <v>161</v>
      </c>
      <c r="N2544" s="2" t="s">
        <v>357</v>
      </c>
      <c r="O2544" s="2" t="s">
        <v>96</v>
      </c>
      <c r="P2544" s="2" t="str">
        <f>"2170532585                    "</f>
        <v xml:space="preserve">2170532585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8.2899999999999991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4.8</v>
      </c>
      <c r="BJ2544" s="2">
        <v>2.2000000000000002</v>
      </c>
      <c r="BK2544" s="2">
        <v>5</v>
      </c>
      <c r="BL2544" s="2">
        <v>101.89</v>
      </c>
      <c r="BM2544" s="2">
        <v>14.26</v>
      </c>
      <c r="BN2544" s="2">
        <v>116.15</v>
      </c>
      <c r="BO2544" s="2">
        <v>116.15</v>
      </c>
      <c r="BP2544" s="2"/>
      <c r="BQ2544" s="2" t="s">
        <v>358</v>
      </c>
      <c r="BR2544" s="2" t="s">
        <v>83</v>
      </c>
      <c r="BS2544" s="3">
        <v>42670</v>
      </c>
      <c r="BT2544" s="4">
        <v>0.41666666666666669</v>
      </c>
      <c r="BU2544" s="2" t="s">
        <v>2380</v>
      </c>
      <c r="BV2544" s="2" t="s">
        <v>85</v>
      </c>
      <c r="BW2544" s="2"/>
      <c r="BX2544" s="2"/>
      <c r="BY2544" s="2">
        <v>10908</v>
      </c>
      <c r="BZ2544" s="2"/>
      <c r="CA2544" s="2"/>
      <c r="CB2544" s="2"/>
      <c r="CC2544" s="2" t="s">
        <v>161</v>
      </c>
      <c r="CD2544" s="2">
        <v>7441</v>
      </c>
      <c r="CE2544" s="2" t="s">
        <v>86</v>
      </c>
      <c r="CF2544" s="5">
        <v>42671</v>
      </c>
      <c r="CG2544" s="2"/>
      <c r="CH2544" s="2"/>
      <c r="CI2544" s="2">
        <v>1</v>
      </c>
      <c r="CJ2544" s="2">
        <v>1</v>
      </c>
      <c r="CK2544" s="2">
        <v>21</v>
      </c>
      <c r="CL2544" s="2" t="s">
        <v>88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"FES1162509538"</f>
        <v>FES1162509538</v>
      </c>
      <c r="F2545" s="3">
        <v>42669</v>
      </c>
      <c r="G2545" s="2">
        <v>201704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93</v>
      </c>
      <c r="M2545" s="2" t="s">
        <v>94</v>
      </c>
      <c r="N2545" s="2" t="s">
        <v>536</v>
      </c>
      <c r="O2545" s="2" t="s">
        <v>96</v>
      </c>
      <c r="P2545" s="2" t="str">
        <f>"2170529078                    "</f>
        <v xml:space="preserve">2170529078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24.05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14.5</v>
      </c>
      <c r="BJ2545" s="2">
        <v>10.9</v>
      </c>
      <c r="BK2545" s="2">
        <v>14.5</v>
      </c>
      <c r="BL2545" s="2">
        <v>295.49</v>
      </c>
      <c r="BM2545" s="2">
        <v>41.37</v>
      </c>
      <c r="BN2545" s="2">
        <v>336.86</v>
      </c>
      <c r="BO2545" s="2">
        <v>336.86</v>
      </c>
      <c r="BP2545" s="2"/>
      <c r="BQ2545" s="2" t="s">
        <v>537</v>
      </c>
      <c r="BR2545" s="2" t="s">
        <v>83</v>
      </c>
      <c r="BS2545" s="3">
        <v>42670</v>
      </c>
      <c r="BT2545" s="4">
        <v>0.4375</v>
      </c>
      <c r="BU2545" s="2" t="s">
        <v>852</v>
      </c>
      <c r="BV2545" s="2" t="s">
        <v>85</v>
      </c>
      <c r="BW2545" s="2"/>
      <c r="BX2545" s="2"/>
      <c r="BY2545" s="2">
        <v>54334.18</v>
      </c>
      <c r="BZ2545" s="2"/>
      <c r="CA2545" s="2"/>
      <c r="CB2545" s="2"/>
      <c r="CC2545" s="2" t="s">
        <v>94</v>
      </c>
      <c r="CD2545" s="2">
        <v>4300</v>
      </c>
      <c r="CE2545" s="2" t="s">
        <v>86</v>
      </c>
      <c r="CF2545" s="5">
        <v>42671</v>
      </c>
      <c r="CG2545" s="2"/>
      <c r="CH2545" s="2"/>
      <c r="CI2545" s="2">
        <v>1</v>
      </c>
      <c r="CJ2545" s="2">
        <v>1</v>
      </c>
      <c r="CK2545" s="2">
        <v>21</v>
      </c>
      <c r="CL2545" s="2" t="s">
        <v>88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"FES1162509563"</f>
        <v>FES1162509563</v>
      </c>
      <c r="F2546" s="3">
        <v>42669</v>
      </c>
      <c r="G2546" s="2">
        <v>201704</v>
      </c>
      <c r="H2546" s="2" t="s">
        <v>74</v>
      </c>
      <c r="I2546" s="2" t="s">
        <v>75</v>
      </c>
      <c r="J2546" s="2" t="s">
        <v>76</v>
      </c>
      <c r="K2546" s="2" t="s">
        <v>77</v>
      </c>
      <c r="L2546" s="2" t="s">
        <v>269</v>
      </c>
      <c r="M2546" s="2" t="s">
        <v>270</v>
      </c>
      <c r="N2546" s="2" t="s">
        <v>523</v>
      </c>
      <c r="O2546" s="2" t="s">
        <v>96</v>
      </c>
      <c r="P2546" s="2" t="str">
        <f>"2170532741                    "</f>
        <v xml:space="preserve">2170532741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5.81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1.6</v>
      </c>
      <c r="BJ2546" s="2">
        <v>3.4</v>
      </c>
      <c r="BK2546" s="2">
        <v>3.5</v>
      </c>
      <c r="BL2546" s="2">
        <v>71.33</v>
      </c>
      <c r="BM2546" s="2">
        <v>9.99</v>
      </c>
      <c r="BN2546" s="2">
        <v>81.319999999999993</v>
      </c>
      <c r="BO2546" s="2">
        <v>81.319999999999993</v>
      </c>
      <c r="BP2546" s="2"/>
      <c r="BQ2546" s="2" t="s">
        <v>524</v>
      </c>
      <c r="BR2546" s="2" t="s">
        <v>83</v>
      </c>
      <c r="BS2546" s="3">
        <v>42670</v>
      </c>
      <c r="BT2546" s="4">
        <v>0.35625000000000001</v>
      </c>
      <c r="BU2546" s="2" t="s">
        <v>525</v>
      </c>
      <c r="BV2546" s="2" t="s">
        <v>85</v>
      </c>
      <c r="BW2546" s="2"/>
      <c r="BX2546" s="2"/>
      <c r="BY2546" s="2">
        <v>16753.59</v>
      </c>
      <c r="BZ2546" s="2"/>
      <c r="CA2546" s="2"/>
      <c r="CB2546" s="2"/>
      <c r="CC2546" s="2" t="s">
        <v>270</v>
      </c>
      <c r="CD2546" s="2">
        <v>3610</v>
      </c>
      <c r="CE2546" s="2" t="s">
        <v>86</v>
      </c>
      <c r="CF2546" s="5">
        <v>42671</v>
      </c>
      <c r="CG2546" s="2"/>
      <c r="CH2546" s="2"/>
      <c r="CI2546" s="2">
        <v>1</v>
      </c>
      <c r="CJ2546" s="2">
        <v>1</v>
      </c>
      <c r="CK2546" s="2">
        <v>21</v>
      </c>
      <c r="CL2546" s="2" t="s">
        <v>88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"FES1162509535"</f>
        <v>FES1162509535</v>
      </c>
      <c r="F2547" s="3">
        <v>42669</v>
      </c>
      <c r="G2547" s="2">
        <v>201704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98</v>
      </c>
      <c r="M2547" s="2" t="s">
        <v>99</v>
      </c>
      <c r="N2547" s="2" t="s">
        <v>109</v>
      </c>
      <c r="O2547" s="2" t="s">
        <v>96</v>
      </c>
      <c r="P2547" s="2" t="str">
        <f>"2170527969                    "</f>
        <v xml:space="preserve">2170527969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9.9499999999999993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3.3</v>
      </c>
      <c r="BJ2547" s="2">
        <v>5.6</v>
      </c>
      <c r="BK2547" s="2">
        <v>6</v>
      </c>
      <c r="BL2547" s="2">
        <v>122.27</v>
      </c>
      <c r="BM2547" s="2">
        <v>17.12</v>
      </c>
      <c r="BN2547" s="2">
        <v>139.38999999999999</v>
      </c>
      <c r="BO2547" s="2">
        <v>139.38999999999999</v>
      </c>
      <c r="BP2547" s="2"/>
      <c r="BQ2547" s="2" t="s">
        <v>110</v>
      </c>
      <c r="BR2547" s="2" t="s">
        <v>83</v>
      </c>
      <c r="BS2547" s="3">
        <v>42670</v>
      </c>
      <c r="BT2547" s="4">
        <v>0.375</v>
      </c>
      <c r="BU2547" s="2" t="s">
        <v>110</v>
      </c>
      <c r="BV2547" s="2" t="s">
        <v>85</v>
      </c>
      <c r="BW2547" s="2"/>
      <c r="BX2547" s="2"/>
      <c r="BY2547" s="2">
        <v>27839.37</v>
      </c>
      <c r="BZ2547" s="2"/>
      <c r="CA2547" s="2"/>
      <c r="CB2547" s="2"/>
      <c r="CC2547" s="2" t="s">
        <v>99</v>
      </c>
      <c r="CD2547" s="2">
        <v>6001</v>
      </c>
      <c r="CE2547" s="2" t="s">
        <v>86</v>
      </c>
      <c r="CF2547" s="5">
        <v>42671</v>
      </c>
      <c r="CG2547" s="2"/>
      <c r="CH2547" s="2"/>
      <c r="CI2547" s="2">
        <v>1</v>
      </c>
      <c r="CJ2547" s="2">
        <v>1</v>
      </c>
      <c r="CK2547" s="2">
        <v>21</v>
      </c>
      <c r="CL2547" s="2" t="s">
        <v>88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"FES1162509568"</f>
        <v>FES1162509568</v>
      </c>
      <c r="F2548" s="3">
        <v>42669</v>
      </c>
      <c r="G2548" s="2">
        <v>201704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207</v>
      </c>
      <c r="M2548" s="2" t="s">
        <v>208</v>
      </c>
      <c r="N2548" s="2" t="s">
        <v>651</v>
      </c>
      <c r="O2548" s="2" t="s">
        <v>96</v>
      </c>
      <c r="P2548" s="2" t="str">
        <f>"2170527967                    "</f>
        <v xml:space="preserve">2170527967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15.76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9.1999999999999993</v>
      </c>
      <c r="BJ2548" s="2">
        <v>8.4</v>
      </c>
      <c r="BK2548" s="2">
        <v>9.5</v>
      </c>
      <c r="BL2548" s="2">
        <v>193.6</v>
      </c>
      <c r="BM2548" s="2">
        <v>27.1</v>
      </c>
      <c r="BN2548" s="2">
        <v>220.7</v>
      </c>
      <c r="BO2548" s="2">
        <v>220.7</v>
      </c>
      <c r="BP2548" s="2"/>
      <c r="BQ2548" s="2" t="s">
        <v>652</v>
      </c>
      <c r="BR2548" s="2" t="s">
        <v>83</v>
      </c>
      <c r="BS2548" s="3">
        <v>42670</v>
      </c>
      <c r="BT2548" s="4">
        <v>0.39583333333333331</v>
      </c>
      <c r="BU2548" s="2" t="s">
        <v>2410</v>
      </c>
      <c r="BV2548" s="2" t="s">
        <v>85</v>
      </c>
      <c r="BW2548" s="2"/>
      <c r="BX2548" s="2"/>
      <c r="BY2548" s="2">
        <v>41776.29</v>
      </c>
      <c r="BZ2548" s="2"/>
      <c r="CA2548" s="2"/>
      <c r="CB2548" s="2"/>
      <c r="CC2548" s="2" t="s">
        <v>208</v>
      </c>
      <c r="CD2548" s="2">
        <v>4133</v>
      </c>
      <c r="CE2548" s="2" t="s">
        <v>86</v>
      </c>
      <c r="CF2548" s="5">
        <v>42671</v>
      </c>
      <c r="CG2548" s="2"/>
      <c r="CH2548" s="2"/>
      <c r="CI2548" s="2">
        <v>1</v>
      </c>
      <c r="CJ2548" s="2">
        <v>1</v>
      </c>
      <c r="CK2548" s="2">
        <v>21</v>
      </c>
      <c r="CL2548" s="2" t="s">
        <v>88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"FES1162509495"</f>
        <v>FES1162509495</v>
      </c>
      <c r="F2549" s="3">
        <v>42669</v>
      </c>
      <c r="G2549" s="2">
        <v>201704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98</v>
      </c>
      <c r="M2549" s="2" t="s">
        <v>99</v>
      </c>
      <c r="N2549" s="2" t="s">
        <v>1318</v>
      </c>
      <c r="O2549" s="2" t="s">
        <v>96</v>
      </c>
      <c r="P2549" s="2" t="str">
        <f>"2170532677                    "</f>
        <v xml:space="preserve">2170532677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30.68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9.3000000000000007</v>
      </c>
      <c r="BJ2549" s="2">
        <v>18.5</v>
      </c>
      <c r="BK2549" s="2">
        <v>18.5</v>
      </c>
      <c r="BL2549" s="2">
        <v>377</v>
      </c>
      <c r="BM2549" s="2">
        <v>52.78</v>
      </c>
      <c r="BN2549" s="2">
        <v>429.78</v>
      </c>
      <c r="BO2549" s="2">
        <v>429.78</v>
      </c>
      <c r="BP2549" s="2"/>
      <c r="BQ2549" s="2" t="s">
        <v>1555</v>
      </c>
      <c r="BR2549" s="2" t="s">
        <v>83</v>
      </c>
      <c r="BS2549" s="3">
        <v>42670</v>
      </c>
      <c r="BT2549" s="4">
        <v>0.3125</v>
      </c>
      <c r="BU2549" s="2" t="s">
        <v>2411</v>
      </c>
      <c r="BV2549" s="2" t="s">
        <v>85</v>
      </c>
      <c r="BW2549" s="2"/>
      <c r="BX2549" s="2"/>
      <c r="BY2549" s="2">
        <v>92676.69</v>
      </c>
      <c r="BZ2549" s="2"/>
      <c r="CA2549" s="2"/>
      <c r="CB2549" s="2"/>
      <c r="CC2549" s="2" t="s">
        <v>99</v>
      </c>
      <c r="CD2549" s="2">
        <v>6012</v>
      </c>
      <c r="CE2549" s="2" t="s">
        <v>86</v>
      </c>
      <c r="CF2549" s="5">
        <v>42671</v>
      </c>
      <c r="CG2549" s="2"/>
      <c r="CH2549" s="2"/>
      <c r="CI2549" s="2">
        <v>1</v>
      </c>
      <c r="CJ2549" s="2">
        <v>1</v>
      </c>
      <c r="CK2549" s="2">
        <v>21</v>
      </c>
      <c r="CL2549" s="2" t="s">
        <v>88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"FES1162509168"</f>
        <v>FES1162509168</v>
      </c>
      <c r="F2550" s="3">
        <v>42669</v>
      </c>
      <c r="G2550" s="2">
        <v>201704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898</v>
      </c>
      <c r="M2550" s="2" t="s">
        <v>899</v>
      </c>
      <c r="N2550" s="2" t="s">
        <v>2412</v>
      </c>
      <c r="O2550" s="2" t="s">
        <v>96</v>
      </c>
      <c r="P2550" s="2" t="str">
        <f>"2170531649                    "</f>
        <v xml:space="preserve">2170531649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6.63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3.7</v>
      </c>
      <c r="BJ2550" s="2">
        <v>1.2</v>
      </c>
      <c r="BK2550" s="2">
        <v>4</v>
      </c>
      <c r="BL2550" s="2">
        <v>81.510000000000005</v>
      </c>
      <c r="BM2550" s="2">
        <v>11.41</v>
      </c>
      <c r="BN2550" s="2">
        <v>92.92</v>
      </c>
      <c r="BO2550" s="2">
        <v>92.92</v>
      </c>
      <c r="BP2550" s="2"/>
      <c r="BQ2550" s="2" t="s">
        <v>2413</v>
      </c>
      <c r="BR2550" s="2" t="s">
        <v>83</v>
      </c>
      <c r="BS2550" s="3">
        <v>42670</v>
      </c>
      <c r="BT2550" s="4">
        <v>0.43958333333333338</v>
      </c>
      <c r="BU2550" s="2" t="s">
        <v>2414</v>
      </c>
      <c r="BV2550" s="2" t="s">
        <v>85</v>
      </c>
      <c r="BW2550" s="2"/>
      <c r="BX2550" s="2"/>
      <c r="BY2550" s="2">
        <v>5849.42</v>
      </c>
      <c r="BZ2550" s="2"/>
      <c r="CA2550" s="2"/>
      <c r="CB2550" s="2"/>
      <c r="CC2550" s="2" t="s">
        <v>899</v>
      </c>
      <c r="CD2550" s="2">
        <v>7655</v>
      </c>
      <c r="CE2550" s="2" t="s">
        <v>86</v>
      </c>
      <c r="CF2550" s="5">
        <v>42670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88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"FES1162509448"</f>
        <v>FES1162509448</v>
      </c>
      <c r="F2551" s="3">
        <v>42669</v>
      </c>
      <c r="G2551" s="2">
        <v>201704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148</v>
      </c>
      <c r="M2551" s="2" t="s">
        <v>149</v>
      </c>
      <c r="N2551" s="2" t="s">
        <v>815</v>
      </c>
      <c r="O2551" s="2" t="s">
        <v>96</v>
      </c>
      <c r="P2551" s="2" t="str">
        <f>"2170529829                    "</f>
        <v xml:space="preserve">2170529829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30.68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9.1999999999999993</v>
      </c>
      <c r="BJ2551" s="2">
        <v>18.2</v>
      </c>
      <c r="BK2551" s="2">
        <v>18.5</v>
      </c>
      <c r="BL2551" s="2">
        <v>377</v>
      </c>
      <c r="BM2551" s="2">
        <v>52.78</v>
      </c>
      <c r="BN2551" s="2">
        <v>429.78</v>
      </c>
      <c r="BO2551" s="2">
        <v>429.78</v>
      </c>
      <c r="BP2551" s="2"/>
      <c r="BQ2551" s="2" t="s">
        <v>91</v>
      </c>
      <c r="BR2551" s="2" t="s">
        <v>83</v>
      </c>
      <c r="BS2551" s="3">
        <v>42670</v>
      </c>
      <c r="BT2551" s="4">
        <v>0.39583333333333331</v>
      </c>
      <c r="BU2551" s="2" t="s">
        <v>2415</v>
      </c>
      <c r="BV2551" s="2" t="s">
        <v>85</v>
      </c>
      <c r="BW2551" s="2"/>
      <c r="BX2551" s="2"/>
      <c r="BY2551" s="2">
        <v>91176.98</v>
      </c>
      <c r="BZ2551" s="2"/>
      <c r="CA2551" s="2"/>
      <c r="CB2551" s="2"/>
      <c r="CC2551" s="2" t="s">
        <v>149</v>
      </c>
      <c r="CD2551" s="2">
        <v>4068</v>
      </c>
      <c r="CE2551" s="2" t="s">
        <v>86</v>
      </c>
      <c r="CF2551" s="5">
        <v>42671</v>
      </c>
      <c r="CG2551" s="2"/>
      <c r="CH2551" s="2"/>
      <c r="CI2551" s="2">
        <v>1</v>
      </c>
      <c r="CJ2551" s="2">
        <v>1</v>
      </c>
      <c r="CK2551" s="2">
        <v>21</v>
      </c>
      <c r="CL2551" s="2" t="s">
        <v>88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"080001469465"</f>
        <v>080001469465</v>
      </c>
      <c r="F2552" s="3">
        <v>42669</v>
      </c>
      <c r="G2552" s="2">
        <v>201704</v>
      </c>
      <c r="H2552" s="2" t="s">
        <v>98</v>
      </c>
      <c r="I2552" s="2" t="s">
        <v>99</v>
      </c>
      <c r="J2552" s="2" t="s">
        <v>224</v>
      </c>
      <c r="K2552" s="2" t="s">
        <v>77</v>
      </c>
      <c r="L2552" s="2" t="s">
        <v>74</v>
      </c>
      <c r="M2552" s="2" t="s">
        <v>75</v>
      </c>
      <c r="N2552" s="2" t="s">
        <v>189</v>
      </c>
      <c r="O2552" s="2" t="s">
        <v>96</v>
      </c>
      <c r="P2552" s="2" t="str">
        <f>"ZA1000594801                  "</f>
        <v xml:space="preserve">ZA1000594801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3.32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</v>
      </c>
      <c r="BJ2552" s="2">
        <v>0.2</v>
      </c>
      <c r="BK2552" s="2">
        <v>1</v>
      </c>
      <c r="BL2552" s="2">
        <v>40.76</v>
      </c>
      <c r="BM2552" s="2">
        <v>5.71</v>
      </c>
      <c r="BN2552" s="2">
        <v>46.47</v>
      </c>
      <c r="BO2552" s="2">
        <v>46.47</v>
      </c>
      <c r="BP2552" s="2" t="s">
        <v>776</v>
      </c>
      <c r="BQ2552" s="2" t="s">
        <v>381</v>
      </c>
      <c r="BR2552" s="2" t="s">
        <v>2416</v>
      </c>
      <c r="BS2552" s="3">
        <v>42670</v>
      </c>
      <c r="BT2552" s="4">
        <v>0.38541666666666669</v>
      </c>
      <c r="BU2552" s="2" t="s">
        <v>102</v>
      </c>
      <c r="BV2552" s="2" t="s">
        <v>85</v>
      </c>
      <c r="BW2552" s="2"/>
      <c r="BX2552" s="2"/>
      <c r="BY2552" s="2">
        <v>1200</v>
      </c>
      <c r="BZ2552" s="2" t="s">
        <v>27</v>
      </c>
      <c r="CA2552" s="2"/>
      <c r="CB2552" s="2"/>
      <c r="CC2552" s="2" t="s">
        <v>75</v>
      </c>
      <c r="CD2552" s="2">
        <v>1601</v>
      </c>
      <c r="CE2552" s="2" t="s">
        <v>86</v>
      </c>
      <c r="CF2552" s="5">
        <v>42671</v>
      </c>
      <c r="CG2552" s="2"/>
      <c r="CH2552" s="2"/>
      <c r="CI2552" s="2">
        <v>1</v>
      </c>
      <c r="CJ2552" s="2">
        <v>1</v>
      </c>
      <c r="CK2552" s="2">
        <v>21</v>
      </c>
      <c r="CL2552" s="2" t="s">
        <v>88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"FES1162509620"</f>
        <v>FES1162509620</v>
      </c>
      <c r="F2553" s="3">
        <v>42669</v>
      </c>
      <c r="G2553" s="2">
        <v>201704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143</v>
      </c>
      <c r="M2553" s="2" t="s">
        <v>144</v>
      </c>
      <c r="N2553" s="2" t="s">
        <v>1401</v>
      </c>
      <c r="O2553" s="2" t="s">
        <v>96</v>
      </c>
      <c r="P2553" s="2" t="str">
        <f>"2170532813                    "</f>
        <v xml:space="preserve">2170532813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3.32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0.5</v>
      </c>
      <c r="BJ2553" s="2">
        <v>0.2</v>
      </c>
      <c r="BK2553" s="2">
        <v>0.5</v>
      </c>
      <c r="BL2553" s="2">
        <v>40.76</v>
      </c>
      <c r="BM2553" s="2">
        <v>5.71</v>
      </c>
      <c r="BN2553" s="2">
        <v>46.47</v>
      </c>
      <c r="BO2553" s="2">
        <v>46.47</v>
      </c>
      <c r="BP2553" s="2"/>
      <c r="BQ2553" s="2" t="s">
        <v>91</v>
      </c>
      <c r="BR2553" s="2" t="s">
        <v>83</v>
      </c>
      <c r="BS2553" s="3">
        <v>42670</v>
      </c>
      <c r="BT2553" s="4">
        <v>0.41666666666666669</v>
      </c>
      <c r="BU2553" s="2" t="s">
        <v>2417</v>
      </c>
      <c r="BV2553" s="2" t="s">
        <v>85</v>
      </c>
      <c r="BW2553" s="2"/>
      <c r="BX2553" s="2"/>
      <c r="BY2553" s="2">
        <v>1200</v>
      </c>
      <c r="BZ2553" s="2"/>
      <c r="CA2553" s="2" t="s">
        <v>129</v>
      </c>
      <c r="CB2553" s="2"/>
      <c r="CC2553" s="2" t="s">
        <v>144</v>
      </c>
      <c r="CD2553" s="2">
        <v>5201</v>
      </c>
      <c r="CE2553" s="2" t="s">
        <v>108</v>
      </c>
      <c r="CF2553" s="5">
        <v>42674</v>
      </c>
      <c r="CG2553" s="2"/>
      <c r="CH2553" s="2"/>
      <c r="CI2553" s="2">
        <v>1</v>
      </c>
      <c r="CJ2553" s="2">
        <v>1</v>
      </c>
      <c r="CK2553" s="2">
        <v>21</v>
      </c>
      <c r="CL2553" s="2" t="s">
        <v>88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"FES1162509586"</f>
        <v>FES1162509586</v>
      </c>
      <c r="F2554" s="3">
        <v>42669</v>
      </c>
      <c r="G2554" s="2">
        <v>201704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269</v>
      </c>
      <c r="M2554" s="2" t="s">
        <v>270</v>
      </c>
      <c r="N2554" s="2" t="s">
        <v>1245</v>
      </c>
      <c r="O2554" s="2" t="s">
        <v>96</v>
      </c>
      <c r="P2554" s="2" t="str">
        <f>"2170532771                    "</f>
        <v xml:space="preserve">2170532771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4.1500000000000004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2.2000000000000002</v>
      </c>
      <c r="BJ2554" s="2">
        <v>1.6</v>
      </c>
      <c r="BK2554" s="2">
        <v>2.5</v>
      </c>
      <c r="BL2554" s="2">
        <v>50.95</v>
      </c>
      <c r="BM2554" s="2">
        <v>7.13</v>
      </c>
      <c r="BN2554" s="2">
        <v>58.08</v>
      </c>
      <c r="BO2554" s="2">
        <v>58.08</v>
      </c>
      <c r="BP2554" s="2"/>
      <c r="BQ2554" s="2" t="s">
        <v>91</v>
      </c>
      <c r="BR2554" s="2" t="s">
        <v>83</v>
      </c>
      <c r="BS2554" s="3">
        <v>42670</v>
      </c>
      <c r="BT2554" s="4">
        <v>0.37013888888888885</v>
      </c>
      <c r="BU2554" s="2" t="s">
        <v>2418</v>
      </c>
      <c r="BV2554" s="2"/>
      <c r="BW2554" s="2"/>
      <c r="BX2554" s="2"/>
      <c r="BY2554" s="2">
        <v>8117.76</v>
      </c>
      <c r="BZ2554" s="2"/>
      <c r="CA2554" s="2"/>
      <c r="CB2554" s="2"/>
      <c r="CC2554" s="2" t="s">
        <v>270</v>
      </c>
      <c r="CD2554" s="2">
        <v>4037</v>
      </c>
      <c r="CE2554" s="2" t="s">
        <v>86</v>
      </c>
      <c r="CF2554" s="5">
        <v>42671</v>
      </c>
      <c r="CG2554" s="2"/>
      <c r="CH2554" s="2"/>
      <c r="CI2554" s="2">
        <v>0</v>
      </c>
      <c r="CJ2554" s="2">
        <v>0</v>
      </c>
      <c r="CK2554" s="2">
        <v>21</v>
      </c>
      <c r="CL2554" s="2" t="s">
        <v>88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"FES1162509604"</f>
        <v>FES1162509604</v>
      </c>
      <c r="F2555" s="3">
        <v>42669</v>
      </c>
      <c r="G2555" s="2">
        <v>201704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253</v>
      </c>
      <c r="M2555" s="2" t="s">
        <v>254</v>
      </c>
      <c r="N2555" s="2" t="s">
        <v>255</v>
      </c>
      <c r="O2555" s="2" t="s">
        <v>96</v>
      </c>
      <c r="P2555" s="2" t="str">
        <f>"2170532784                    "</f>
        <v xml:space="preserve">2170532784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6.43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0.5</v>
      </c>
      <c r="BJ2555" s="2">
        <v>0.2</v>
      </c>
      <c r="BK2555" s="2">
        <v>0.5</v>
      </c>
      <c r="BL2555" s="2">
        <v>78.97</v>
      </c>
      <c r="BM2555" s="2">
        <v>11.06</v>
      </c>
      <c r="BN2555" s="2">
        <v>90.03</v>
      </c>
      <c r="BO2555" s="2">
        <v>90.03</v>
      </c>
      <c r="BP2555" s="2"/>
      <c r="BQ2555" s="2" t="s">
        <v>117</v>
      </c>
      <c r="BR2555" s="2" t="s">
        <v>83</v>
      </c>
      <c r="BS2555" s="3">
        <v>42670</v>
      </c>
      <c r="BT2555" s="4">
        <v>0.5</v>
      </c>
      <c r="BU2555" s="2" t="s">
        <v>974</v>
      </c>
      <c r="BV2555" s="2" t="s">
        <v>85</v>
      </c>
      <c r="BW2555" s="2"/>
      <c r="BX2555" s="2"/>
      <c r="BY2555" s="2">
        <v>1200</v>
      </c>
      <c r="BZ2555" s="2"/>
      <c r="CA2555" s="2"/>
      <c r="CB2555" s="2"/>
      <c r="CC2555" s="2" t="s">
        <v>254</v>
      </c>
      <c r="CD2555" s="2">
        <v>3370</v>
      </c>
      <c r="CE2555" s="2" t="s">
        <v>108</v>
      </c>
      <c r="CF2555" s="5">
        <v>42674</v>
      </c>
      <c r="CG2555" s="2"/>
      <c r="CH2555" s="2"/>
      <c r="CI2555" s="2">
        <v>3</v>
      </c>
      <c r="CJ2555" s="2">
        <v>1</v>
      </c>
      <c r="CK2555" s="2">
        <v>23</v>
      </c>
      <c r="CL2555" s="2" t="s">
        <v>88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"FES1162509607"</f>
        <v>FES1162509607</v>
      </c>
      <c r="F2556" s="3">
        <v>42669</v>
      </c>
      <c r="G2556" s="2">
        <v>201704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148</v>
      </c>
      <c r="M2556" s="2" t="s">
        <v>149</v>
      </c>
      <c r="N2556" s="2" t="s">
        <v>560</v>
      </c>
      <c r="O2556" s="2" t="s">
        <v>96</v>
      </c>
      <c r="P2556" s="2" t="str">
        <f>"2170532797                    "</f>
        <v xml:space="preserve">2170532797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3.32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0.5</v>
      </c>
      <c r="BJ2556" s="2">
        <v>0.2</v>
      </c>
      <c r="BK2556" s="2">
        <v>0.5</v>
      </c>
      <c r="BL2556" s="2">
        <v>40.76</v>
      </c>
      <c r="BM2556" s="2">
        <v>5.71</v>
      </c>
      <c r="BN2556" s="2">
        <v>46.47</v>
      </c>
      <c r="BO2556" s="2">
        <v>46.47</v>
      </c>
      <c r="BP2556" s="2"/>
      <c r="BQ2556" s="2" t="s">
        <v>91</v>
      </c>
      <c r="BR2556" s="2" t="s">
        <v>83</v>
      </c>
      <c r="BS2556" s="3">
        <v>42670</v>
      </c>
      <c r="BT2556" s="4">
        <v>0.39583333333333331</v>
      </c>
      <c r="BU2556" s="2" t="s">
        <v>1480</v>
      </c>
      <c r="BV2556" s="2"/>
      <c r="BW2556" s="2"/>
      <c r="BX2556" s="2"/>
      <c r="BY2556" s="2">
        <v>1200</v>
      </c>
      <c r="BZ2556" s="2"/>
      <c r="CA2556" s="2"/>
      <c r="CB2556" s="2"/>
      <c r="CC2556" s="2" t="s">
        <v>149</v>
      </c>
      <c r="CD2556" s="2">
        <v>4001</v>
      </c>
      <c r="CE2556" s="2" t="s">
        <v>108</v>
      </c>
      <c r="CF2556" s="5">
        <v>42675</v>
      </c>
      <c r="CG2556" s="2"/>
      <c r="CH2556" s="2"/>
      <c r="CI2556" s="2">
        <v>0</v>
      </c>
      <c r="CJ2556" s="2">
        <v>0</v>
      </c>
      <c r="CK2556" s="2">
        <v>21</v>
      </c>
      <c r="CL2556" s="2" t="s">
        <v>88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"FES1162509553"</f>
        <v>FES1162509553</v>
      </c>
      <c r="F2557" s="3">
        <v>42669</v>
      </c>
      <c r="G2557" s="2">
        <v>201704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160</v>
      </c>
      <c r="M2557" s="2" t="s">
        <v>161</v>
      </c>
      <c r="N2557" s="2" t="s">
        <v>176</v>
      </c>
      <c r="O2557" s="2" t="s">
        <v>96</v>
      </c>
      <c r="P2557" s="2" t="str">
        <f>"2170532725                    "</f>
        <v xml:space="preserve">2170532725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3.32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0.6</v>
      </c>
      <c r="BJ2557" s="2">
        <v>1.3</v>
      </c>
      <c r="BK2557" s="2">
        <v>1.5</v>
      </c>
      <c r="BL2557" s="2">
        <v>40.76</v>
      </c>
      <c r="BM2557" s="2">
        <v>5.71</v>
      </c>
      <c r="BN2557" s="2">
        <v>46.47</v>
      </c>
      <c r="BO2557" s="2">
        <v>46.47</v>
      </c>
      <c r="BP2557" s="2"/>
      <c r="BQ2557" s="2" t="s">
        <v>177</v>
      </c>
      <c r="BR2557" s="2" t="s">
        <v>83</v>
      </c>
      <c r="BS2557" s="3">
        <v>42670</v>
      </c>
      <c r="BT2557" s="4">
        <v>0.40277777777777773</v>
      </c>
      <c r="BU2557" s="2" t="s">
        <v>2419</v>
      </c>
      <c r="BV2557" s="2" t="s">
        <v>85</v>
      </c>
      <c r="BW2557" s="2"/>
      <c r="BX2557" s="2"/>
      <c r="BY2557" s="2">
        <v>6551.43</v>
      </c>
      <c r="BZ2557" s="2"/>
      <c r="CA2557" s="2"/>
      <c r="CB2557" s="2"/>
      <c r="CC2557" s="2" t="s">
        <v>161</v>
      </c>
      <c r="CD2557" s="2">
        <v>7530</v>
      </c>
      <c r="CE2557" s="2" t="s">
        <v>108</v>
      </c>
      <c r="CF2557" s="5">
        <v>42671</v>
      </c>
      <c r="CG2557" s="2"/>
      <c r="CH2557" s="2"/>
      <c r="CI2557" s="2">
        <v>1</v>
      </c>
      <c r="CJ2557" s="2">
        <v>1</v>
      </c>
      <c r="CK2557" s="2">
        <v>21</v>
      </c>
      <c r="CL2557" s="2" t="s">
        <v>88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"FES1162509549"</f>
        <v>FES1162509549</v>
      </c>
      <c r="F2558" s="3">
        <v>42669</v>
      </c>
      <c r="G2558" s="2">
        <v>201704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160</v>
      </c>
      <c r="M2558" s="2" t="s">
        <v>161</v>
      </c>
      <c r="N2558" s="2" t="s">
        <v>176</v>
      </c>
      <c r="O2558" s="2" t="s">
        <v>96</v>
      </c>
      <c r="P2558" s="2" t="str">
        <f>"2170532724                    "</f>
        <v xml:space="preserve">2170532724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3.32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0.5</v>
      </c>
      <c r="BJ2558" s="2">
        <v>0.9</v>
      </c>
      <c r="BK2558" s="2">
        <v>1</v>
      </c>
      <c r="BL2558" s="2">
        <v>40.76</v>
      </c>
      <c r="BM2558" s="2">
        <v>5.71</v>
      </c>
      <c r="BN2558" s="2">
        <v>46.47</v>
      </c>
      <c r="BO2558" s="2">
        <v>46.47</v>
      </c>
      <c r="BP2558" s="2"/>
      <c r="BQ2558" s="2" t="s">
        <v>177</v>
      </c>
      <c r="BR2558" s="2" t="s">
        <v>83</v>
      </c>
      <c r="BS2558" s="3">
        <v>42670</v>
      </c>
      <c r="BT2558" s="4">
        <v>0.4069444444444445</v>
      </c>
      <c r="BU2558" s="2" t="s">
        <v>2420</v>
      </c>
      <c r="BV2558" s="2" t="s">
        <v>85</v>
      </c>
      <c r="BW2558" s="2"/>
      <c r="BX2558" s="2"/>
      <c r="BY2558" s="2">
        <v>4516.16</v>
      </c>
      <c r="BZ2558" s="2"/>
      <c r="CA2558" s="2"/>
      <c r="CB2558" s="2"/>
      <c r="CC2558" s="2" t="s">
        <v>161</v>
      </c>
      <c r="CD2558" s="2">
        <v>7530</v>
      </c>
      <c r="CE2558" s="2" t="s">
        <v>108</v>
      </c>
      <c r="CF2558" s="5">
        <v>42671</v>
      </c>
      <c r="CG2558" s="2"/>
      <c r="CH2558" s="2"/>
      <c r="CI2558" s="2">
        <v>1</v>
      </c>
      <c r="CJ2558" s="2">
        <v>1</v>
      </c>
      <c r="CK2558" s="2">
        <v>21</v>
      </c>
      <c r="CL2558" s="2" t="s">
        <v>88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"FES1162509589"</f>
        <v>FES1162509589</v>
      </c>
      <c r="F2559" s="3">
        <v>42669</v>
      </c>
      <c r="G2559" s="2">
        <v>201704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636</v>
      </c>
      <c r="M2559" s="2" t="s">
        <v>1664</v>
      </c>
      <c r="N2559" s="2" t="s">
        <v>2421</v>
      </c>
      <c r="O2559" s="2" t="s">
        <v>96</v>
      </c>
      <c r="P2559" s="2" t="str">
        <f>"2170532777                    "</f>
        <v xml:space="preserve">2170532777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2.59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0.9</v>
      </c>
      <c r="BJ2559" s="2">
        <v>1.5</v>
      </c>
      <c r="BK2559" s="2">
        <v>2</v>
      </c>
      <c r="BL2559" s="2">
        <v>31.84</v>
      </c>
      <c r="BM2559" s="2">
        <v>4.46</v>
      </c>
      <c r="BN2559" s="2">
        <v>36.299999999999997</v>
      </c>
      <c r="BO2559" s="2">
        <v>36.299999999999997</v>
      </c>
      <c r="BP2559" s="2"/>
      <c r="BQ2559" s="2" t="s">
        <v>91</v>
      </c>
      <c r="BR2559" s="2" t="s">
        <v>83</v>
      </c>
      <c r="BS2559" s="3">
        <v>42670</v>
      </c>
      <c r="BT2559" s="4">
        <v>0.41666666666666669</v>
      </c>
      <c r="BU2559" s="2" t="s">
        <v>2422</v>
      </c>
      <c r="BV2559" s="2" t="s">
        <v>85</v>
      </c>
      <c r="BW2559" s="2"/>
      <c r="BX2559" s="2"/>
      <c r="BY2559" s="2">
        <v>7421.72</v>
      </c>
      <c r="BZ2559" s="2"/>
      <c r="CA2559" s="2"/>
      <c r="CB2559" s="2"/>
      <c r="CC2559" s="2" t="s">
        <v>1664</v>
      </c>
      <c r="CD2559" s="2">
        <v>1820</v>
      </c>
      <c r="CE2559" s="2" t="s">
        <v>108</v>
      </c>
      <c r="CF2559" s="5">
        <v>42671</v>
      </c>
      <c r="CG2559" s="2"/>
      <c r="CH2559" s="2"/>
      <c r="CI2559" s="2">
        <v>1</v>
      </c>
      <c r="CJ2559" s="2">
        <v>1</v>
      </c>
      <c r="CK2559" s="2">
        <v>22</v>
      </c>
      <c r="CL2559" s="2" t="s">
        <v>88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"FES1162509577"</f>
        <v>FES1162509577</v>
      </c>
      <c r="F2560" s="3">
        <v>42669</v>
      </c>
      <c r="G2560" s="2">
        <v>201704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160</v>
      </c>
      <c r="M2560" s="2" t="s">
        <v>161</v>
      </c>
      <c r="N2560" s="2" t="s">
        <v>1523</v>
      </c>
      <c r="O2560" s="2" t="s">
        <v>96</v>
      </c>
      <c r="P2560" s="2" t="str">
        <f>"2170532762                    "</f>
        <v xml:space="preserve">2170532762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3.32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0.6</v>
      </c>
      <c r="BJ2560" s="2">
        <v>1.2</v>
      </c>
      <c r="BK2560" s="2">
        <v>1.5</v>
      </c>
      <c r="BL2560" s="2">
        <v>40.76</v>
      </c>
      <c r="BM2560" s="2">
        <v>5.71</v>
      </c>
      <c r="BN2560" s="2">
        <v>46.47</v>
      </c>
      <c r="BO2560" s="2">
        <v>46.47</v>
      </c>
      <c r="BP2560" s="2"/>
      <c r="BQ2560" s="2" t="s">
        <v>91</v>
      </c>
      <c r="BR2560" s="2" t="s">
        <v>83</v>
      </c>
      <c r="BS2560" s="3">
        <v>42670</v>
      </c>
      <c r="BT2560" s="4">
        <v>0.40972222222222227</v>
      </c>
      <c r="BU2560" s="2" t="s">
        <v>2423</v>
      </c>
      <c r="BV2560" s="2" t="s">
        <v>85</v>
      </c>
      <c r="BW2560" s="2"/>
      <c r="BX2560" s="2"/>
      <c r="BY2560" s="2">
        <v>6113.45</v>
      </c>
      <c r="BZ2560" s="2"/>
      <c r="CA2560" s="2"/>
      <c r="CB2560" s="2"/>
      <c r="CC2560" s="2" t="s">
        <v>161</v>
      </c>
      <c r="CD2560" s="2">
        <v>7560</v>
      </c>
      <c r="CE2560" s="2" t="s">
        <v>108</v>
      </c>
      <c r="CF2560" s="5">
        <v>42671</v>
      </c>
      <c r="CG2560" s="2"/>
      <c r="CH2560" s="2"/>
      <c r="CI2560" s="2">
        <v>1</v>
      </c>
      <c r="CJ2560" s="2">
        <v>1</v>
      </c>
      <c r="CK2560" s="2">
        <v>21</v>
      </c>
      <c r="CL2560" s="2" t="s">
        <v>88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"FES1162509598"</f>
        <v>FES1162509598</v>
      </c>
      <c r="F2561" s="3">
        <v>42669</v>
      </c>
      <c r="G2561" s="2">
        <v>201704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160</v>
      </c>
      <c r="M2561" s="2" t="s">
        <v>161</v>
      </c>
      <c r="N2561" s="2" t="s">
        <v>2424</v>
      </c>
      <c r="O2561" s="2" t="s">
        <v>96</v>
      </c>
      <c r="P2561" s="2" t="str">
        <f>"2170532615                    "</f>
        <v xml:space="preserve">2170532615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3.32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1.4</v>
      </c>
      <c r="BJ2561" s="2">
        <v>2</v>
      </c>
      <c r="BK2561" s="2">
        <v>2</v>
      </c>
      <c r="BL2561" s="2">
        <v>40.76</v>
      </c>
      <c r="BM2561" s="2">
        <v>5.71</v>
      </c>
      <c r="BN2561" s="2">
        <v>46.47</v>
      </c>
      <c r="BO2561" s="2">
        <v>46.47</v>
      </c>
      <c r="BP2561" s="2"/>
      <c r="BQ2561" s="2"/>
      <c r="BR2561" s="2" t="s">
        <v>83</v>
      </c>
      <c r="BS2561" s="3">
        <v>42670</v>
      </c>
      <c r="BT2561" s="4">
        <v>0.41666666666666669</v>
      </c>
      <c r="BU2561" s="2" t="s">
        <v>2425</v>
      </c>
      <c r="BV2561" s="2" t="s">
        <v>85</v>
      </c>
      <c r="BW2561" s="2"/>
      <c r="BX2561" s="2"/>
      <c r="BY2561" s="2">
        <v>9914.82</v>
      </c>
      <c r="BZ2561" s="2"/>
      <c r="CA2561" s="2"/>
      <c r="CB2561" s="2"/>
      <c r="CC2561" s="2" t="s">
        <v>161</v>
      </c>
      <c r="CD2561" s="2">
        <v>7441</v>
      </c>
      <c r="CE2561" s="2" t="s">
        <v>86</v>
      </c>
      <c r="CF2561" s="5">
        <v>42671</v>
      </c>
      <c r="CG2561" s="2"/>
      <c r="CH2561" s="2"/>
      <c r="CI2561" s="2">
        <v>1</v>
      </c>
      <c r="CJ2561" s="2">
        <v>1</v>
      </c>
      <c r="CK2561" s="2">
        <v>21</v>
      </c>
      <c r="CL2561" s="2" t="s">
        <v>88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"FES1162509612"</f>
        <v>FES1162509612</v>
      </c>
      <c r="F2562" s="3">
        <v>42669</v>
      </c>
      <c r="G2562" s="2">
        <v>201704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98</v>
      </c>
      <c r="M2562" s="2" t="s">
        <v>99</v>
      </c>
      <c r="N2562" s="2" t="s">
        <v>350</v>
      </c>
      <c r="O2562" s="2" t="s">
        <v>96</v>
      </c>
      <c r="P2562" s="2" t="str">
        <f>"2170532732                    "</f>
        <v xml:space="preserve">2170532732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3.32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0.5</v>
      </c>
      <c r="BJ2562" s="2">
        <v>0.2</v>
      </c>
      <c r="BK2562" s="2">
        <v>0.5</v>
      </c>
      <c r="BL2562" s="2">
        <v>40.76</v>
      </c>
      <c r="BM2562" s="2">
        <v>5.71</v>
      </c>
      <c r="BN2562" s="2">
        <v>46.47</v>
      </c>
      <c r="BO2562" s="2">
        <v>46.47</v>
      </c>
      <c r="BP2562" s="2"/>
      <c r="BQ2562" s="2" t="s">
        <v>351</v>
      </c>
      <c r="BR2562" s="2" t="s">
        <v>83</v>
      </c>
      <c r="BS2562" s="3">
        <v>42670</v>
      </c>
      <c r="BT2562" s="4">
        <v>0.38541666666666669</v>
      </c>
      <c r="BU2562" s="2" t="s">
        <v>600</v>
      </c>
      <c r="BV2562" s="2" t="s">
        <v>85</v>
      </c>
      <c r="BW2562" s="2"/>
      <c r="BX2562" s="2"/>
      <c r="BY2562" s="2">
        <v>1200</v>
      </c>
      <c r="BZ2562" s="2"/>
      <c r="CA2562" s="2"/>
      <c r="CB2562" s="2"/>
      <c r="CC2562" s="2" t="s">
        <v>99</v>
      </c>
      <c r="CD2562" s="2">
        <v>6001</v>
      </c>
      <c r="CE2562" s="2" t="s">
        <v>108</v>
      </c>
      <c r="CF2562" s="5">
        <v>42671</v>
      </c>
      <c r="CG2562" s="2"/>
      <c r="CH2562" s="2"/>
      <c r="CI2562" s="2">
        <v>1</v>
      </c>
      <c r="CJ2562" s="2">
        <v>1</v>
      </c>
      <c r="CK2562" s="2">
        <v>21</v>
      </c>
      <c r="CL2562" s="2" t="s">
        <v>88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"FES1162509588"</f>
        <v>FES1162509588</v>
      </c>
      <c r="F2563" s="3">
        <v>42669</v>
      </c>
      <c r="G2563" s="2">
        <v>201704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510</v>
      </c>
      <c r="M2563" s="2" t="s">
        <v>511</v>
      </c>
      <c r="N2563" s="2" t="s">
        <v>982</v>
      </c>
      <c r="O2563" s="2" t="s">
        <v>96</v>
      </c>
      <c r="P2563" s="2" t="str">
        <f>"2170532776                    "</f>
        <v xml:space="preserve">2170532776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3.32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0.5</v>
      </c>
      <c r="BJ2563" s="2">
        <v>0.2</v>
      </c>
      <c r="BK2563" s="2">
        <v>0.5</v>
      </c>
      <c r="BL2563" s="2">
        <v>40.76</v>
      </c>
      <c r="BM2563" s="2">
        <v>5.71</v>
      </c>
      <c r="BN2563" s="2">
        <v>46.47</v>
      </c>
      <c r="BO2563" s="2">
        <v>46.47</v>
      </c>
      <c r="BP2563" s="2"/>
      <c r="BQ2563" s="2" t="s">
        <v>983</v>
      </c>
      <c r="BR2563" s="2" t="s">
        <v>83</v>
      </c>
      <c r="BS2563" s="3">
        <v>42670</v>
      </c>
      <c r="BT2563" s="4">
        <v>0.43055555555555558</v>
      </c>
      <c r="BU2563" s="2" t="s">
        <v>1639</v>
      </c>
      <c r="BV2563" s="2" t="s">
        <v>85</v>
      </c>
      <c r="BW2563" s="2"/>
      <c r="BX2563" s="2"/>
      <c r="BY2563" s="2">
        <v>1200</v>
      </c>
      <c r="BZ2563" s="2"/>
      <c r="CA2563" s="2"/>
      <c r="CB2563" s="2"/>
      <c r="CC2563" s="2" t="s">
        <v>511</v>
      </c>
      <c r="CD2563" s="2">
        <v>3290</v>
      </c>
      <c r="CE2563" s="2" t="s">
        <v>108</v>
      </c>
      <c r="CF2563" s="5">
        <v>42671</v>
      </c>
      <c r="CG2563" s="2"/>
      <c r="CH2563" s="2"/>
      <c r="CI2563" s="2">
        <v>1</v>
      </c>
      <c r="CJ2563" s="2">
        <v>1</v>
      </c>
      <c r="CK2563" s="2">
        <v>21</v>
      </c>
      <c r="CL2563" s="2" t="s">
        <v>88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"FES1162509395"</f>
        <v>FES1162509395</v>
      </c>
      <c r="F2564" s="3">
        <v>42669</v>
      </c>
      <c r="G2564" s="2">
        <v>201704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160</v>
      </c>
      <c r="M2564" s="2" t="s">
        <v>161</v>
      </c>
      <c r="N2564" s="2" t="s">
        <v>236</v>
      </c>
      <c r="O2564" s="2" t="s">
        <v>96</v>
      </c>
      <c r="P2564" s="2" t="str">
        <f>"2170532576                    "</f>
        <v xml:space="preserve">2170532576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3.32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0.4</v>
      </c>
      <c r="BJ2564" s="2">
        <v>0.8</v>
      </c>
      <c r="BK2564" s="2">
        <v>1</v>
      </c>
      <c r="BL2564" s="2">
        <v>40.76</v>
      </c>
      <c r="BM2564" s="2">
        <v>5.71</v>
      </c>
      <c r="BN2564" s="2">
        <v>46.47</v>
      </c>
      <c r="BO2564" s="2">
        <v>46.47</v>
      </c>
      <c r="BP2564" s="2"/>
      <c r="BQ2564" s="2" t="s">
        <v>2426</v>
      </c>
      <c r="BR2564" s="2" t="s">
        <v>83</v>
      </c>
      <c r="BS2564" s="3">
        <v>42670</v>
      </c>
      <c r="BT2564" s="4">
        <v>0.41666666666666669</v>
      </c>
      <c r="BU2564" s="2" t="s">
        <v>228</v>
      </c>
      <c r="BV2564" s="2" t="s">
        <v>85</v>
      </c>
      <c r="BW2564" s="2"/>
      <c r="BX2564" s="2"/>
      <c r="BY2564" s="2">
        <v>4187.6099999999997</v>
      </c>
      <c r="BZ2564" s="2"/>
      <c r="CA2564" s="2"/>
      <c r="CB2564" s="2"/>
      <c r="CC2564" s="2" t="s">
        <v>161</v>
      </c>
      <c r="CD2564" s="2">
        <v>7405</v>
      </c>
      <c r="CE2564" s="2" t="s">
        <v>108</v>
      </c>
      <c r="CF2564" s="5">
        <v>42671</v>
      </c>
      <c r="CG2564" s="2"/>
      <c r="CH2564" s="2"/>
      <c r="CI2564" s="2">
        <v>1</v>
      </c>
      <c r="CJ2564" s="2">
        <v>1</v>
      </c>
      <c r="CK2564" s="2">
        <v>21</v>
      </c>
      <c r="CL2564" s="2" t="s">
        <v>88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"FES1162509593"</f>
        <v>FES1162509593</v>
      </c>
      <c r="F2565" s="3">
        <v>42669</v>
      </c>
      <c r="G2565" s="2">
        <v>201704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160</v>
      </c>
      <c r="M2565" s="2" t="s">
        <v>161</v>
      </c>
      <c r="N2565" s="2" t="s">
        <v>647</v>
      </c>
      <c r="O2565" s="2" t="s">
        <v>96</v>
      </c>
      <c r="P2565" s="2" t="str">
        <f>"2170532783                    "</f>
        <v xml:space="preserve">2170532783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3.32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0.8</v>
      </c>
      <c r="BJ2565" s="2">
        <v>1.1000000000000001</v>
      </c>
      <c r="BK2565" s="2">
        <v>1.5</v>
      </c>
      <c r="BL2565" s="2">
        <v>40.76</v>
      </c>
      <c r="BM2565" s="2">
        <v>5.71</v>
      </c>
      <c r="BN2565" s="2">
        <v>46.47</v>
      </c>
      <c r="BO2565" s="2">
        <v>46.47</v>
      </c>
      <c r="BP2565" s="2"/>
      <c r="BQ2565" s="2" t="s">
        <v>2045</v>
      </c>
      <c r="BR2565" s="2" t="s">
        <v>83</v>
      </c>
      <c r="BS2565" s="3">
        <v>42670</v>
      </c>
      <c r="BT2565" s="4">
        <v>0.3527777777777778</v>
      </c>
      <c r="BU2565" s="2" t="s">
        <v>611</v>
      </c>
      <c r="BV2565" s="2" t="s">
        <v>85</v>
      </c>
      <c r="BW2565" s="2"/>
      <c r="BX2565" s="2"/>
      <c r="BY2565" s="2">
        <v>5568.5</v>
      </c>
      <c r="BZ2565" s="2"/>
      <c r="CA2565" s="2"/>
      <c r="CB2565" s="2"/>
      <c r="CC2565" s="2" t="s">
        <v>161</v>
      </c>
      <c r="CD2565" s="2">
        <v>7493</v>
      </c>
      <c r="CE2565" s="2" t="s">
        <v>108</v>
      </c>
      <c r="CF2565" s="5">
        <v>42671</v>
      </c>
      <c r="CG2565" s="2"/>
      <c r="CH2565" s="2"/>
      <c r="CI2565" s="2">
        <v>1</v>
      </c>
      <c r="CJ2565" s="2">
        <v>1</v>
      </c>
      <c r="CK2565" s="2">
        <v>21</v>
      </c>
      <c r="CL2565" s="2" t="s">
        <v>88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"FES1162509456"</f>
        <v>FES1162509456</v>
      </c>
      <c r="F2566" s="3">
        <v>42669</v>
      </c>
      <c r="G2566" s="2">
        <v>201704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160</v>
      </c>
      <c r="M2566" s="2" t="s">
        <v>161</v>
      </c>
      <c r="N2566" s="2" t="s">
        <v>647</v>
      </c>
      <c r="O2566" s="2" t="s">
        <v>96</v>
      </c>
      <c r="P2566" s="2" t="str">
        <f>"2170532632                    "</f>
        <v xml:space="preserve">2170532632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3.32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0.5</v>
      </c>
      <c r="BJ2566" s="2">
        <v>1</v>
      </c>
      <c r="BK2566" s="2">
        <v>1</v>
      </c>
      <c r="BL2566" s="2">
        <v>40.76</v>
      </c>
      <c r="BM2566" s="2">
        <v>5.71</v>
      </c>
      <c r="BN2566" s="2">
        <v>46.47</v>
      </c>
      <c r="BO2566" s="2">
        <v>46.47</v>
      </c>
      <c r="BP2566" s="2"/>
      <c r="BQ2566" s="2" t="s">
        <v>2045</v>
      </c>
      <c r="BR2566" s="2" t="s">
        <v>83</v>
      </c>
      <c r="BS2566" s="3">
        <v>42670</v>
      </c>
      <c r="BT2566" s="4">
        <v>0.3527777777777778</v>
      </c>
      <c r="BU2566" s="2" t="s">
        <v>611</v>
      </c>
      <c r="BV2566" s="2" t="s">
        <v>85</v>
      </c>
      <c r="BW2566" s="2"/>
      <c r="BX2566" s="2"/>
      <c r="BY2566" s="2">
        <v>5090.8100000000004</v>
      </c>
      <c r="BZ2566" s="2"/>
      <c r="CA2566" s="2"/>
      <c r="CB2566" s="2"/>
      <c r="CC2566" s="2" t="s">
        <v>161</v>
      </c>
      <c r="CD2566" s="2">
        <v>7493</v>
      </c>
      <c r="CE2566" s="2" t="s">
        <v>108</v>
      </c>
      <c r="CF2566" s="5">
        <v>42671</v>
      </c>
      <c r="CG2566" s="2"/>
      <c r="CH2566" s="2"/>
      <c r="CI2566" s="2">
        <v>1</v>
      </c>
      <c r="CJ2566" s="2">
        <v>1</v>
      </c>
      <c r="CK2566" s="2">
        <v>21</v>
      </c>
      <c r="CL2566" s="2" t="s">
        <v>88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"FES1162509584"</f>
        <v>FES1162509584</v>
      </c>
      <c r="F2567" s="3">
        <v>42669</v>
      </c>
      <c r="G2567" s="2">
        <v>201704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148</v>
      </c>
      <c r="M2567" s="2" t="s">
        <v>149</v>
      </c>
      <c r="N2567" s="2" t="s">
        <v>2427</v>
      </c>
      <c r="O2567" s="2" t="s">
        <v>96</v>
      </c>
      <c r="P2567" s="2" t="str">
        <f>"2170532764                    "</f>
        <v xml:space="preserve">2170532764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3.32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0.5</v>
      </c>
      <c r="BJ2567" s="2">
        <v>0.2</v>
      </c>
      <c r="BK2567" s="2">
        <v>0.5</v>
      </c>
      <c r="BL2567" s="2">
        <v>40.76</v>
      </c>
      <c r="BM2567" s="2">
        <v>5.71</v>
      </c>
      <c r="BN2567" s="2">
        <v>46.47</v>
      </c>
      <c r="BO2567" s="2">
        <v>46.47</v>
      </c>
      <c r="BP2567" s="2"/>
      <c r="BQ2567" s="2" t="s">
        <v>2428</v>
      </c>
      <c r="BR2567" s="2" t="s">
        <v>83</v>
      </c>
      <c r="BS2567" s="3">
        <v>42670</v>
      </c>
      <c r="BT2567" s="4">
        <v>0.4375</v>
      </c>
      <c r="BU2567" s="2" t="s">
        <v>2429</v>
      </c>
      <c r="BV2567" s="2" t="s">
        <v>85</v>
      </c>
      <c r="BW2567" s="2"/>
      <c r="BX2567" s="2"/>
      <c r="BY2567" s="2">
        <v>1200</v>
      </c>
      <c r="BZ2567" s="2"/>
      <c r="CA2567" s="2"/>
      <c r="CB2567" s="2"/>
      <c r="CC2567" s="2" t="s">
        <v>149</v>
      </c>
      <c r="CD2567" s="2">
        <v>4051</v>
      </c>
      <c r="CE2567" s="2" t="s">
        <v>108</v>
      </c>
      <c r="CF2567" s="5">
        <v>42671</v>
      </c>
      <c r="CG2567" s="2"/>
      <c r="CH2567" s="2"/>
      <c r="CI2567" s="2">
        <v>1</v>
      </c>
      <c r="CJ2567" s="2">
        <v>1</v>
      </c>
      <c r="CK2567" s="2">
        <v>21</v>
      </c>
      <c r="CL2567" s="2" t="s">
        <v>88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"FES1162509595"</f>
        <v>FES1162509595</v>
      </c>
      <c r="F2568" s="3">
        <v>42669</v>
      </c>
      <c r="G2568" s="2">
        <v>201704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98</v>
      </c>
      <c r="M2568" s="2" t="s">
        <v>99</v>
      </c>
      <c r="N2568" s="2" t="s">
        <v>109</v>
      </c>
      <c r="O2568" s="2" t="s">
        <v>96</v>
      </c>
      <c r="P2568" s="2" t="str">
        <f>"2170532788                    "</f>
        <v xml:space="preserve">2170532788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3.32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1.2</v>
      </c>
      <c r="BJ2568" s="2">
        <v>1.5</v>
      </c>
      <c r="BK2568" s="2">
        <v>1.5</v>
      </c>
      <c r="BL2568" s="2">
        <v>40.76</v>
      </c>
      <c r="BM2568" s="2">
        <v>5.71</v>
      </c>
      <c r="BN2568" s="2">
        <v>46.47</v>
      </c>
      <c r="BO2568" s="2">
        <v>46.47</v>
      </c>
      <c r="BP2568" s="2"/>
      <c r="BQ2568" s="2" t="s">
        <v>110</v>
      </c>
      <c r="BR2568" s="2" t="s">
        <v>83</v>
      </c>
      <c r="BS2568" s="3">
        <v>42670</v>
      </c>
      <c r="BT2568" s="4">
        <v>0.375</v>
      </c>
      <c r="BU2568" s="2" t="s">
        <v>110</v>
      </c>
      <c r="BV2568" s="2" t="s">
        <v>85</v>
      </c>
      <c r="BW2568" s="2"/>
      <c r="BX2568" s="2"/>
      <c r="BY2568" s="2">
        <v>7658.91</v>
      </c>
      <c r="BZ2568" s="2"/>
      <c r="CA2568" s="2"/>
      <c r="CB2568" s="2"/>
      <c r="CC2568" s="2" t="s">
        <v>99</v>
      </c>
      <c r="CD2568" s="2">
        <v>6001</v>
      </c>
      <c r="CE2568" s="2" t="s">
        <v>108</v>
      </c>
      <c r="CF2568" s="5">
        <v>42671</v>
      </c>
      <c r="CG2568" s="2"/>
      <c r="CH2568" s="2"/>
      <c r="CI2568" s="2">
        <v>1</v>
      </c>
      <c r="CJ2568" s="2">
        <v>1</v>
      </c>
      <c r="CK2568" s="2">
        <v>21</v>
      </c>
      <c r="CL2568" s="2" t="s">
        <v>88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"FES1162509592"</f>
        <v>FES1162509592</v>
      </c>
      <c r="F2569" s="3">
        <v>42669</v>
      </c>
      <c r="G2569" s="2">
        <v>201704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148</v>
      </c>
      <c r="M2569" s="2" t="s">
        <v>149</v>
      </c>
      <c r="N2569" s="2" t="s">
        <v>796</v>
      </c>
      <c r="O2569" s="2" t="s">
        <v>96</v>
      </c>
      <c r="P2569" s="2" t="str">
        <f>"2170532726                    "</f>
        <v xml:space="preserve">2170532726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3.32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0.5</v>
      </c>
      <c r="BJ2569" s="2">
        <v>1.6</v>
      </c>
      <c r="BK2569" s="2">
        <v>2</v>
      </c>
      <c r="BL2569" s="2">
        <v>40.76</v>
      </c>
      <c r="BM2569" s="2">
        <v>5.71</v>
      </c>
      <c r="BN2569" s="2">
        <v>46.47</v>
      </c>
      <c r="BO2569" s="2">
        <v>46.47</v>
      </c>
      <c r="BP2569" s="2"/>
      <c r="BQ2569" s="2" t="s">
        <v>168</v>
      </c>
      <c r="BR2569" s="2" t="s">
        <v>83</v>
      </c>
      <c r="BS2569" s="3">
        <v>42670</v>
      </c>
      <c r="BT2569" s="4">
        <v>0.39583333333333331</v>
      </c>
      <c r="BU2569" s="2" t="s">
        <v>2430</v>
      </c>
      <c r="BV2569" s="2" t="s">
        <v>85</v>
      </c>
      <c r="BW2569" s="2"/>
      <c r="BX2569" s="2"/>
      <c r="BY2569" s="2">
        <v>7993.11</v>
      </c>
      <c r="BZ2569" s="2"/>
      <c r="CA2569" s="2"/>
      <c r="CB2569" s="2"/>
      <c r="CC2569" s="2" t="s">
        <v>149</v>
      </c>
      <c r="CD2569" s="2">
        <v>4052</v>
      </c>
      <c r="CE2569" s="2" t="s">
        <v>108</v>
      </c>
      <c r="CF2569" s="5">
        <v>42675</v>
      </c>
      <c r="CG2569" s="2"/>
      <c r="CH2569" s="2"/>
      <c r="CI2569" s="2">
        <v>1</v>
      </c>
      <c r="CJ2569" s="2">
        <v>1</v>
      </c>
      <c r="CK2569" s="2">
        <v>21</v>
      </c>
      <c r="CL2569" s="2" t="s">
        <v>88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"FES1162509596"</f>
        <v>FES1162509596</v>
      </c>
      <c r="F2570" s="3">
        <v>42669</v>
      </c>
      <c r="G2570" s="2">
        <v>201704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160</v>
      </c>
      <c r="M2570" s="2" t="s">
        <v>161</v>
      </c>
      <c r="N2570" s="2" t="s">
        <v>622</v>
      </c>
      <c r="O2570" s="2" t="s">
        <v>96</v>
      </c>
      <c r="P2570" s="2" t="str">
        <f>"2170532790                    "</f>
        <v xml:space="preserve">2170532790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3.32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0.5</v>
      </c>
      <c r="BJ2570" s="2">
        <v>0.2</v>
      </c>
      <c r="BK2570" s="2">
        <v>0.5</v>
      </c>
      <c r="BL2570" s="2">
        <v>40.76</v>
      </c>
      <c r="BM2570" s="2">
        <v>5.71</v>
      </c>
      <c r="BN2570" s="2">
        <v>46.47</v>
      </c>
      <c r="BO2570" s="2">
        <v>46.47</v>
      </c>
      <c r="BP2570" s="2"/>
      <c r="BQ2570" s="2" t="s">
        <v>623</v>
      </c>
      <c r="BR2570" s="2" t="s">
        <v>83</v>
      </c>
      <c r="BS2570" s="3">
        <v>42670</v>
      </c>
      <c r="BT2570" s="4">
        <v>0.41041666666666665</v>
      </c>
      <c r="BU2570" s="2" t="s">
        <v>624</v>
      </c>
      <c r="BV2570" s="2" t="s">
        <v>85</v>
      </c>
      <c r="BW2570" s="2"/>
      <c r="BX2570" s="2"/>
      <c r="BY2570" s="2">
        <v>1200</v>
      </c>
      <c r="BZ2570" s="2"/>
      <c r="CA2570" s="2"/>
      <c r="CB2570" s="2"/>
      <c r="CC2570" s="2" t="s">
        <v>161</v>
      </c>
      <c r="CD2570" s="2">
        <v>7490</v>
      </c>
      <c r="CE2570" s="2" t="s">
        <v>108</v>
      </c>
      <c r="CF2570" s="5">
        <v>42671</v>
      </c>
      <c r="CG2570" s="2"/>
      <c r="CH2570" s="2"/>
      <c r="CI2570" s="2">
        <v>1</v>
      </c>
      <c r="CJ2570" s="2">
        <v>1</v>
      </c>
      <c r="CK2570" s="2">
        <v>21</v>
      </c>
      <c r="CL2570" s="2" t="s">
        <v>88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"FES1162509529"</f>
        <v>FES1162509529</v>
      </c>
      <c r="F2571" s="3">
        <v>42669</v>
      </c>
      <c r="G2571" s="2">
        <v>201704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269</v>
      </c>
      <c r="M2571" s="2" t="s">
        <v>270</v>
      </c>
      <c r="N2571" s="2" t="s">
        <v>523</v>
      </c>
      <c r="O2571" s="2" t="s">
        <v>96</v>
      </c>
      <c r="P2571" s="2" t="str">
        <f>"2170532712                    "</f>
        <v xml:space="preserve">2170532712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3.32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0.8</v>
      </c>
      <c r="BJ2571" s="2">
        <v>1.2</v>
      </c>
      <c r="BK2571" s="2">
        <v>1.5</v>
      </c>
      <c r="BL2571" s="2">
        <v>40.76</v>
      </c>
      <c r="BM2571" s="2">
        <v>5.71</v>
      </c>
      <c r="BN2571" s="2">
        <v>46.47</v>
      </c>
      <c r="BO2571" s="2">
        <v>46.47</v>
      </c>
      <c r="BP2571" s="2"/>
      <c r="BQ2571" s="2" t="s">
        <v>524</v>
      </c>
      <c r="BR2571" s="2" t="s">
        <v>83</v>
      </c>
      <c r="BS2571" s="3">
        <v>42670</v>
      </c>
      <c r="BT2571" s="4">
        <v>0.32916666666666666</v>
      </c>
      <c r="BU2571" s="2" t="s">
        <v>525</v>
      </c>
      <c r="BV2571" s="2" t="s">
        <v>85</v>
      </c>
      <c r="BW2571" s="2"/>
      <c r="BX2571" s="2"/>
      <c r="BY2571" s="2">
        <v>6014.74</v>
      </c>
      <c r="BZ2571" s="2"/>
      <c r="CA2571" s="2"/>
      <c r="CB2571" s="2"/>
      <c r="CC2571" s="2" t="s">
        <v>270</v>
      </c>
      <c r="CD2571" s="2">
        <v>3610</v>
      </c>
      <c r="CE2571" s="2" t="s">
        <v>108</v>
      </c>
      <c r="CF2571" s="5">
        <v>42671</v>
      </c>
      <c r="CG2571" s="2"/>
      <c r="CH2571" s="2"/>
      <c r="CI2571" s="2">
        <v>1</v>
      </c>
      <c r="CJ2571" s="2">
        <v>1</v>
      </c>
      <c r="CK2571" s="2">
        <v>21</v>
      </c>
      <c r="CL2571" s="2" t="s">
        <v>88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"FES1162509590"</f>
        <v>FES1162509590</v>
      </c>
      <c r="F2572" s="3">
        <v>42669</v>
      </c>
      <c r="G2572" s="2">
        <v>201704</v>
      </c>
      <c r="H2572" s="2" t="s">
        <v>74</v>
      </c>
      <c r="I2572" s="2" t="s">
        <v>75</v>
      </c>
      <c r="J2572" s="2" t="s">
        <v>76</v>
      </c>
      <c r="K2572" s="2" t="s">
        <v>77</v>
      </c>
      <c r="L2572" s="2" t="s">
        <v>98</v>
      </c>
      <c r="M2572" s="2" t="s">
        <v>99</v>
      </c>
      <c r="N2572" s="2" t="s">
        <v>1154</v>
      </c>
      <c r="O2572" s="2" t="s">
        <v>96</v>
      </c>
      <c r="P2572" s="2" t="str">
        <f>"2170532778                    "</f>
        <v xml:space="preserve">2170532778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4.1500000000000004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</v>
      </c>
      <c r="BJ2572" s="2">
        <v>2.4</v>
      </c>
      <c r="BK2572" s="2">
        <v>2.5</v>
      </c>
      <c r="BL2572" s="2">
        <v>50.95</v>
      </c>
      <c r="BM2572" s="2">
        <v>7.13</v>
      </c>
      <c r="BN2572" s="2">
        <v>58.08</v>
      </c>
      <c r="BO2572" s="2">
        <v>58.08</v>
      </c>
      <c r="BP2572" s="2"/>
      <c r="BQ2572" s="2" t="s">
        <v>1155</v>
      </c>
      <c r="BR2572" s="2" t="s">
        <v>83</v>
      </c>
      <c r="BS2572" s="3">
        <v>42670</v>
      </c>
      <c r="BT2572" s="4">
        <v>0.37847222222222227</v>
      </c>
      <c r="BU2572" s="2" t="s">
        <v>2431</v>
      </c>
      <c r="BV2572" s="2" t="s">
        <v>85</v>
      </c>
      <c r="BW2572" s="2"/>
      <c r="BX2572" s="2"/>
      <c r="BY2572" s="2">
        <v>11828.69</v>
      </c>
      <c r="BZ2572" s="2"/>
      <c r="CA2572" s="2"/>
      <c r="CB2572" s="2"/>
      <c r="CC2572" s="2" t="s">
        <v>99</v>
      </c>
      <c r="CD2572" s="2">
        <v>6001</v>
      </c>
      <c r="CE2572" s="2" t="s">
        <v>108</v>
      </c>
      <c r="CF2572" s="5">
        <v>42671</v>
      </c>
      <c r="CG2572" s="2"/>
      <c r="CH2572" s="2"/>
      <c r="CI2572" s="2">
        <v>1</v>
      </c>
      <c r="CJ2572" s="2">
        <v>1</v>
      </c>
      <c r="CK2572" s="2">
        <v>21</v>
      </c>
      <c r="CL2572" s="2" t="s">
        <v>88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"FES1162509608"</f>
        <v>FES1162509608</v>
      </c>
      <c r="F2573" s="3">
        <v>42669</v>
      </c>
      <c r="G2573" s="2">
        <v>201704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148</v>
      </c>
      <c r="M2573" s="2" t="s">
        <v>149</v>
      </c>
      <c r="N2573" s="2" t="s">
        <v>560</v>
      </c>
      <c r="O2573" s="2" t="s">
        <v>96</v>
      </c>
      <c r="P2573" s="2" t="str">
        <f>"2170532798                    "</f>
        <v xml:space="preserve">2170532798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3.32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1</v>
      </c>
      <c r="BJ2573" s="2">
        <v>0.2</v>
      </c>
      <c r="BK2573" s="2">
        <v>1</v>
      </c>
      <c r="BL2573" s="2">
        <v>40.76</v>
      </c>
      <c r="BM2573" s="2">
        <v>5.71</v>
      </c>
      <c r="BN2573" s="2">
        <v>46.47</v>
      </c>
      <c r="BO2573" s="2">
        <v>46.47</v>
      </c>
      <c r="BP2573" s="2"/>
      <c r="BQ2573" s="2" t="s">
        <v>91</v>
      </c>
      <c r="BR2573" s="2" t="s">
        <v>83</v>
      </c>
      <c r="BS2573" s="3">
        <v>42670</v>
      </c>
      <c r="BT2573" s="4">
        <v>0.4375</v>
      </c>
      <c r="BU2573" s="2" t="s">
        <v>1480</v>
      </c>
      <c r="BV2573" s="2"/>
      <c r="BW2573" s="2"/>
      <c r="BX2573" s="2"/>
      <c r="BY2573" s="2">
        <v>1200</v>
      </c>
      <c r="BZ2573" s="2"/>
      <c r="CA2573" s="2"/>
      <c r="CB2573" s="2"/>
      <c r="CC2573" s="2" t="s">
        <v>149</v>
      </c>
      <c r="CD2573" s="2">
        <v>4001</v>
      </c>
      <c r="CE2573" s="2" t="s">
        <v>108</v>
      </c>
      <c r="CF2573" s="5">
        <v>42675</v>
      </c>
      <c r="CG2573" s="2"/>
      <c r="CH2573" s="2"/>
      <c r="CI2573" s="2">
        <v>0</v>
      </c>
      <c r="CJ2573" s="2">
        <v>0</v>
      </c>
      <c r="CK2573" s="2">
        <v>21</v>
      </c>
      <c r="CL2573" s="2" t="s">
        <v>88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"FES1162509572"</f>
        <v>FES1162509572</v>
      </c>
      <c r="F2574" s="3">
        <v>42669</v>
      </c>
      <c r="G2574" s="2">
        <v>201704</v>
      </c>
      <c r="H2574" s="2" t="s">
        <v>74</v>
      </c>
      <c r="I2574" s="2" t="s">
        <v>75</v>
      </c>
      <c r="J2574" s="2" t="s">
        <v>76</v>
      </c>
      <c r="K2574" s="2" t="s">
        <v>77</v>
      </c>
      <c r="L2574" s="2" t="s">
        <v>160</v>
      </c>
      <c r="M2574" s="2" t="s">
        <v>161</v>
      </c>
      <c r="N2574" s="2" t="s">
        <v>179</v>
      </c>
      <c r="O2574" s="2" t="s">
        <v>96</v>
      </c>
      <c r="P2574" s="2" t="str">
        <f>"2170532750                    "</f>
        <v xml:space="preserve">2170532750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3.32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0.7</v>
      </c>
      <c r="BJ2574" s="2">
        <v>1.1000000000000001</v>
      </c>
      <c r="BK2574" s="2">
        <v>1.5</v>
      </c>
      <c r="BL2574" s="2">
        <v>40.76</v>
      </c>
      <c r="BM2574" s="2">
        <v>5.71</v>
      </c>
      <c r="BN2574" s="2">
        <v>46.47</v>
      </c>
      <c r="BO2574" s="2">
        <v>46.47</v>
      </c>
      <c r="BP2574" s="2"/>
      <c r="BQ2574" s="2" t="s">
        <v>180</v>
      </c>
      <c r="BR2574" s="2" t="s">
        <v>83</v>
      </c>
      <c r="BS2574" s="3">
        <v>42670</v>
      </c>
      <c r="BT2574" s="4">
        <v>0.41666666666666669</v>
      </c>
      <c r="BU2574" s="2" t="s">
        <v>1988</v>
      </c>
      <c r="BV2574" s="2" t="s">
        <v>85</v>
      </c>
      <c r="BW2574" s="2"/>
      <c r="BX2574" s="2"/>
      <c r="BY2574" s="2">
        <v>5497.46</v>
      </c>
      <c r="BZ2574" s="2"/>
      <c r="CA2574" s="2"/>
      <c r="CB2574" s="2"/>
      <c r="CC2574" s="2" t="s">
        <v>161</v>
      </c>
      <c r="CD2574" s="2">
        <v>7405</v>
      </c>
      <c r="CE2574" s="2" t="s">
        <v>108</v>
      </c>
      <c r="CF2574" s="5">
        <v>42671</v>
      </c>
      <c r="CG2574" s="2"/>
      <c r="CH2574" s="2"/>
      <c r="CI2574" s="2">
        <v>1</v>
      </c>
      <c r="CJ2574" s="2">
        <v>1</v>
      </c>
      <c r="CK2574" s="2">
        <v>21</v>
      </c>
      <c r="CL2574" s="2" t="s">
        <v>88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"FES1162509614"</f>
        <v>FES1162509614</v>
      </c>
      <c r="F2575" s="3">
        <v>42669</v>
      </c>
      <c r="G2575" s="2">
        <v>201704</v>
      </c>
      <c r="H2575" s="2" t="s">
        <v>74</v>
      </c>
      <c r="I2575" s="2" t="s">
        <v>75</v>
      </c>
      <c r="J2575" s="2" t="s">
        <v>76</v>
      </c>
      <c r="K2575" s="2" t="s">
        <v>77</v>
      </c>
      <c r="L2575" s="2" t="s">
        <v>93</v>
      </c>
      <c r="M2575" s="2" t="s">
        <v>94</v>
      </c>
      <c r="N2575" s="2" t="s">
        <v>130</v>
      </c>
      <c r="O2575" s="2" t="s">
        <v>96</v>
      </c>
      <c r="P2575" s="2" t="str">
        <f>"2170532805                    "</f>
        <v xml:space="preserve">2170532805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3.32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0.5</v>
      </c>
      <c r="BJ2575" s="2">
        <v>0.2</v>
      </c>
      <c r="BK2575" s="2">
        <v>0.5</v>
      </c>
      <c r="BL2575" s="2">
        <v>40.76</v>
      </c>
      <c r="BM2575" s="2">
        <v>5.71</v>
      </c>
      <c r="BN2575" s="2">
        <v>46.47</v>
      </c>
      <c r="BO2575" s="2">
        <v>46.47</v>
      </c>
      <c r="BP2575" s="2"/>
      <c r="BQ2575" s="2" t="s">
        <v>131</v>
      </c>
      <c r="BR2575" s="2" t="s">
        <v>83</v>
      </c>
      <c r="BS2575" s="3">
        <v>42670</v>
      </c>
      <c r="BT2575" s="4">
        <v>0.39583333333333331</v>
      </c>
      <c r="BU2575" s="2" t="s">
        <v>576</v>
      </c>
      <c r="BV2575" s="2" t="s">
        <v>85</v>
      </c>
      <c r="BW2575" s="2"/>
      <c r="BX2575" s="2"/>
      <c r="BY2575" s="2">
        <v>1200</v>
      </c>
      <c r="BZ2575" s="2"/>
      <c r="CA2575" s="2"/>
      <c r="CB2575" s="2"/>
      <c r="CC2575" s="2" t="s">
        <v>94</v>
      </c>
      <c r="CD2575" s="2">
        <v>4302</v>
      </c>
      <c r="CE2575" s="2" t="s">
        <v>108</v>
      </c>
      <c r="CF2575" s="5">
        <v>42671</v>
      </c>
      <c r="CG2575" s="2"/>
      <c r="CH2575" s="2"/>
      <c r="CI2575" s="2">
        <v>1</v>
      </c>
      <c r="CJ2575" s="2">
        <v>1</v>
      </c>
      <c r="CK2575" s="2">
        <v>21</v>
      </c>
      <c r="CL2575" s="2" t="s">
        <v>88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"FES1162509397"</f>
        <v>FES1162509397</v>
      </c>
      <c r="F2576" s="3">
        <v>42669</v>
      </c>
      <c r="G2576" s="2">
        <v>201704</v>
      </c>
      <c r="H2576" s="2" t="s">
        <v>74</v>
      </c>
      <c r="I2576" s="2" t="s">
        <v>75</v>
      </c>
      <c r="J2576" s="2" t="s">
        <v>76</v>
      </c>
      <c r="K2576" s="2" t="s">
        <v>77</v>
      </c>
      <c r="L2576" s="2" t="s">
        <v>153</v>
      </c>
      <c r="M2576" s="2" t="s">
        <v>153</v>
      </c>
      <c r="N2576" s="2" t="s">
        <v>200</v>
      </c>
      <c r="O2576" s="2" t="s">
        <v>96</v>
      </c>
      <c r="P2576" s="2" t="str">
        <f>"2170532578                    "</f>
        <v xml:space="preserve">2170532578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9.9499999999999993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6</v>
      </c>
      <c r="BJ2576" s="2">
        <v>2.1</v>
      </c>
      <c r="BK2576" s="2">
        <v>6</v>
      </c>
      <c r="BL2576" s="2">
        <v>122.27</v>
      </c>
      <c r="BM2576" s="2">
        <v>17.12</v>
      </c>
      <c r="BN2576" s="2">
        <v>139.38999999999999</v>
      </c>
      <c r="BO2576" s="2">
        <v>139.38999999999999</v>
      </c>
      <c r="BP2576" s="2"/>
      <c r="BQ2576" s="2" t="s">
        <v>201</v>
      </c>
      <c r="BR2576" s="2" t="s">
        <v>83</v>
      </c>
      <c r="BS2576" s="3">
        <v>42670</v>
      </c>
      <c r="BT2576" s="4">
        <v>0.53749999999999998</v>
      </c>
      <c r="BU2576" s="2" t="s">
        <v>2432</v>
      </c>
      <c r="BV2576" s="2" t="s">
        <v>85</v>
      </c>
      <c r="BW2576" s="2"/>
      <c r="BX2576" s="2"/>
      <c r="BY2576" s="2">
        <v>10393.49</v>
      </c>
      <c r="BZ2576" s="2"/>
      <c r="CA2576" s="2"/>
      <c r="CB2576" s="2"/>
      <c r="CC2576" s="2" t="s">
        <v>153</v>
      </c>
      <c r="CD2576" s="2">
        <v>7646</v>
      </c>
      <c r="CE2576" s="2" t="s">
        <v>86</v>
      </c>
      <c r="CF2576" s="5">
        <v>42671</v>
      </c>
      <c r="CG2576" s="2"/>
      <c r="CH2576" s="2"/>
      <c r="CI2576" s="2">
        <v>1</v>
      </c>
      <c r="CJ2576" s="2">
        <v>1</v>
      </c>
      <c r="CK2576" s="2">
        <v>21</v>
      </c>
      <c r="CL2576" s="2" t="s">
        <v>88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"FES1162509565"</f>
        <v>FES1162509565</v>
      </c>
      <c r="F2577" s="3">
        <v>42669</v>
      </c>
      <c r="G2577" s="2">
        <v>201704</v>
      </c>
      <c r="H2577" s="2" t="s">
        <v>74</v>
      </c>
      <c r="I2577" s="2" t="s">
        <v>75</v>
      </c>
      <c r="J2577" s="2" t="s">
        <v>76</v>
      </c>
      <c r="K2577" s="2" t="s">
        <v>77</v>
      </c>
      <c r="L2577" s="2" t="s">
        <v>160</v>
      </c>
      <c r="M2577" s="2" t="s">
        <v>161</v>
      </c>
      <c r="N2577" s="2" t="s">
        <v>179</v>
      </c>
      <c r="O2577" s="2" t="s">
        <v>96</v>
      </c>
      <c r="P2577" s="2" t="str">
        <f>"2170532745                    "</f>
        <v xml:space="preserve">2170532745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3.32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0.5</v>
      </c>
      <c r="BJ2577" s="2">
        <v>0.2</v>
      </c>
      <c r="BK2577" s="2">
        <v>0.5</v>
      </c>
      <c r="BL2577" s="2">
        <v>40.76</v>
      </c>
      <c r="BM2577" s="2">
        <v>5.71</v>
      </c>
      <c r="BN2577" s="2">
        <v>46.47</v>
      </c>
      <c r="BO2577" s="2">
        <v>46.47</v>
      </c>
      <c r="BP2577" s="2"/>
      <c r="BQ2577" s="2" t="s">
        <v>180</v>
      </c>
      <c r="BR2577" s="2" t="s">
        <v>83</v>
      </c>
      <c r="BS2577" s="3">
        <v>42670</v>
      </c>
      <c r="BT2577" s="4">
        <v>0.41666666666666669</v>
      </c>
      <c r="BU2577" s="2" t="s">
        <v>1988</v>
      </c>
      <c r="BV2577" s="2" t="s">
        <v>85</v>
      </c>
      <c r="BW2577" s="2"/>
      <c r="BX2577" s="2"/>
      <c r="BY2577" s="2">
        <v>1200</v>
      </c>
      <c r="BZ2577" s="2"/>
      <c r="CA2577" s="2"/>
      <c r="CB2577" s="2"/>
      <c r="CC2577" s="2" t="s">
        <v>161</v>
      </c>
      <c r="CD2577" s="2">
        <v>7405</v>
      </c>
      <c r="CE2577" s="2" t="s">
        <v>108</v>
      </c>
      <c r="CF2577" s="5">
        <v>42671</v>
      </c>
      <c r="CG2577" s="2"/>
      <c r="CH2577" s="2"/>
      <c r="CI2577" s="2">
        <v>1</v>
      </c>
      <c r="CJ2577" s="2">
        <v>1</v>
      </c>
      <c r="CK2577" s="2">
        <v>21</v>
      </c>
      <c r="CL2577" s="2" t="s">
        <v>88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"FES1162509490"</f>
        <v>FES1162509490</v>
      </c>
      <c r="F2578" s="3">
        <v>42669</v>
      </c>
      <c r="G2578" s="2">
        <v>201704</v>
      </c>
      <c r="H2578" s="2" t="s">
        <v>74</v>
      </c>
      <c r="I2578" s="2" t="s">
        <v>75</v>
      </c>
      <c r="J2578" s="2" t="s">
        <v>76</v>
      </c>
      <c r="K2578" s="2" t="s">
        <v>77</v>
      </c>
      <c r="L2578" s="2" t="s">
        <v>160</v>
      </c>
      <c r="M2578" s="2" t="s">
        <v>161</v>
      </c>
      <c r="N2578" s="2" t="s">
        <v>176</v>
      </c>
      <c r="O2578" s="2" t="s">
        <v>96</v>
      </c>
      <c r="P2578" s="2" t="str">
        <f>"2170532674                    "</f>
        <v xml:space="preserve">2170532674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9.1199999999999992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5.5</v>
      </c>
      <c r="BJ2578" s="2">
        <v>1.8</v>
      </c>
      <c r="BK2578" s="2">
        <v>5.5</v>
      </c>
      <c r="BL2578" s="2">
        <v>112.08</v>
      </c>
      <c r="BM2578" s="2">
        <v>15.69</v>
      </c>
      <c r="BN2578" s="2">
        <v>127.77</v>
      </c>
      <c r="BO2578" s="2">
        <v>127.77</v>
      </c>
      <c r="BP2578" s="2"/>
      <c r="BQ2578" s="2" t="s">
        <v>258</v>
      </c>
      <c r="BR2578" s="2" t="s">
        <v>83</v>
      </c>
      <c r="BS2578" s="3">
        <v>42670</v>
      </c>
      <c r="BT2578" s="4">
        <v>0.41666666666666669</v>
      </c>
      <c r="BU2578" s="2" t="s">
        <v>2433</v>
      </c>
      <c r="BV2578" s="2" t="s">
        <v>85</v>
      </c>
      <c r="BW2578" s="2"/>
      <c r="BX2578" s="2"/>
      <c r="BY2578" s="2">
        <v>9047.8799999999992</v>
      </c>
      <c r="BZ2578" s="2"/>
      <c r="CA2578" s="2"/>
      <c r="CB2578" s="2"/>
      <c r="CC2578" s="2" t="s">
        <v>161</v>
      </c>
      <c r="CD2578" s="2">
        <v>7405</v>
      </c>
      <c r="CE2578" s="2" t="s">
        <v>86</v>
      </c>
      <c r="CF2578" s="5">
        <v>42671</v>
      </c>
      <c r="CG2578" s="2"/>
      <c r="CH2578" s="2"/>
      <c r="CI2578" s="2">
        <v>1</v>
      </c>
      <c r="CJ2578" s="2">
        <v>1</v>
      </c>
      <c r="CK2578" s="2">
        <v>21</v>
      </c>
      <c r="CL2578" s="2" t="s">
        <v>88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"FES1162509546"</f>
        <v>FES1162509546</v>
      </c>
      <c r="F2579" s="3">
        <v>42669</v>
      </c>
      <c r="G2579" s="2">
        <v>201704</v>
      </c>
      <c r="H2579" s="2" t="s">
        <v>74</v>
      </c>
      <c r="I2579" s="2" t="s">
        <v>75</v>
      </c>
      <c r="J2579" s="2" t="s">
        <v>76</v>
      </c>
      <c r="K2579" s="2" t="s">
        <v>77</v>
      </c>
      <c r="L2579" s="2" t="s">
        <v>160</v>
      </c>
      <c r="M2579" s="2" t="s">
        <v>161</v>
      </c>
      <c r="N2579" s="2" t="s">
        <v>176</v>
      </c>
      <c r="O2579" s="2" t="s">
        <v>96</v>
      </c>
      <c r="P2579" s="2" t="str">
        <f>"2170532718                    "</f>
        <v xml:space="preserve">2170532718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3.32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0.8</v>
      </c>
      <c r="BJ2579" s="2">
        <v>1.6</v>
      </c>
      <c r="BK2579" s="2">
        <v>2</v>
      </c>
      <c r="BL2579" s="2">
        <v>40.76</v>
      </c>
      <c r="BM2579" s="2">
        <v>5.71</v>
      </c>
      <c r="BN2579" s="2">
        <v>46.47</v>
      </c>
      <c r="BO2579" s="2">
        <v>46.47</v>
      </c>
      <c r="BP2579" s="2"/>
      <c r="BQ2579" s="2" t="s">
        <v>177</v>
      </c>
      <c r="BR2579" s="2" t="s">
        <v>83</v>
      </c>
      <c r="BS2579" s="3">
        <v>42670</v>
      </c>
      <c r="BT2579" s="4">
        <v>0.4069444444444445</v>
      </c>
      <c r="BU2579" s="2" t="s">
        <v>1659</v>
      </c>
      <c r="BV2579" s="2" t="s">
        <v>85</v>
      </c>
      <c r="BW2579" s="2"/>
      <c r="BX2579" s="2"/>
      <c r="BY2579" s="2">
        <v>8152.76</v>
      </c>
      <c r="BZ2579" s="2"/>
      <c r="CA2579" s="2"/>
      <c r="CB2579" s="2"/>
      <c r="CC2579" s="2" t="s">
        <v>161</v>
      </c>
      <c r="CD2579" s="2">
        <v>7530</v>
      </c>
      <c r="CE2579" s="2" t="s">
        <v>108</v>
      </c>
      <c r="CF2579" s="5">
        <v>42671</v>
      </c>
      <c r="CG2579" s="2"/>
      <c r="CH2579" s="2"/>
      <c r="CI2579" s="2">
        <v>1</v>
      </c>
      <c r="CJ2579" s="2">
        <v>1</v>
      </c>
      <c r="CK2579" s="2">
        <v>21</v>
      </c>
      <c r="CL2579" s="2" t="s">
        <v>88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"FES1162509611"</f>
        <v>FES1162509611</v>
      </c>
      <c r="F2580" s="3">
        <v>42669</v>
      </c>
      <c r="G2580" s="2">
        <v>201704</v>
      </c>
      <c r="H2580" s="2" t="s">
        <v>74</v>
      </c>
      <c r="I2580" s="2" t="s">
        <v>75</v>
      </c>
      <c r="J2580" s="2" t="s">
        <v>76</v>
      </c>
      <c r="K2580" s="2" t="s">
        <v>77</v>
      </c>
      <c r="L2580" s="2" t="s">
        <v>153</v>
      </c>
      <c r="M2580" s="2" t="s">
        <v>153</v>
      </c>
      <c r="N2580" s="2" t="s">
        <v>501</v>
      </c>
      <c r="O2580" s="2" t="s">
        <v>96</v>
      </c>
      <c r="P2580" s="2" t="str">
        <f>"2170532808                    "</f>
        <v xml:space="preserve">2170532808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4.1500000000000004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2.2000000000000002</v>
      </c>
      <c r="BJ2580" s="2">
        <v>1.7</v>
      </c>
      <c r="BK2580" s="2">
        <v>2.5</v>
      </c>
      <c r="BL2580" s="2">
        <v>50.95</v>
      </c>
      <c r="BM2580" s="2">
        <v>7.13</v>
      </c>
      <c r="BN2580" s="2">
        <v>58.08</v>
      </c>
      <c r="BO2580" s="2">
        <v>58.08</v>
      </c>
      <c r="BP2580" s="2"/>
      <c r="BQ2580" s="2" t="s">
        <v>82</v>
      </c>
      <c r="BR2580" s="2" t="s">
        <v>83</v>
      </c>
      <c r="BS2580" s="3">
        <v>42670</v>
      </c>
      <c r="BT2580" s="4">
        <v>0.54097222222222219</v>
      </c>
      <c r="BU2580" s="2" t="s">
        <v>1486</v>
      </c>
      <c r="BV2580" s="2" t="s">
        <v>85</v>
      </c>
      <c r="BW2580" s="2"/>
      <c r="BX2580" s="2"/>
      <c r="BY2580" s="2">
        <v>8638.11</v>
      </c>
      <c r="BZ2580" s="2"/>
      <c r="CA2580" s="2"/>
      <c r="CB2580" s="2"/>
      <c r="CC2580" s="2" t="s">
        <v>153</v>
      </c>
      <c r="CD2580" s="2">
        <v>7620</v>
      </c>
      <c r="CE2580" s="2" t="s">
        <v>86</v>
      </c>
      <c r="CF2580" s="5">
        <v>42671</v>
      </c>
      <c r="CG2580" s="2"/>
      <c r="CH2580" s="2"/>
      <c r="CI2580" s="2">
        <v>1</v>
      </c>
      <c r="CJ2580" s="2">
        <v>1</v>
      </c>
      <c r="CK2580" s="2">
        <v>21</v>
      </c>
      <c r="CL2580" s="2" t="s">
        <v>88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"FES1162509621"</f>
        <v>FES1162509621</v>
      </c>
      <c r="F2581" s="3">
        <v>42669</v>
      </c>
      <c r="G2581" s="2">
        <v>201704</v>
      </c>
      <c r="H2581" s="2" t="s">
        <v>74</v>
      </c>
      <c r="I2581" s="2" t="s">
        <v>75</v>
      </c>
      <c r="J2581" s="2" t="s">
        <v>76</v>
      </c>
      <c r="K2581" s="2" t="s">
        <v>77</v>
      </c>
      <c r="L2581" s="2" t="s">
        <v>160</v>
      </c>
      <c r="M2581" s="2" t="s">
        <v>161</v>
      </c>
      <c r="N2581" s="2" t="s">
        <v>179</v>
      </c>
      <c r="O2581" s="2" t="s">
        <v>96</v>
      </c>
      <c r="P2581" s="2" t="str">
        <f>"2170532815                    "</f>
        <v xml:space="preserve">2170532815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3.32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0.5</v>
      </c>
      <c r="BJ2581" s="2">
        <v>0.2</v>
      </c>
      <c r="BK2581" s="2">
        <v>0.5</v>
      </c>
      <c r="BL2581" s="2">
        <v>40.76</v>
      </c>
      <c r="BM2581" s="2">
        <v>5.71</v>
      </c>
      <c r="BN2581" s="2">
        <v>46.47</v>
      </c>
      <c r="BO2581" s="2">
        <v>46.47</v>
      </c>
      <c r="BP2581" s="2"/>
      <c r="BQ2581" s="2" t="s">
        <v>180</v>
      </c>
      <c r="BR2581" s="2" t="s">
        <v>83</v>
      </c>
      <c r="BS2581" s="3">
        <v>42670</v>
      </c>
      <c r="BT2581" s="4">
        <v>0.41666666666666669</v>
      </c>
      <c r="BU2581" s="2" t="s">
        <v>1988</v>
      </c>
      <c r="BV2581" s="2" t="s">
        <v>85</v>
      </c>
      <c r="BW2581" s="2"/>
      <c r="BX2581" s="2"/>
      <c r="BY2581" s="2">
        <v>1200</v>
      </c>
      <c r="BZ2581" s="2"/>
      <c r="CA2581" s="2"/>
      <c r="CB2581" s="2"/>
      <c r="CC2581" s="2" t="s">
        <v>161</v>
      </c>
      <c r="CD2581" s="2">
        <v>7405</v>
      </c>
      <c r="CE2581" s="2" t="s">
        <v>108</v>
      </c>
      <c r="CF2581" s="5">
        <v>42671</v>
      </c>
      <c r="CG2581" s="2"/>
      <c r="CH2581" s="2"/>
      <c r="CI2581" s="2">
        <v>1</v>
      </c>
      <c r="CJ2581" s="2">
        <v>1</v>
      </c>
      <c r="CK2581" s="2">
        <v>21</v>
      </c>
      <c r="CL2581" s="2" t="s">
        <v>88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"FES1162509603"</f>
        <v>FES1162509603</v>
      </c>
      <c r="F2582" s="3">
        <v>42669</v>
      </c>
      <c r="G2582" s="2">
        <v>201704</v>
      </c>
      <c r="H2582" s="2" t="s">
        <v>74</v>
      </c>
      <c r="I2582" s="2" t="s">
        <v>75</v>
      </c>
      <c r="J2582" s="2" t="s">
        <v>76</v>
      </c>
      <c r="K2582" s="2" t="s">
        <v>77</v>
      </c>
      <c r="L2582" s="2" t="s">
        <v>160</v>
      </c>
      <c r="M2582" s="2" t="s">
        <v>161</v>
      </c>
      <c r="N2582" s="2" t="s">
        <v>267</v>
      </c>
      <c r="O2582" s="2" t="s">
        <v>96</v>
      </c>
      <c r="P2582" s="2" t="str">
        <f>"2170532738                    "</f>
        <v xml:space="preserve">2170532738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3.32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0.5</v>
      </c>
      <c r="BJ2582" s="2">
        <v>0.2</v>
      </c>
      <c r="BK2582" s="2">
        <v>0.5</v>
      </c>
      <c r="BL2582" s="2">
        <v>40.76</v>
      </c>
      <c r="BM2582" s="2">
        <v>5.71</v>
      </c>
      <c r="BN2582" s="2">
        <v>46.47</v>
      </c>
      <c r="BO2582" s="2">
        <v>46.47</v>
      </c>
      <c r="BP2582" s="2"/>
      <c r="BQ2582" s="2" t="s">
        <v>117</v>
      </c>
      <c r="BR2582" s="2" t="s">
        <v>83</v>
      </c>
      <c r="BS2582" s="3">
        <v>42670</v>
      </c>
      <c r="BT2582" s="4">
        <v>0.3263888888888889</v>
      </c>
      <c r="BU2582" s="2" t="s">
        <v>2434</v>
      </c>
      <c r="BV2582" s="2" t="s">
        <v>85</v>
      </c>
      <c r="BW2582" s="2"/>
      <c r="BX2582" s="2"/>
      <c r="BY2582" s="2">
        <v>1200</v>
      </c>
      <c r="BZ2582" s="2"/>
      <c r="CA2582" s="2"/>
      <c r="CB2582" s="2"/>
      <c r="CC2582" s="2" t="s">
        <v>161</v>
      </c>
      <c r="CD2582" s="2">
        <v>7441</v>
      </c>
      <c r="CE2582" s="2" t="s">
        <v>108</v>
      </c>
      <c r="CF2582" s="5">
        <v>42671</v>
      </c>
      <c r="CG2582" s="2"/>
      <c r="CH2582" s="2"/>
      <c r="CI2582" s="2">
        <v>1</v>
      </c>
      <c r="CJ2582" s="2">
        <v>1</v>
      </c>
      <c r="CK2582" s="2">
        <v>21</v>
      </c>
      <c r="CL2582" s="2" t="s">
        <v>88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"FES1162509511"</f>
        <v>FES1162509511</v>
      </c>
      <c r="F2583" s="3">
        <v>42669</v>
      </c>
      <c r="G2583" s="2">
        <v>201704</v>
      </c>
      <c r="H2583" s="2" t="s">
        <v>74</v>
      </c>
      <c r="I2583" s="2" t="s">
        <v>75</v>
      </c>
      <c r="J2583" s="2" t="s">
        <v>76</v>
      </c>
      <c r="K2583" s="2" t="s">
        <v>77</v>
      </c>
      <c r="L2583" s="2" t="s">
        <v>218</v>
      </c>
      <c r="M2583" s="2" t="s">
        <v>219</v>
      </c>
      <c r="N2583" s="2" t="s">
        <v>220</v>
      </c>
      <c r="O2583" s="2" t="s">
        <v>96</v>
      </c>
      <c r="P2583" s="2" t="str">
        <f>"2170532688                    "</f>
        <v xml:space="preserve">2170532688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3.32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0.5</v>
      </c>
      <c r="BJ2583" s="2">
        <v>0.3</v>
      </c>
      <c r="BK2583" s="2">
        <v>0.5</v>
      </c>
      <c r="BL2583" s="2">
        <v>40.76</v>
      </c>
      <c r="BM2583" s="2">
        <v>5.71</v>
      </c>
      <c r="BN2583" s="2">
        <v>46.47</v>
      </c>
      <c r="BO2583" s="2">
        <v>46.47</v>
      </c>
      <c r="BP2583" s="2"/>
      <c r="BQ2583" s="2" t="s">
        <v>91</v>
      </c>
      <c r="BR2583" s="2" t="s">
        <v>83</v>
      </c>
      <c r="BS2583" s="3">
        <v>42670</v>
      </c>
      <c r="BT2583" s="4">
        <v>0.4513888888888889</v>
      </c>
      <c r="BU2583" s="2" t="s">
        <v>1881</v>
      </c>
      <c r="BV2583" s="2" t="s">
        <v>85</v>
      </c>
      <c r="BW2583" s="2"/>
      <c r="BX2583" s="2"/>
      <c r="BY2583" s="2">
        <v>1350.02</v>
      </c>
      <c r="BZ2583" s="2"/>
      <c r="CA2583" s="2"/>
      <c r="CB2583" s="2"/>
      <c r="CC2583" s="2" t="s">
        <v>219</v>
      </c>
      <c r="CD2583" s="2">
        <v>7600</v>
      </c>
      <c r="CE2583" s="2" t="s">
        <v>108</v>
      </c>
      <c r="CF2583" s="5">
        <v>42671</v>
      </c>
      <c r="CG2583" s="2"/>
      <c r="CH2583" s="2"/>
      <c r="CI2583" s="2">
        <v>1</v>
      </c>
      <c r="CJ2583" s="2">
        <v>1</v>
      </c>
      <c r="CK2583" s="2">
        <v>21</v>
      </c>
      <c r="CL2583" s="2" t="s">
        <v>88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"FES1162509605"</f>
        <v>FES1162509605</v>
      </c>
      <c r="F2584" s="3">
        <v>42669</v>
      </c>
      <c r="G2584" s="2">
        <v>201704</v>
      </c>
      <c r="H2584" s="2" t="s">
        <v>74</v>
      </c>
      <c r="I2584" s="2" t="s">
        <v>75</v>
      </c>
      <c r="J2584" s="2" t="s">
        <v>76</v>
      </c>
      <c r="K2584" s="2" t="s">
        <v>77</v>
      </c>
      <c r="L2584" s="2" t="s">
        <v>269</v>
      </c>
      <c r="M2584" s="2" t="s">
        <v>270</v>
      </c>
      <c r="N2584" s="2" t="s">
        <v>299</v>
      </c>
      <c r="O2584" s="2" t="s">
        <v>96</v>
      </c>
      <c r="P2584" s="2" t="str">
        <f>"2170532792                    "</f>
        <v xml:space="preserve">2170532792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4.1500000000000004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2.2999999999999998</v>
      </c>
      <c r="BJ2584" s="2">
        <v>0.9</v>
      </c>
      <c r="BK2584" s="2">
        <v>2.5</v>
      </c>
      <c r="BL2584" s="2">
        <v>50.95</v>
      </c>
      <c r="BM2584" s="2">
        <v>7.13</v>
      </c>
      <c r="BN2584" s="2">
        <v>58.08</v>
      </c>
      <c r="BO2584" s="2">
        <v>58.08</v>
      </c>
      <c r="BP2584" s="2"/>
      <c r="BQ2584" s="2" t="s">
        <v>300</v>
      </c>
      <c r="BR2584" s="2" t="s">
        <v>83</v>
      </c>
      <c r="BS2584" s="3">
        <v>42670</v>
      </c>
      <c r="BT2584" s="4">
        <v>0.4375</v>
      </c>
      <c r="BU2584" s="2" t="s">
        <v>2435</v>
      </c>
      <c r="BV2584" s="2" t="s">
        <v>85</v>
      </c>
      <c r="BW2584" s="2"/>
      <c r="BX2584" s="2"/>
      <c r="BY2584" s="2">
        <v>4581.8900000000003</v>
      </c>
      <c r="BZ2584" s="2"/>
      <c r="CA2584" s="2"/>
      <c r="CB2584" s="2"/>
      <c r="CC2584" s="2" t="s">
        <v>270</v>
      </c>
      <c r="CD2584" s="2">
        <v>3610</v>
      </c>
      <c r="CE2584" s="2" t="s">
        <v>86</v>
      </c>
      <c r="CF2584" s="5">
        <v>42671</v>
      </c>
      <c r="CG2584" s="2"/>
      <c r="CH2584" s="2"/>
      <c r="CI2584" s="2">
        <v>1</v>
      </c>
      <c r="CJ2584" s="2">
        <v>1</v>
      </c>
      <c r="CK2584" s="2">
        <v>21</v>
      </c>
      <c r="CL2584" s="2" t="s">
        <v>88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"FES1162509489"</f>
        <v>FES1162509489</v>
      </c>
      <c r="F2585" s="3">
        <v>42669</v>
      </c>
      <c r="G2585" s="2">
        <v>201704</v>
      </c>
      <c r="H2585" s="2" t="s">
        <v>74</v>
      </c>
      <c r="I2585" s="2" t="s">
        <v>75</v>
      </c>
      <c r="J2585" s="2" t="s">
        <v>76</v>
      </c>
      <c r="K2585" s="2" t="s">
        <v>77</v>
      </c>
      <c r="L2585" s="2" t="s">
        <v>372</v>
      </c>
      <c r="M2585" s="2" t="s">
        <v>373</v>
      </c>
      <c r="N2585" s="2" t="s">
        <v>374</v>
      </c>
      <c r="O2585" s="2" t="s">
        <v>81</v>
      </c>
      <c r="P2585" s="2" t="str">
        <f>"2170532673                    "</f>
        <v xml:space="preserve">2170532673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8.09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6</v>
      </c>
      <c r="BJ2585" s="2">
        <v>0.2</v>
      </c>
      <c r="BK2585" s="2">
        <v>6</v>
      </c>
      <c r="BL2585" s="2">
        <v>104.35</v>
      </c>
      <c r="BM2585" s="2">
        <v>14.61</v>
      </c>
      <c r="BN2585" s="2">
        <v>118.96</v>
      </c>
      <c r="BO2585" s="2">
        <v>118.96</v>
      </c>
      <c r="BP2585" s="2"/>
      <c r="BQ2585" s="2" t="s">
        <v>375</v>
      </c>
      <c r="BR2585" s="2" t="s">
        <v>83</v>
      </c>
      <c r="BS2585" s="3">
        <v>42670</v>
      </c>
      <c r="BT2585" s="4">
        <v>0.51041666666666663</v>
      </c>
      <c r="BU2585" s="2" t="s">
        <v>2397</v>
      </c>
      <c r="BV2585" s="2" t="s">
        <v>85</v>
      </c>
      <c r="BW2585" s="2"/>
      <c r="BX2585" s="2"/>
      <c r="BY2585" s="2">
        <v>1200</v>
      </c>
      <c r="BZ2585" s="2"/>
      <c r="CA2585" s="2"/>
      <c r="CB2585" s="2"/>
      <c r="CC2585" s="2" t="s">
        <v>373</v>
      </c>
      <c r="CD2585" s="2">
        <v>9650</v>
      </c>
      <c r="CE2585" s="2" t="s">
        <v>108</v>
      </c>
      <c r="CF2585" s="5">
        <v>42675</v>
      </c>
      <c r="CG2585" s="2"/>
      <c r="CH2585" s="2"/>
      <c r="CI2585" s="2">
        <v>1</v>
      </c>
      <c r="CJ2585" s="2">
        <v>1</v>
      </c>
      <c r="CK2585" s="2" t="s">
        <v>1478</v>
      </c>
      <c r="CL2585" s="2" t="s">
        <v>88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"FES1162509388"</f>
        <v>FES1162509388</v>
      </c>
      <c r="F2586" s="3">
        <v>42669</v>
      </c>
      <c r="G2586" s="2">
        <v>201704</v>
      </c>
      <c r="H2586" s="2" t="s">
        <v>74</v>
      </c>
      <c r="I2586" s="2" t="s">
        <v>75</v>
      </c>
      <c r="J2586" s="2" t="s">
        <v>76</v>
      </c>
      <c r="K2586" s="2" t="s">
        <v>77</v>
      </c>
      <c r="L2586" s="2" t="s">
        <v>1062</v>
      </c>
      <c r="M2586" s="2" t="s">
        <v>161</v>
      </c>
      <c r="N2586" s="2" t="s">
        <v>244</v>
      </c>
      <c r="O2586" s="2" t="s">
        <v>81</v>
      </c>
      <c r="P2586" s="2" t="str">
        <f>"2170526183                    "</f>
        <v xml:space="preserve">2170526183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26.26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82</v>
      </c>
      <c r="BJ2586" s="2">
        <v>62</v>
      </c>
      <c r="BK2586" s="2">
        <v>82</v>
      </c>
      <c r="BL2586" s="2">
        <v>327.66000000000003</v>
      </c>
      <c r="BM2586" s="2">
        <v>45.87</v>
      </c>
      <c r="BN2586" s="2">
        <v>373.53</v>
      </c>
      <c r="BO2586" s="2">
        <v>373.53</v>
      </c>
      <c r="BP2586" s="2" t="s">
        <v>1836</v>
      </c>
      <c r="BQ2586" s="2" t="s">
        <v>117</v>
      </c>
      <c r="BR2586" s="2" t="s">
        <v>83</v>
      </c>
      <c r="BS2586" s="3">
        <v>42671</v>
      </c>
      <c r="BT2586" s="4">
        <v>0.41666666666666669</v>
      </c>
      <c r="BU2586" s="2" t="s">
        <v>2436</v>
      </c>
      <c r="BV2586" s="2" t="s">
        <v>85</v>
      </c>
      <c r="BW2586" s="2"/>
      <c r="BX2586" s="2"/>
      <c r="BY2586" s="2">
        <v>310124</v>
      </c>
      <c r="BZ2586" s="2"/>
      <c r="CA2586" s="2"/>
      <c r="CB2586" s="2"/>
      <c r="CC2586" s="2" t="s">
        <v>161</v>
      </c>
      <c r="CD2586" s="2">
        <v>7800</v>
      </c>
      <c r="CE2586" s="2" t="s">
        <v>86</v>
      </c>
      <c r="CF2586" s="5">
        <v>42674</v>
      </c>
      <c r="CG2586" s="2"/>
      <c r="CH2586" s="2"/>
      <c r="CI2586" s="2">
        <v>2</v>
      </c>
      <c r="CJ2586" s="2">
        <v>2</v>
      </c>
      <c r="CK2586" s="2" t="s">
        <v>1063</v>
      </c>
      <c r="CL2586" s="2" t="s">
        <v>88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"019910479755"</f>
        <v>019910479755</v>
      </c>
      <c r="F2587" s="3">
        <v>42669</v>
      </c>
      <c r="G2587" s="2">
        <v>201704</v>
      </c>
      <c r="H2587" s="2" t="s">
        <v>160</v>
      </c>
      <c r="I2587" s="2" t="s">
        <v>161</v>
      </c>
      <c r="J2587" s="2" t="s">
        <v>2437</v>
      </c>
      <c r="K2587" s="2" t="s">
        <v>77</v>
      </c>
      <c r="L2587" s="2" t="s">
        <v>74</v>
      </c>
      <c r="M2587" s="2" t="s">
        <v>75</v>
      </c>
      <c r="N2587" s="2" t="s">
        <v>189</v>
      </c>
      <c r="O2587" s="2" t="s">
        <v>81</v>
      </c>
      <c r="P2587" s="2" t="str">
        <f>"                              "</f>
        <v xml:space="preserve">          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6.79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</v>
      </c>
      <c r="BJ2587" s="2">
        <v>0.3</v>
      </c>
      <c r="BK2587" s="2">
        <v>1</v>
      </c>
      <c r="BL2587" s="2">
        <v>88.43</v>
      </c>
      <c r="BM2587" s="2">
        <v>12.38</v>
      </c>
      <c r="BN2587" s="2">
        <v>100.81</v>
      </c>
      <c r="BO2587" s="2">
        <v>100.81</v>
      </c>
      <c r="BP2587" s="2"/>
      <c r="BQ2587" s="2" t="s">
        <v>1874</v>
      </c>
      <c r="BR2587" s="2" t="s">
        <v>2438</v>
      </c>
      <c r="BS2587" s="3">
        <v>42671</v>
      </c>
      <c r="BT2587" s="4">
        <v>0.35416666666666669</v>
      </c>
      <c r="BU2587" s="2" t="s">
        <v>102</v>
      </c>
      <c r="BV2587" s="2" t="s">
        <v>85</v>
      </c>
      <c r="BW2587" s="2"/>
      <c r="BX2587" s="2"/>
      <c r="BY2587" s="2">
        <v>1496</v>
      </c>
      <c r="BZ2587" s="2"/>
      <c r="CA2587" s="2"/>
      <c r="CB2587" s="2"/>
      <c r="CC2587" s="2" t="s">
        <v>75</v>
      </c>
      <c r="CD2587" s="2">
        <v>1600</v>
      </c>
      <c r="CE2587" s="2" t="s">
        <v>86</v>
      </c>
      <c r="CF2587" s="5">
        <v>42674</v>
      </c>
      <c r="CG2587" s="2"/>
      <c r="CH2587" s="2"/>
      <c r="CI2587" s="2">
        <v>2</v>
      </c>
      <c r="CJ2587" s="2">
        <v>2</v>
      </c>
      <c r="CK2587" s="2" t="s">
        <v>1063</v>
      </c>
      <c r="CL2587" s="2" t="s">
        <v>88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"FES1162508744"</f>
        <v>FES1162508744</v>
      </c>
      <c r="F2588" s="3">
        <v>42669</v>
      </c>
      <c r="G2588" s="2">
        <v>201704</v>
      </c>
      <c r="H2588" s="2" t="s">
        <v>74</v>
      </c>
      <c r="I2588" s="2" t="s">
        <v>75</v>
      </c>
      <c r="J2588" s="2" t="s">
        <v>76</v>
      </c>
      <c r="K2588" s="2" t="s">
        <v>77</v>
      </c>
      <c r="L2588" s="2" t="s">
        <v>1122</v>
      </c>
      <c r="M2588" s="2" t="s">
        <v>1123</v>
      </c>
      <c r="N2588" s="2" t="s">
        <v>2439</v>
      </c>
      <c r="O2588" s="2" t="s">
        <v>81</v>
      </c>
      <c r="P2588" s="2" t="str">
        <f>"1162508739 8741 8738 8742 8740"</f>
        <v>1162508739 8741 8738 8742 8740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5.7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7.3</v>
      </c>
      <c r="BJ2588" s="2">
        <v>9.1999999999999993</v>
      </c>
      <c r="BK2588" s="2">
        <v>10</v>
      </c>
      <c r="BL2588" s="2">
        <v>75.05</v>
      </c>
      <c r="BM2588" s="2">
        <v>10.51</v>
      </c>
      <c r="BN2588" s="2">
        <v>85.56</v>
      </c>
      <c r="BO2588" s="2">
        <v>85.56</v>
      </c>
      <c r="BP2588" s="2"/>
      <c r="BQ2588" s="2" t="s">
        <v>2440</v>
      </c>
      <c r="BR2588" s="2" t="s">
        <v>83</v>
      </c>
      <c r="BS2588" s="3">
        <v>42670</v>
      </c>
      <c r="BT2588" s="4">
        <v>0.41666666666666669</v>
      </c>
      <c r="BU2588" s="2" t="s">
        <v>1999</v>
      </c>
      <c r="BV2588" s="2" t="s">
        <v>85</v>
      </c>
      <c r="BW2588" s="2"/>
      <c r="BX2588" s="2"/>
      <c r="BY2588" s="2">
        <v>45956.29</v>
      </c>
      <c r="BZ2588" s="2"/>
      <c r="CA2588" s="2"/>
      <c r="CB2588" s="2"/>
      <c r="CC2588" s="2" t="s">
        <v>1123</v>
      </c>
      <c r="CD2588" s="2">
        <v>1900</v>
      </c>
      <c r="CE2588" s="2" t="s">
        <v>86</v>
      </c>
      <c r="CF2588" s="5">
        <v>42674</v>
      </c>
      <c r="CG2588" s="2"/>
      <c r="CH2588" s="2"/>
      <c r="CI2588" s="2">
        <v>1</v>
      </c>
      <c r="CJ2588" s="2">
        <v>1</v>
      </c>
      <c r="CK2588" s="2" t="s">
        <v>87</v>
      </c>
      <c r="CL2588" s="2" t="s">
        <v>88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"FES1162509560"</f>
        <v>FES1162509560</v>
      </c>
      <c r="F2589" s="3">
        <v>42669</v>
      </c>
      <c r="G2589" s="2">
        <v>201704</v>
      </c>
      <c r="H2589" s="2" t="s">
        <v>74</v>
      </c>
      <c r="I2589" s="2" t="s">
        <v>75</v>
      </c>
      <c r="J2589" s="2" t="s">
        <v>76</v>
      </c>
      <c r="K2589" s="2" t="s">
        <v>77</v>
      </c>
      <c r="L2589" s="2" t="s">
        <v>1122</v>
      </c>
      <c r="M2589" s="2" t="s">
        <v>1123</v>
      </c>
      <c r="N2589" s="2" t="s">
        <v>422</v>
      </c>
      <c r="O2589" s="2" t="s">
        <v>81</v>
      </c>
      <c r="P2589" s="2" t="str">
        <f>"2170528591                    "</f>
        <v xml:space="preserve">2170528591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6.05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2</v>
      </c>
      <c r="BI2589" s="2">
        <v>16</v>
      </c>
      <c r="BJ2589" s="2">
        <v>16.8</v>
      </c>
      <c r="BK2589" s="2">
        <v>17</v>
      </c>
      <c r="BL2589" s="2">
        <v>79.38</v>
      </c>
      <c r="BM2589" s="2">
        <v>11.11</v>
      </c>
      <c r="BN2589" s="2">
        <v>90.49</v>
      </c>
      <c r="BO2589" s="2">
        <v>90.49</v>
      </c>
      <c r="BP2589" s="2"/>
      <c r="BQ2589" s="2" t="s">
        <v>91</v>
      </c>
      <c r="BR2589" s="2" t="s">
        <v>83</v>
      </c>
      <c r="BS2589" s="3">
        <v>42671</v>
      </c>
      <c r="BT2589" s="4">
        <v>0.41666666666666669</v>
      </c>
      <c r="BU2589" s="2" t="s">
        <v>2441</v>
      </c>
      <c r="BV2589" s="2" t="s">
        <v>88</v>
      </c>
      <c r="BW2589" s="2"/>
      <c r="BX2589" s="2"/>
      <c r="BY2589" s="2">
        <v>84132</v>
      </c>
      <c r="BZ2589" s="2"/>
      <c r="CA2589" s="2"/>
      <c r="CB2589" s="2"/>
      <c r="CC2589" s="2" t="s">
        <v>1123</v>
      </c>
      <c r="CD2589" s="2">
        <v>1911</v>
      </c>
      <c r="CE2589" s="2" t="s">
        <v>86</v>
      </c>
      <c r="CF2589" s="5">
        <v>42675</v>
      </c>
      <c r="CG2589" s="2"/>
      <c r="CH2589" s="2"/>
      <c r="CI2589" s="2">
        <v>1</v>
      </c>
      <c r="CJ2589" s="2">
        <v>2</v>
      </c>
      <c r="CK2589" s="2" t="s">
        <v>87</v>
      </c>
      <c r="CL2589" s="2" t="s">
        <v>88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"FES1162509561"</f>
        <v>FES1162509561</v>
      </c>
      <c r="F2590" s="3">
        <v>42669</v>
      </c>
      <c r="G2590" s="2">
        <v>201704</v>
      </c>
      <c r="H2590" s="2" t="s">
        <v>74</v>
      </c>
      <c r="I2590" s="2" t="s">
        <v>75</v>
      </c>
      <c r="J2590" s="2" t="s">
        <v>76</v>
      </c>
      <c r="K2590" s="2" t="s">
        <v>77</v>
      </c>
      <c r="L2590" s="2" t="s">
        <v>1122</v>
      </c>
      <c r="M2590" s="2" t="s">
        <v>1123</v>
      </c>
      <c r="N2590" s="2" t="s">
        <v>422</v>
      </c>
      <c r="O2590" s="2" t="s">
        <v>81</v>
      </c>
      <c r="P2590" s="2" t="str">
        <f>"2170529281                    "</f>
        <v xml:space="preserve">2170529281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6.05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2</v>
      </c>
      <c r="BI2590" s="2">
        <v>16</v>
      </c>
      <c r="BJ2590" s="2">
        <v>16.8</v>
      </c>
      <c r="BK2590" s="2">
        <v>17</v>
      </c>
      <c r="BL2590" s="2">
        <v>79.38</v>
      </c>
      <c r="BM2590" s="2">
        <v>11.11</v>
      </c>
      <c r="BN2590" s="2">
        <v>90.49</v>
      </c>
      <c r="BO2590" s="2">
        <v>90.49</v>
      </c>
      <c r="BP2590" s="2"/>
      <c r="BQ2590" s="2" t="s">
        <v>91</v>
      </c>
      <c r="BR2590" s="2" t="s">
        <v>83</v>
      </c>
      <c r="BS2590" s="3">
        <v>42671</v>
      </c>
      <c r="BT2590" s="4">
        <v>0.41666666666666669</v>
      </c>
      <c r="BU2590" s="2" t="s">
        <v>2441</v>
      </c>
      <c r="BV2590" s="2" t="s">
        <v>88</v>
      </c>
      <c r="BW2590" s="2"/>
      <c r="BX2590" s="2"/>
      <c r="BY2590" s="2">
        <v>84132</v>
      </c>
      <c r="BZ2590" s="2"/>
      <c r="CA2590" s="2"/>
      <c r="CB2590" s="2"/>
      <c r="CC2590" s="2" t="s">
        <v>1123</v>
      </c>
      <c r="CD2590" s="2">
        <v>1911</v>
      </c>
      <c r="CE2590" s="2" t="s">
        <v>86</v>
      </c>
      <c r="CF2590" s="5">
        <v>42675</v>
      </c>
      <c r="CG2590" s="2"/>
      <c r="CH2590" s="2"/>
      <c r="CI2590" s="2">
        <v>1</v>
      </c>
      <c r="CJ2590" s="2">
        <v>2</v>
      </c>
      <c r="CK2590" s="2" t="s">
        <v>87</v>
      </c>
      <c r="CL2590" s="2" t="s">
        <v>88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"FES1162509333"</f>
        <v>FES1162509333</v>
      </c>
      <c r="F2591" s="3">
        <v>42669</v>
      </c>
      <c r="G2591" s="2">
        <v>201704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160</v>
      </c>
      <c r="M2591" s="2" t="s">
        <v>161</v>
      </c>
      <c r="N2591" s="2" t="s">
        <v>470</v>
      </c>
      <c r="O2591" s="2" t="s">
        <v>96</v>
      </c>
      <c r="P2591" s="2" t="str">
        <f>"2170529954                    "</f>
        <v xml:space="preserve">2170529954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3.32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1.1000000000000001</v>
      </c>
      <c r="BJ2591" s="2">
        <v>1.7</v>
      </c>
      <c r="BK2591" s="2">
        <v>2</v>
      </c>
      <c r="BL2591" s="2">
        <v>40.76</v>
      </c>
      <c r="BM2591" s="2">
        <v>5.71</v>
      </c>
      <c r="BN2591" s="2">
        <v>46.47</v>
      </c>
      <c r="BO2591" s="2">
        <v>46.47</v>
      </c>
      <c r="BP2591" s="2"/>
      <c r="BQ2591" s="2" t="s">
        <v>471</v>
      </c>
      <c r="BR2591" s="2" t="s">
        <v>83</v>
      </c>
      <c r="BS2591" s="3">
        <v>42671</v>
      </c>
      <c r="BT2591" s="4">
        <v>0.375</v>
      </c>
      <c r="BU2591" s="2" t="s">
        <v>2442</v>
      </c>
      <c r="BV2591" s="2" t="s">
        <v>88</v>
      </c>
      <c r="BW2591" s="2" t="s">
        <v>277</v>
      </c>
      <c r="BX2591" s="2" t="s">
        <v>223</v>
      </c>
      <c r="BY2591" s="2">
        <v>8320.48</v>
      </c>
      <c r="BZ2591" s="2"/>
      <c r="CA2591" s="2"/>
      <c r="CB2591" s="2"/>
      <c r="CC2591" s="2" t="s">
        <v>161</v>
      </c>
      <c r="CD2591" s="2">
        <v>7945</v>
      </c>
      <c r="CE2591" s="2" t="s">
        <v>86</v>
      </c>
      <c r="CF2591" s="5">
        <v>42674</v>
      </c>
      <c r="CG2591" s="2"/>
      <c r="CH2591" s="2"/>
      <c r="CI2591" s="2">
        <v>1</v>
      </c>
      <c r="CJ2591" s="2">
        <v>2</v>
      </c>
      <c r="CK2591" s="2">
        <v>21</v>
      </c>
      <c r="CL2591" s="2" t="s">
        <v>88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"FES1162509562"</f>
        <v>FES1162509562</v>
      </c>
      <c r="F2592" s="3">
        <v>42669</v>
      </c>
      <c r="G2592" s="2">
        <v>201704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160</v>
      </c>
      <c r="M2592" s="2" t="s">
        <v>161</v>
      </c>
      <c r="N2592" s="2" t="s">
        <v>179</v>
      </c>
      <c r="O2592" s="2" t="s">
        <v>96</v>
      </c>
      <c r="P2592" s="2" t="str">
        <f>"2170532740                    "</f>
        <v xml:space="preserve">2170532740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3.32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0.5</v>
      </c>
      <c r="BJ2592" s="2">
        <v>0.2</v>
      </c>
      <c r="BK2592" s="2">
        <v>0.5</v>
      </c>
      <c r="BL2592" s="2">
        <v>40.76</v>
      </c>
      <c r="BM2592" s="2">
        <v>5.71</v>
      </c>
      <c r="BN2592" s="2">
        <v>46.47</v>
      </c>
      <c r="BO2592" s="2">
        <v>46.47</v>
      </c>
      <c r="BP2592" s="2"/>
      <c r="BQ2592" s="2" t="s">
        <v>180</v>
      </c>
      <c r="BR2592" s="2" t="s">
        <v>83</v>
      </c>
      <c r="BS2592" s="3">
        <v>42670</v>
      </c>
      <c r="BT2592" s="4">
        <v>0.41666666666666669</v>
      </c>
      <c r="BU2592" s="2" t="s">
        <v>1988</v>
      </c>
      <c r="BV2592" s="2" t="s">
        <v>85</v>
      </c>
      <c r="BW2592" s="2"/>
      <c r="BX2592" s="2"/>
      <c r="BY2592" s="2">
        <v>1200</v>
      </c>
      <c r="BZ2592" s="2"/>
      <c r="CA2592" s="2"/>
      <c r="CB2592" s="2"/>
      <c r="CC2592" s="2" t="s">
        <v>161</v>
      </c>
      <c r="CD2592" s="2">
        <v>7405</v>
      </c>
      <c r="CE2592" s="2" t="s">
        <v>108</v>
      </c>
      <c r="CF2592" s="5">
        <v>42671</v>
      </c>
      <c r="CG2592" s="2"/>
      <c r="CH2592" s="2"/>
      <c r="CI2592" s="2">
        <v>1</v>
      </c>
      <c r="CJ2592" s="2">
        <v>1</v>
      </c>
      <c r="CK2592" s="2">
        <v>21</v>
      </c>
      <c r="CL2592" s="2" t="s">
        <v>88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"FES1162509494"</f>
        <v>FES1162509494</v>
      </c>
      <c r="F2593" s="3">
        <v>42669</v>
      </c>
      <c r="G2593" s="2">
        <v>201704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898</v>
      </c>
      <c r="M2593" s="2" t="s">
        <v>899</v>
      </c>
      <c r="N2593" s="2" t="s">
        <v>2027</v>
      </c>
      <c r="O2593" s="2" t="s">
        <v>96</v>
      </c>
      <c r="P2593" s="2" t="str">
        <f>"2170531341                    "</f>
        <v xml:space="preserve">2170531341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4.1500000000000004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2.2000000000000002</v>
      </c>
      <c r="BJ2593" s="2">
        <v>1.4</v>
      </c>
      <c r="BK2593" s="2">
        <v>2.5</v>
      </c>
      <c r="BL2593" s="2">
        <v>50.95</v>
      </c>
      <c r="BM2593" s="2">
        <v>7.13</v>
      </c>
      <c r="BN2593" s="2">
        <v>58.08</v>
      </c>
      <c r="BO2593" s="2">
        <v>58.08</v>
      </c>
      <c r="BP2593" s="2"/>
      <c r="BQ2593" s="2" t="s">
        <v>2028</v>
      </c>
      <c r="BR2593" s="2" t="s">
        <v>83</v>
      </c>
      <c r="BS2593" s="3">
        <v>42670</v>
      </c>
      <c r="BT2593" s="4">
        <v>0.54513888888888895</v>
      </c>
      <c r="BU2593" s="2" t="s">
        <v>2443</v>
      </c>
      <c r="BV2593" s="2" t="s">
        <v>85</v>
      </c>
      <c r="BW2593" s="2"/>
      <c r="BX2593" s="2"/>
      <c r="BY2593" s="2">
        <v>6998.85</v>
      </c>
      <c r="BZ2593" s="2"/>
      <c r="CA2593" s="2"/>
      <c r="CB2593" s="2"/>
      <c r="CC2593" s="2" t="s">
        <v>899</v>
      </c>
      <c r="CD2593" s="2">
        <v>7655</v>
      </c>
      <c r="CE2593" s="2" t="s">
        <v>86</v>
      </c>
      <c r="CF2593" s="5">
        <v>42671</v>
      </c>
      <c r="CG2593" s="2"/>
      <c r="CH2593" s="2"/>
      <c r="CI2593" s="2">
        <v>1</v>
      </c>
      <c r="CJ2593" s="2">
        <v>1</v>
      </c>
      <c r="CK2593" s="2">
        <v>21</v>
      </c>
      <c r="CL2593" s="2" t="s">
        <v>88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"FES1162509541"</f>
        <v>FES1162509541</v>
      </c>
      <c r="F2594" s="3">
        <v>42669</v>
      </c>
      <c r="G2594" s="2">
        <v>201704</v>
      </c>
      <c r="H2594" s="2" t="s">
        <v>74</v>
      </c>
      <c r="I2594" s="2" t="s">
        <v>75</v>
      </c>
      <c r="J2594" s="2" t="s">
        <v>76</v>
      </c>
      <c r="K2594" s="2" t="s">
        <v>77</v>
      </c>
      <c r="L2594" s="2" t="s">
        <v>160</v>
      </c>
      <c r="M2594" s="2" t="s">
        <v>161</v>
      </c>
      <c r="N2594" s="2" t="s">
        <v>1018</v>
      </c>
      <c r="O2594" s="2" t="s">
        <v>96</v>
      </c>
      <c r="P2594" s="2" t="str">
        <f>"2170529902                    "</f>
        <v xml:space="preserve">2170529902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3.32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1</v>
      </c>
      <c r="BI2594" s="2">
        <v>0.4</v>
      </c>
      <c r="BJ2594" s="2">
        <v>1.3</v>
      </c>
      <c r="BK2594" s="2">
        <v>1.5</v>
      </c>
      <c r="BL2594" s="2">
        <v>40.76</v>
      </c>
      <c r="BM2594" s="2">
        <v>5.71</v>
      </c>
      <c r="BN2594" s="2">
        <v>46.47</v>
      </c>
      <c r="BO2594" s="2">
        <v>46.47</v>
      </c>
      <c r="BP2594" s="2"/>
      <c r="BQ2594" s="2" t="s">
        <v>1093</v>
      </c>
      <c r="BR2594" s="2" t="s">
        <v>83</v>
      </c>
      <c r="BS2594" s="3">
        <v>42670</v>
      </c>
      <c r="BT2594" s="4">
        <v>0.42708333333333331</v>
      </c>
      <c r="BU2594" s="2" t="s">
        <v>2444</v>
      </c>
      <c r="BV2594" s="2" t="s">
        <v>85</v>
      </c>
      <c r="BW2594" s="2"/>
      <c r="BX2594" s="2"/>
      <c r="BY2594" s="2">
        <v>6481.15</v>
      </c>
      <c r="BZ2594" s="2"/>
      <c r="CA2594" s="2"/>
      <c r="CB2594" s="2"/>
      <c r="CC2594" s="2" t="s">
        <v>161</v>
      </c>
      <c r="CD2594" s="2">
        <v>7800</v>
      </c>
      <c r="CE2594" s="2" t="s">
        <v>86</v>
      </c>
      <c r="CF2594" s="5">
        <v>42671</v>
      </c>
      <c r="CG2594" s="2"/>
      <c r="CH2594" s="2"/>
      <c r="CI2594" s="2">
        <v>1</v>
      </c>
      <c r="CJ2594" s="2">
        <v>1</v>
      </c>
      <c r="CK2594" s="2">
        <v>21</v>
      </c>
      <c r="CL2594" s="2" t="s">
        <v>88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"FES1162509555"</f>
        <v>FES1162509555</v>
      </c>
      <c r="F2595" s="3">
        <v>42669</v>
      </c>
      <c r="G2595" s="2">
        <v>201704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160</v>
      </c>
      <c r="M2595" s="2" t="s">
        <v>161</v>
      </c>
      <c r="N2595" s="2" t="s">
        <v>162</v>
      </c>
      <c r="O2595" s="2" t="s">
        <v>96</v>
      </c>
      <c r="P2595" s="2" t="str">
        <f>"2170532730                    "</f>
        <v xml:space="preserve">2170532730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9.1199999999999992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5.4</v>
      </c>
      <c r="BJ2595" s="2">
        <v>1.7</v>
      </c>
      <c r="BK2595" s="2">
        <v>5.5</v>
      </c>
      <c r="BL2595" s="2">
        <v>112.08</v>
      </c>
      <c r="BM2595" s="2">
        <v>15.69</v>
      </c>
      <c r="BN2595" s="2">
        <v>127.77</v>
      </c>
      <c r="BO2595" s="2">
        <v>127.77</v>
      </c>
      <c r="BP2595" s="2"/>
      <c r="BQ2595" s="2" t="s">
        <v>163</v>
      </c>
      <c r="BR2595" s="2" t="s">
        <v>83</v>
      </c>
      <c r="BS2595" s="3">
        <v>42670</v>
      </c>
      <c r="BT2595" s="4">
        <v>0.41666666666666669</v>
      </c>
      <c r="BU2595" s="2" t="s">
        <v>2445</v>
      </c>
      <c r="BV2595" s="2" t="s">
        <v>85</v>
      </c>
      <c r="BW2595" s="2"/>
      <c r="BX2595" s="2"/>
      <c r="BY2595" s="2">
        <v>8323.2000000000007</v>
      </c>
      <c r="BZ2595" s="2"/>
      <c r="CA2595" s="2"/>
      <c r="CB2595" s="2"/>
      <c r="CC2595" s="2" t="s">
        <v>161</v>
      </c>
      <c r="CD2595" s="2">
        <v>7441</v>
      </c>
      <c r="CE2595" s="2" t="s">
        <v>86</v>
      </c>
      <c r="CF2595" s="5">
        <v>42671</v>
      </c>
      <c r="CG2595" s="2"/>
      <c r="CH2595" s="2"/>
      <c r="CI2595" s="2">
        <v>1</v>
      </c>
      <c r="CJ2595" s="2">
        <v>1</v>
      </c>
      <c r="CK2595" s="2">
        <v>21</v>
      </c>
      <c r="CL2595" s="2" t="s">
        <v>88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"FES1162509439"</f>
        <v>FES1162509439</v>
      </c>
      <c r="F2596" s="3">
        <v>42669</v>
      </c>
      <c r="G2596" s="2">
        <v>201704</v>
      </c>
      <c r="H2596" s="2" t="s">
        <v>74</v>
      </c>
      <c r="I2596" s="2" t="s">
        <v>75</v>
      </c>
      <c r="J2596" s="2" t="s">
        <v>76</v>
      </c>
      <c r="K2596" s="2" t="s">
        <v>77</v>
      </c>
      <c r="L2596" s="2" t="s">
        <v>98</v>
      </c>
      <c r="M2596" s="2" t="s">
        <v>99</v>
      </c>
      <c r="N2596" s="2" t="s">
        <v>133</v>
      </c>
      <c r="O2596" s="2" t="s">
        <v>96</v>
      </c>
      <c r="P2596" s="2" t="str">
        <f>"2170532611                    "</f>
        <v xml:space="preserve">2170532611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3.32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1</v>
      </c>
      <c r="BJ2596" s="2">
        <v>0.2</v>
      </c>
      <c r="BK2596" s="2">
        <v>1</v>
      </c>
      <c r="BL2596" s="2">
        <v>40.76</v>
      </c>
      <c r="BM2596" s="2">
        <v>5.71</v>
      </c>
      <c r="BN2596" s="2">
        <v>46.47</v>
      </c>
      <c r="BO2596" s="2">
        <v>46.47</v>
      </c>
      <c r="BP2596" s="2"/>
      <c r="BQ2596" s="2" t="s">
        <v>134</v>
      </c>
      <c r="BR2596" s="2" t="s">
        <v>83</v>
      </c>
      <c r="BS2596" s="3">
        <v>42670</v>
      </c>
      <c r="BT2596" s="4">
        <v>0.34027777777777773</v>
      </c>
      <c r="BU2596" s="2" t="s">
        <v>562</v>
      </c>
      <c r="BV2596" s="2" t="s">
        <v>85</v>
      </c>
      <c r="BW2596" s="2"/>
      <c r="BX2596" s="2"/>
      <c r="BY2596" s="2">
        <v>1200</v>
      </c>
      <c r="BZ2596" s="2"/>
      <c r="CA2596" s="2" t="s">
        <v>437</v>
      </c>
      <c r="CB2596" s="2"/>
      <c r="CC2596" s="2" t="s">
        <v>99</v>
      </c>
      <c r="CD2596" s="2">
        <v>6001</v>
      </c>
      <c r="CE2596" s="2" t="s">
        <v>108</v>
      </c>
      <c r="CF2596" s="5">
        <v>42670</v>
      </c>
      <c r="CG2596" s="2"/>
      <c r="CH2596" s="2"/>
      <c r="CI2596" s="2">
        <v>1</v>
      </c>
      <c r="CJ2596" s="2">
        <v>1</v>
      </c>
      <c r="CK2596" s="2">
        <v>21</v>
      </c>
      <c r="CL2596" s="2" t="s">
        <v>88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"FES1162509618"</f>
        <v>FES1162509618</v>
      </c>
      <c r="F2597" s="3">
        <v>42669</v>
      </c>
      <c r="G2597" s="2">
        <v>201704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160</v>
      </c>
      <c r="M2597" s="2" t="s">
        <v>161</v>
      </c>
      <c r="N2597" s="2" t="s">
        <v>748</v>
      </c>
      <c r="O2597" s="2" t="s">
        <v>96</v>
      </c>
      <c r="P2597" s="2" t="str">
        <f>"2170532811                    "</f>
        <v xml:space="preserve">2170532811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3.32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0.5</v>
      </c>
      <c r="BJ2597" s="2">
        <v>0.2</v>
      </c>
      <c r="BK2597" s="2">
        <v>0.5</v>
      </c>
      <c r="BL2597" s="2">
        <v>40.76</v>
      </c>
      <c r="BM2597" s="2">
        <v>5.71</v>
      </c>
      <c r="BN2597" s="2">
        <v>46.47</v>
      </c>
      <c r="BO2597" s="2">
        <v>46.47</v>
      </c>
      <c r="BP2597" s="2"/>
      <c r="BQ2597" s="2" t="s">
        <v>117</v>
      </c>
      <c r="BR2597" s="2" t="s">
        <v>83</v>
      </c>
      <c r="BS2597" s="3">
        <v>42670</v>
      </c>
      <c r="BT2597" s="4">
        <v>0.35625000000000001</v>
      </c>
      <c r="BU2597" s="2" t="s">
        <v>2446</v>
      </c>
      <c r="BV2597" s="2" t="s">
        <v>85</v>
      </c>
      <c r="BW2597" s="2"/>
      <c r="BX2597" s="2"/>
      <c r="BY2597" s="2">
        <v>1200</v>
      </c>
      <c r="BZ2597" s="2"/>
      <c r="CA2597" s="2"/>
      <c r="CB2597" s="2"/>
      <c r="CC2597" s="2" t="s">
        <v>161</v>
      </c>
      <c r="CD2597" s="2">
        <v>7493</v>
      </c>
      <c r="CE2597" s="2" t="s">
        <v>108</v>
      </c>
      <c r="CF2597" s="5">
        <v>42671</v>
      </c>
      <c r="CG2597" s="2"/>
      <c r="CH2597" s="2"/>
      <c r="CI2597" s="2">
        <v>1</v>
      </c>
      <c r="CJ2597" s="2">
        <v>1</v>
      </c>
      <c r="CK2597" s="2">
        <v>21</v>
      </c>
      <c r="CL2597" s="2" t="s">
        <v>88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"FES1162509550"</f>
        <v>FES1162509550</v>
      </c>
      <c r="F2598" s="3">
        <v>42669</v>
      </c>
      <c r="G2598" s="2">
        <v>201704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171</v>
      </c>
      <c r="M2598" s="2" t="s">
        <v>172</v>
      </c>
      <c r="N2598" s="2" t="s">
        <v>429</v>
      </c>
      <c r="O2598" s="2" t="s">
        <v>96</v>
      </c>
      <c r="P2598" s="2" t="str">
        <f>"2170529765                    "</f>
        <v xml:space="preserve">2170529765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24.88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14.6</v>
      </c>
      <c r="BJ2598" s="2">
        <v>9.1</v>
      </c>
      <c r="BK2598" s="2">
        <v>15</v>
      </c>
      <c r="BL2598" s="2">
        <v>305.68</v>
      </c>
      <c r="BM2598" s="2">
        <v>42.8</v>
      </c>
      <c r="BN2598" s="2">
        <v>348.48</v>
      </c>
      <c r="BO2598" s="2">
        <v>348.48</v>
      </c>
      <c r="BP2598" s="2"/>
      <c r="BQ2598" s="2" t="s">
        <v>430</v>
      </c>
      <c r="BR2598" s="2" t="s">
        <v>83</v>
      </c>
      <c r="BS2598" s="3">
        <v>42670</v>
      </c>
      <c r="BT2598" s="4">
        <v>0.40972222222222227</v>
      </c>
      <c r="BU2598" s="2" t="s">
        <v>2104</v>
      </c>
      <c r="BV2598" s="2" t="s">
        <v>85</v>
      </c>
      <c r="BW2598" s="2"/>
      <c r="BX2598" s="2"/>
      <c r="BY2598" s="2">
        <v>45643.5</v>
      </c>
      <c r="BZ2598" s="2"/>
      <c r="CA2598" s="2"/>
      <c r="CB2598" s="2"/>
      <c r="CC2598" s="2" t="s">
        <v>172</v>
      </c>
      <c r="CD2598" s="2">
        <v>6220</v>
      </c>
      <c r="CE2598" s="2" t="s">
        <v>86</v>
      </c>
      <c r="CF2598" s="5">
        <v>42671</v>
      </c>
      <c r="CG2598" s="2"/>
      <c r="CH2598" s="2"/>
      <c r="CI2598" s="2">
        <v>1</v>
      </c>
      <c r="CJ2598" s="2">
        <v>1</v>
      </c>
      <c r="CK2598" s="2">
        <v>21</v>
      </c>
      <c r="CL2598" s="2" t="s">
        <v>88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"FES1162509349"</f>
        <v>FES1162509349</v>
      </c>
      <c r="F2599" s="3">
        <v>42669</v>
      </c>
      <c r="G2599" s="2">
        <v>201704</v>
      </c>
      <c r="H2599" s="2" t="s">
        <v>74</v>
      </c>
      <c r="I2599" s="2" t="s">
        <v>75</v>
      </c>
      <c r="J2599" s="2" t="s">
        <v>76</v>
      </c>
      <c r="K2599" s="2" t="s">
        <v>77</v>
      </c>
      <c r="L2599" s="2" t="s">
        <v>160</v>
      </c>
      <c r="M2599" s="2" t="s">
        <v>161</v>
      </c>
      <c r="N2599" s="2" t="s">
        <v>179</v>
      </c>
      <c r="O2599" s="2" t="s">
        <v>96</v>
      </c>
      <c r="P2599" s="2" t="str">
        <f>"2170530401                    "</f>
        <v xml:space="preserve">2170530401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25.71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15.3</v>
      </c>
      <c r="BJ2599" s="2">
        <v>5.0999999999999996</v>
      </c>
      <c r="BK2599" s="2">
        <v>15.5</v>
      </c>
      <c r="BL2599" s="2">
        <v>315.87</v>
      </c>
      <c r="BM2599" s="2">
        <v>44.22</v>
      </c>
      <c r="BN2599" s="2">
        <v>360.09</v>
      </c>
      <c r="BO2599" s="2">
        <v>360.09</v>
      </c>
      <c r="BP2599" s="2"/>
      <c r="BQ2599" s="2" t="s">
        <v>180</v>
      </c>
      <c r="BR2599" s="2" t="s">
        <v>83</v>
      </c>
      <c r="BS2599" s="3">
        <v>42670</v>
      </c>
      <c r="BT2599" s="4">
        <v>0.41666666666666669</v>
      </c>
      <c r="BU2599" s="2" t="s">
        <v>1988</v>
      </c>
      <c r="BV2599" s="2" t="s">
        <v>85</v>
      </c>
      <c r="BW2599" s="2"/>
      <c r="BX2599" s="2"/>
      <c r="BY2599" s="2">
        <v>25558.799999999999</v>
      </c>
      <c r="BZ2599" s="2"/>
      <c r="CA2599" s="2"/>
      <c r="CB2599" s="2"/>
      <c r="CC2599" s="2" t="s">
        <v>161</v>
      </c>
      <c r="CD2599" s="2">
        <v>7405</v>
      </c>
      <c r="CE2599" s="2" t="s">
        <v>86</v>
      </c>
      <c r="CF2599" s="5">
        <v>42671</v>
      </c>
      <c r="CG2599" s="2"/>
      <c r="CH2599" s="2"/>
      <c r="CI2599" s="2">
        <v>1</v>
      </c>
      <c r="CJ2599" s="2">
        <v>1</v>
      </c>
      <c r="CK2599" s="2">
        <v>21</v>
      </c>
      <c r="CL2599" s="2" t="s">
        <v>88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"FES1162509391"</f>
        <v>FES1162509391</v>
      </c>
      <c r="F2600" s="3">
        <v>42669</v>
      </c>
      <c r="G2600" s="2">
        <v>201704</v>
      </c>
      <c r="H2600" s="2" t="s">
        <v>74</v>
      </c>
      <c r="I2600" s="2" t="s">
        <v>75</v>
      </c>
      <c r="J2600" s="2" t="s">
        <v>76</v>
      </c>
      <c r="K2600" s="2" t="s">
        <v>77</v>
      </c>
      <c r="L2600" s="2" t="s">
        <v>160</v>
      </c>
      <c r="M2600" s="2" t="s">
        <v>161</v>
      </c>
      <c r="N2600" s="2" t="s">
        <v>279</v>
      </c>
      <c r="O2600" s="2" t="s">
        <v>96</v>
      </c>
      <c r="P2600" s="2" t="str">
        <f>"2170532571                    "</f>
        <v xml:space="preserve">2170532571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14.1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8.1</v>
      </c>
      <c r="BJ2600" s="2">
        <v>3.4</v>
      </c>
      <c r="BK2600" s="2">
        <v>8.5</v>
      </c>
      <c r="BL2600" s="2">
        <v>173.22</v>
      </c>
      <c r="BM2600" s="2">
        <v>24.25</v>
      </c>
      <c r="BN2600" s="2">
        <v>197.47</v>
      </c>
      <c r="BO2600" s="2">
        <v>197.47</v>
      </c>
      <c r="BP2600" s="2"/>
      <c r="BQ2600" s="2" t="s">
        <v>280</v>
      </c>
      <c r="BR2600" s="2" t="s">
        <v>83</v>
      </c>
      <c r="BS2600" s="3">
        <v>42670</v>
      </c>
      <c r="BT2600" s="4">
        <v>0.41666666666666669</v>
      </c>
      <c r="BU2600" s="2" t="s">
        <v>281</v>
      </c>
      <c r="BV2600" s="2" t="s">
        <v>85</v>
      </c>
      <c r="BW2600" s="2"/>
      <c r="BX2600" s="2"/>
      <c r="BY2600" s="2">
        <v>17214.34</v>
      </c>
      <c r="BZ2600" s="2"/>
      <c r="CA2600" s="2"/>
      <c r="CB2600" s="2"/>
      <c r="CC2600" s="2" t="s">
        <v>161</v>
      </c>
      <c r="CD2600" s="2">
        <v>7441</v>
      </c>
      <c r="CE2600" s="2" t="s">
        <v>86</v>
      </c>
      <c r="CF2600" s="5">
        <v>42671</v>
      </c>
      <c r="CG2600" s="2"/>
      <c r="CH2600" s="2"/>
      <c r="CI2600" s="2">
        <v>1</v>
      </c>
      <c r="CJ2600" s="2">
        <v>1</v>
      </c>
      <c r="CK2600" s="2">
        <v>21</v>
      </c>
      <c r="CL2600" s="2" t="s">
        <v>88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"FES1162508082"</f>
        <v>FES1162508082</v>
      </c>
      <c r="F2601" s="3">
        <v>42663</v>
      </c>
      <c r="G2601" s="2">
        <v>201704</v>
      </c>
      <c r="H2601" s="2" t="s">
        <v>74</v>
      </c>
      <c r="I2601" s="2" t="s">
        <v>75</v>
      </c>
      <c r="J2601" s="2" t="s">
        <v>189</v>
      </c>
      <c r="K2601" s="2" t="s">
        <v>77</v>
      </c>
      <c r="L2601" s="2" t="s">
        <v>1122</v>
      </c>
      <c r="M2601" s="2" t="s">
        <v>1123</v>
      </c>
      <c r="N2601" s="2" t="s">
        <v>1173</v>
      </c>
      <c r="O2601" s="2" t="s">
        <v>81</v>
      </c>
      <c r="P2601" s="2" t="str">
        <f>"2170531232                    "</f>
        <v xml:space="preserve">2170531232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5.7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9</v>
      </c>
      <c r="BJ2601" s="2">
        <v>2.4</v>
      </c>
      <c r="BK2601" s="2">
        <v>9</v>
      </c>
      <c r="BL2601" s="2">
        <v>75.05</v>
      </c>
      <c r="BM2601" s="2">
        <v>10.51</v>
      </c>
      <c r="BN2601" s="2">
        <v>85.56</v>
      </c>
      <c r="BO2601" s="2">
        <v>85.56</v>
      </c>
      <c r="BP2601" s="2"/>
      <c r="BQ2601" s="2" t="s">
        <v>91</v>
      </c>
      <c r="BR2601" s="2" t="s">
        <v>194</v>
      </c>
      <c r="BS2601" s="3">
        <v>42664</v>
      </c>
      <c r="BT2601" s="4">
        <v>0.41666666666666669</v>
      </c>
      <c r="BU2601" s="2" t="s">
        <v>1999</v>
      </c>
      <c r="BV2601" s="2" t="s">
        <v>85</v>
      </c>
      <c r="BW2601" s="2"/>
      <c r="BX2601" s="2"/>
      <c r="BY2601" s="2">
        <v>11800.62</v>
      </c>
      <c r="BZ2601" s="2"/>
      <c r="CA2601" s="2"/>
      <c r="CB2601" s="2"/>
      <c r="CC2601" s="2" t="s">
        <v>1123</v>
      </c>
      <c r="CD2601" s="2">
        <v>1900</v>
      </c>
      <c r="CE2601" s="2" t="s">
        <v>86</v>
      </c>
      <c r="CF2601" s="5">
        <v>42668</v>
      </c>
      <c r="CG2601" s="2"/>
      <c r="CH2601" s="2"/>
      <c r="CI2601" s="2">
        <v>1</v>
      </c>
      <c r="CJ2601" s="2">
        <v>1</v>
      </c>
      <c r="CK2601" s="2" t="s">
        <v>87</v>
      </c>
      <c r="CL2601" s="2" t="s">
        <v>88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"FES1162509575"</f>
        <v>FES1162509575</v>
      </c>
      <c r="F2602" s="3">
        <v>42669</v>
      </c>
      <c r="G2602" s="2">
        <v>201704</v>
      </c>
      <c r="H2602" s="2" t="s">
        <v>74</v>
      </c>
      <c r="I2602" s="2" t="s">
        <v>75</v>
      </c>
      <c r="J2602" s="2" t="s">
        <v>76</v>
      </c>
      <c r="K2602" s="2" t="s">
        <v>77</v>
      </c>
      <c r="L2602" s="2" t="s">
        <v>207</v>
      </c>
      <c r="M2602" s="2" t="s">
        <v>208</v>
      </c>
      <c r="N2602" s="2" t="s">
        <v>651</v>
      </c>
      <c r="O2602" s="2" t="s">
        <v>96</v>
      </c>
      <c r="P2602" s="2" t="str">
        <f>"2170532755                    "</f>
        <v xml:space="preserve">2170532755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3.32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1</v>
      </c>
      <c r="BJ2602" s="2">
        <v>0.2</v>
      </c>
      <c r="BK2602" s="2">
        <v>1</v>
      </c>
      <c r="BL2602" s="2">
        <v>40.76</v>
      </c>
      <c r="BM2602" s="2">
        <v>5.71</v>
      </c>
      <c r="BN2602" s="2">
        <v>46.47</v>
      </c>
      <c r="BO2602" s="2">
        <v>46.47</v>
      </c>
      <c r="BP2602" s="2"/>
      <c r="BQ2602" s="2" t="s">
        <v>652</v>
      </c>
      <c r="BR2602" s="2" t="s">
        <v>83</v>
      </c>
      <c r="BS2602" s="3">
        <v>42675</v>
      </c>
      <c r="BT2602" s="4">
        <v>0.4375</v>
      </c>
      <c r="BU2602" s="2" t="s">
        <v>2447</v>
      </c>
      <c r="BV2602" s="2" t="s">
        <v>88</v>
      </c>
      <c r="BW2602" s="2" t="s">
        <v>654</v>
      </c>
      <c r="BX2602" s="2" t="s">
        <v>655</v>
      </c>
      <c r="BY2602" s="2">
        <v>1200</v>
      </c>
      <c r="BZ2602" s="2"/>
      <c r="CA2602" s="2" t="s">
        <v>329</v>
      </c>
      <c r="CB2602" s="2"/>
      <c r="CC2602" s="2" t="s">
        <v>208</v>
      </c>
      <c r="CD2602" s="2">
        <v>4133</v>
      </c>
      <c r="CE2602" s="2" t="s">
        <v>108</v>
      </c>
      <c r="CF2602" s="2"/>
      <c r="CG2602" s="2"/>
      <c r="CH2602" s="2"/>
      <c r="CI2602" s="2">
        <v>1</v>
      </c>
      <c r="CJ2602" s="2">
        <v>4</v>
      </c>
      <c r="CK2602" s="2">
        <v>21</v>
      </c>
      <c r="CL2602" s="2" t="s">
        <v>88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"FES1162509947"</f>
        <v>FES1162509947</v>
      </c>
      <c r="F2603" s="3">
        <v>42670</v>
      </c>
      <c r="G2603" s="2">
        <v>201704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137</v>
      </c>
      <c r="M2603" s="2" t="s">
        <v>138</v>
      </c>
      <c r="N2603" s="2" t="s">
        <v>526</v>
      </c>
      <c r="O2603" s="2" t="s">
        <v>96</v>
      </c>
      <c r="P2603" s="2" t="str">
        <f>"2170531029                    "</f>
        <v xml:space="preserve">2170531029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3.32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40.76</v>
      </c>
      <c r="BM2603" s="2">
        <v>5.71</v>
      </c>
      <c r="BN2603" s="2">
        <v>46.47</v>
      </c>
      <c r="BO2603" s="2">
        <v>46.47</v>
      </c>
      <c r="BP2603" s="2"/>
      <c r="BQ2603" s="2" t="s">
        <v>117</v>
      </c>
      <c r="BR2603" s="2" t="s">
        <v>83</v>
      </c>
      <c r="BS2603" s="3">
        <v>42671</v>
      </c>
      <c r="BT2603" s="4">
        <v>0.42083333333333334</v>
      </c>
      <c r="BU2603" s="2" t="s">
        <v>2448</v>
      </c>
      <c r="BV2603" s="2"/>
      <c r="BW2603" s="2"/>
      <c r="BX2603" s="2"/>
      <c r="BY2603" s="2">
        <v>1200</v>
      </c>
      <c r="BZ2603" s="2"/>
      <c r="CA2603" s="2" t="s">
        <v>1091</v>
      </c>
      <c r="CB2603" s="2"/>
      <c r="CC2603" s="2" t="s">
        <v>138</v>
      </c>
      <c r="CD2603" s="2">
        <v>3201</v>
      </c>
      <c r="CE2603" s="2" t="s">
        <v>108</v>
      </c>
      <c r="CF2603" s="5">
        <v>42671</v>
      </c>
      <c r="CG2603" s="2"/>
      <c r="CH2603" s="2"/>
      <c r="CI2603" s="2">
        <v>0</v>
      </c>
      <c r="CJ2603" s="2">
        <v>0</v>
      </c>
      <c r="CK2603" s="2">
        <v>21</v>
      </c>
      <c r="CL2603" s="2" t="s">
        <v>88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"FES1162509935"</f>
        <v>FES1162509935</v>
      </c>
      <c r="F2604" s="3">
        <v>42670</v>
      </c>
      <c r="G2604" s="2">
        <v>201704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143</v>
      </c>
      <c r="M2604" s="2" t="s">
        <v>144</v>
      </c>
      <c r="N2604" s="2" t="s">
        <v>1315</v>
      </c>
      <c r="O2604" s="2" t="s">
        <v>96</v>
      </c>
      <c r="P2604" s="2" t="str">
        <f>"2170533096                    "</f>
        <v xml:space="preserve">2170533096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3.32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1</v>
      </c>
      <c r="BJ2604" s="2">
        <v>0.2</v>
      </c>
      <c r="BK2604" s="2">
        <v>1</v>
      </c>
      <c r="BL2604" s="2">
        <v>40.76</v>
      </c>
      <c r="BM2604" s="2">
        <v>5.71</v>
      </c>
      <c r="BN2604" s="2">
        <v>46.47</v>
      </c>
      <c r="BO2604" s="2">
        <v>46.47</v>
      </c>
      <c r="BP2604" s="2"/>
      <c r="BQ2604" s="2" t="s">
        <v>1316</v>
      </c>
      <c r="BR2604" s="2" t="s">
        <v>83</v>
      </c>
      <c r="BS2604" s="3">
        <v>42671</v>
      </c>
      <c r="BT2604" s="4">
        <v>0.4375</v>
      </c>
      <c r="BU2604" s="2" t="s">
        <v>2449</v>
      </c>
      <c r="BV2604" s="2"/>
      <c r="BW2604" s="2"/>
      <c r="BX2604" s="2"/>
      <c r="BY2604" s="2">
        <v>1200</v>
      </c>
      <c r="BZ2604" s="2"/>
      <c r="CA2604" s="2"/>
      <c r="CB2604" s="2"/>
      <c r="CC2604" s="2" t="s">
        <v>144</v>
      </c>
      <c r="CD2604" s="2">
        <v>5201</v>
      </c>
      <c r="CE2604" s="2" t="s">
        <v>108</v>
      </c>
      <c r="CF2604" s="5">
        <v>42675</v>
      </c>
      <c r="CG2604" s="2"/>
      <c r="CH2604" s="2"/>
      <c r="CI2604" s="2">
        <v>0</v>
      </c>
      <c r="CJ2604" s="2">
        <v>0</v>
      </c>
      <c r="CK2604" s="2">
        <v>21</v>
      </c>
      <c r="CL2604" s="2" t="s">
        <v>88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"FES1162509728"</f>
        <v>FES1162509728</v>
      </c>
      <c r="F2605" s="3">
        <v>42670</v>
      </c>
      <c r="G2605" s="2">
        <v>201704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361</v>
      </c>
      <c r="M2605" s="2" t="s">
        <v>362</v>
      </c>
      <c r="N2605" s="2" t="s">
        <v>363</v>
      </c>
      <c r="O2605" s="2" t="s">
        <v>96</v>
      </c>
      <c r="P2605" s="2" t="str">
        <f>"2170532873                    "</f>
        <v xml:space="preserve">2170532873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4.66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1</v>
      </c>
      <c r="BJ2605" s="2">
        <v>0.2</v>
      </c>
      <c r="BK2605" s="2">
        <v>1</v>
      </c>
      <c r="BL2605" s="2">
        <v>57.31</v>
      </c>
      <c r="BM2605" s="2">
        <v>8.02</v>
      </c>
      <c r="BN2605" s="2">
        <v>65.33</v>
      </c>
      <c r="BO2605" s="2">
        <v>65.33</v>
      </c>
      <c r="BP2605" s="2"/>
      <c r="BQ2605" s="2" t="s">
        <v>364</v>
      </c>
      <c r="BR2605" s="2" t="s">
        <v>83</v>
      </c>
      <c r="BS2605" s="3">
        <v>42671</v>
      </c>
      <c r="BT2605" s="4">
        <v>0.42499999999999999</v>
      </c>
      <c r="BU2605" s="2" t="s">
        <v>2450</v>
      </c>
      <c r="BV2605" s="2" t="s">
        <v>85</v>
      </c>
      <c r="BW2605" s="2"/>
      <c r="BX2605" s="2"/>
      <c r="BY2605" s="2">
        <v>1200</v>
      </c>
      <c r="BZ2605" s="2"/>
      <c r="CA2605" s="2"/>
      <c r="CB2605" s="2"/>
      <c r="CC2605" s="2" t="s">
        <v>362</v>
      </c>
      <c r="CD2605" s="2">
        <v>1441</v>
      </c>
      <c r="CE2605" s="2" t="s">
        <v>108</v>
      </c>
      <c r="CF2605" s="5">
        <v>42674</v>
      </c>
      <c r="CG2605" s="2"/>
      <c r="CH2605" s="2"/>
      <c r="CI2605" s="2">
        <v>1</v>
      </c>
      <c r="CJ2605" s="2">
        <v>1</v>
      </c>
      <c r="CK2605" s="2">
        <v>24</v>
      </c>
      <c r="CL2605" s="2" t="s">
        <v>88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"FES1162509833"</f>
        <v>FES1162509833</v>
      </c>
      <c r="F2606" s="3">
        <v>42670</v>
      </c>
      <c r="G2606" s="2">
        <v>201704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160</v>
      </c>
      <c r="M2606" s="2" t="s">
        <v>161</v>
      </c>
      <c r="N2606" s="2" t="s">
        <v>411</v>
      </c>
      <c r="O2606" s="2" t="s">
        <v>96</v>
      </c>
      <c r="P2606" s="2" t="str">
        <f>"2170532989                    "</f>
        <v xml:space="preserve">2170532989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3.32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1</v>
      </c>
      <c r="BJ2606" s="2">
        <v>0.2</v>
      </c>
      <c r="BK2606" s="2">
        <v>1</v>
      </c>
      <c r="BL2606" s="2">
        <v>40.76</v>
      </c>
      <c r="BM2606" s="2">
        <v>5.71</v>
      </c>
      <c r="BN2606" s="2">
        <v>46.47</v>
      </c>
      <c r="BO2606" s="2">
        <v>46.47</v>
      </c>
      <c r="BP2606" s="2"/>
      <c r="BQ2606" s="2" t="s">
        <v>412</v>
      </c>
      <c r="BR2606" s="2" t="s">
        <v>83</v>
      </c>
      <c r="BS2606" s="3">
        <v>42671</v>
      </c>
      <c r="BT2606" s="4">
        <v>0.45833333333333331</v>
      </c>
      <c r="BU2606" s="2" t="s">
        <v>2451</v>
      </c>
      <c r="BV2606" s="2" t="s">
        <v>85</v>
      </c>
      <c r="BW2606" s="2"/>
      <c r="BX2606" s="2"/>
      <c r="BY2606" s="2">
        <v>1200</v>
      </c>
      <c r="BZ2606" s="2"/>
      <c r="CA2606" s="2"/>
      <c r="CB2606" s="2"/>
      <c r="CC2606" s="2" t="s">
        <v>161</v>
      </c>
      <c r="CD2606" s="2">
        <v>7945</v>
      </c>
      <c r="CE2606" s="2" t="s">
        <v>108</v>
      </c>
      <c r="CF2606" s="5">
        <v>42674</v>
      </c>
      <c r="CG2606" s="2"/>
      <c r="CH2606" s="2"/>
      <c r="CI2606" s="2">
        <v>1</v>
      </c>
      <c r="CJ2606" s="2">
        <v>1</v>
      </c>
      <c r="CK2606" s="2">
        <v>21</v>
      </c>
      <c r="CL2606" s="2" t="s">
        <v>88</v>
      </c>
      <c r="CM2606" s="2"/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"FES1162509653"</f>
        <v>FES1162509653</v>
      </c>
      <c r="F2607" s="3">
        <v>42670</v>
      </c>
      <c r="G2607" s="2">
        <v>201704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78</v>
      </c>
      <c r="M2607" s="2" t="s">
        <v>79</v>
      </c>
      <c r="N2607" s="2" t="s">
        <v>2452</v>
      </c>
      <c r="O2607" s="2" t="s">
        <v>96</v>
      </c>
      <c r="P2607" s="2" t="str">
        <f>"2170530613                    "</f>
        <v xml:space="preserve">2170530613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3.32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0.4</v>
      </c>
      <c r="BJ2607" s="2">
        <v>1.3</v>
      </c>
      <c r="BK2607" s="2">
        <v>1.5</v>
      </c>
      <c r="BL2607" s="2">
        <v>40.76</v>
      </c>
      <c r="BM2607" s="2">
        <v>5.71</v>
      </c>
      <c r="BN2607" s="2">
        <v>46.47</v>
      </c>
      <c r="BO2607" s="2">
        <v>46.47</v>
      </c>
      <c r="BP2607" s="2"/>
      <c r="BQ2607" s="2" t="s">
        <v>82</v>
      </c>
      <c r="BR2607" s="2" t="s">
        <v>83</v>
      </c>
      <c r="BS2607" s="3">
        <v>42671</v>
      </c>
      <c r="BT2607" s="4">
        <v>0.41666666666666669</v>
      </c>
      <c r="BU2607" s="2" t="s">
        <v>2453</v>
      </c>
      <c r="BV2607" s="2" t="s">
        <v>85</v>
      </c>
      <c r="BW2607" s="2"/>
      <c r="BX2607" s="2"/>
      <c r="BY2607" s="2">
        <v>6263.57</v>
      </c>
      <c r="BZ2607" s="2"/>
      <c r="CA2607" s="2"/>
      <c r="CB2607" s="2"/>
      <c r="CC2607" s="2" t="s">
        <v>79</v>
      </c>
      <c r="CD2607" s="2">
        <v>1961</v>
      </c>
      <c r="CE2607" s="2" t="s">
        <v>108</v>
      </c>
      <c r="CF2607" s="5">
        <v>42675</v>
      </c>
      <c r="CG2607" s="2"/>
      <c r="CH2607" s="2"/>
      <c r="CI2607" s="2">
        <v>1</v>
      </c>
      <c r="CJ2607" s="2">
        <v>1</v>
      </c>
      <c r="CK2607" s="2">
        <v>21</v>
      </c>
      <c r="CL2607" s="2" t="s">
        <v>88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"FES1162509673"</f>
        <v>FES1162509673</v>
      </c>
      <c r="F2608" s="3">
        <v>42670</v>
      </c>
      <c r="G2608" s="2">
        <v>201704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1122</v>
      </c>
      <c r="M2608" s="2" t="s">
        <v>1123</v>
      </c>
      <c r="N2608" s="2" t="s">
        <v>1908</v>
      </c>
      <c r="O2608" s="2" t="s">
        <v>96</v>
      </c>
      <c r="P2608" s="2" t="str">
        <f>"2170531194                    "</f>
        <v xml:space="preserve">2170531194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3.32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0.3</v>
      </c>
      <c r="BJ2608" s="2">
        <v>0.5</v>
      </c>
      <c r="BK2608" s="2">
        <v>0.5</v>
      </c>
      <c r="BL2608" s="2">
        <v>40.76</v>
      </c>
      <c r="BM2608" s="2">
        <v>5.71</v>
      </c>
      <c r="BN2608" s="2">
        <v>46.47</v>
      </c>
      <c r="BO2608" s="2">
        <v>46.47</v>
      </c>
      <c r="BP2608" s="2"/>
      <c r="BQ2608" s="2" t="s">
        <v>82</v>
      </c>
      <c r="BR2608" s="2" t="s">
        <v>83</v>
      </c>
      <c r="BS2608" s="3">
        <v>42671</v>
      </c>
      <c r="BT2608" s="4">
        <v>0.41666666666666669</v>
      </c>
      <c r="BU2608" s="2" t="s">
        <v>2454</v>
      </c>
      <c r="BV2608" s="2" t="s">
        <v>85</v>
      </c>
      <c r="BW2608" s="2"/>
      <c r="BX2608" s="2"/>
      <c r="BY2608" s="2">
        <v>2624.04</v>
      </c>
      <c r="BZ2608" s="2"/>
      <c r="CA2608" s="2" t="s">
        <v>2455</v>
      </c>
      <c r="CB2608" s="2"/>
      <c r="CC2608" s="2" t="s">
        <v>1123</v>
      </c>
      <c r="CD2608" s="2">
        <v>1911</v>
      </c>
      <c r="CE2608" s="2" t="s">
        <v>108</v>
      </c>
      <c r="CF2608" s="5">
        <v>42675</v>
      </c>
      <c r="CG2608" s="2"/>
      <c r="CH2608" s="2"/>
      <c r="CI2608" s="2">
        <v>1</v>
      </c>
      <c r="CJ2608" s="2">
        <v>1</v>
      </c>
      <c r="CK2608" s="2">
        <v>21</v>
      </c>
      <c r="CL2608" s="2" t="s">
        <v>88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"FES1162502129"</f>
        <v>FES1162502129</v>
      </c>
      <c r="F2609" s="3">
        <v>42670</v>
      </c>
      <c r="G2609" s="2">
        <v>201704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361</v>
      </c>
      <c r="M2609" s="2" t="s">
        <v>362</v>
      </c>
      <c r="N2609" s="2" t="s">
        <v>2456</v>
      </c>
      <c r="O2609" s="2" t="s">
        <v>96</v>
      </c>
      <c r="P2609" s="2" t="str">
        <f>"2170523208                    "</f>
        <v xml:space="preserve">2170523208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4.66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1</v>
      </c>
      <c r="BJ2609" s="2">
        <v>0.2</v>
      </c>
      <c r="BK2609" s="2">
        <v>1</v>
      </c>
      <c r="BL2609" s="2">
        <v>57.31</v>
      </c>
      <c r="BM2609" s="2">
        <v>8.02</v>
      </c>
      <c r="BN2609" s="2">
        <v>65.33</v>
      </c>
      <c r="BO2609" s="2">
        <v>65.33</v>
      </c>
      <c r="BP2609" s="2"/>
      <c r="BQ2609" s="2" t="s">
        <v>91</v>
      </c>
      <c r="BR2609" s="2" t="s">
        <v>83</v>
      </c>
      <c r="BS2609" s="3">
        <v>42671</v>
      </c>
      <c r="BT2609" s="4">
        <v>0.37847222222222227</v>
      </c>
      <c r="BU2609" s="2" t="s">
        <v>738</v>
      </c>
      <c r="BV2609" s="2" t="s">
        <v>85</v>
      </c>
      <c r="BW2609" s="2"/>
      <c r="BX2609" s="2"/>
      <c r="BY2609" s="2">
        <v>1200</v>
      </c>
      <c r="BZ2609" s="2"/>
      <c r="CA2609" s="2"/>
      <c r="CB2609" s="2"/>
      <c r="CC2609" s="2" t="s">
        <v>362</v>
      </c>
      <c r="CD2609" s="2">
        <v>1438</v>
      </c>
      <c r="CE2609" s="2" t="s">
        <v>108</v>
      </c>
      <c r="CF2609" s="5">
        <v>42674</v>
      </c>
      <c r="CG2609" s="2"/>
      <c r="CH2609" s="2"/>
      <c r="CI2609" s="2">
        <v>1</v>
      </c>
      <c r="CJ2609" s="2">
        <v>1</v>
      </c>
      <c r="CK2609" s="2">
        <v>24</v>
      </c>
      <c r="CL2609" s="2" t="s">
        <v>88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"FES1162509953"</f>
        <v>FES1162509953</v>
      </c>
      <c r="F2610" s="3">
        <v>42670</v>
      </c>
      <c r="G2610" s="2">
        <v>201704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148</v>
      </c>
      <c r="M2610" s="2" t="s">
        <v>149</v>
      </c>
      <c r="N2610" s="2" t="s">
        <v>2457</v>
      </c>
      <c r="O2610" s="2" t="s">
        <v>96</v>
      </c>
      <c r="P2610" s="2" t="str">
        <f>"2170533117                    "</f>
        <v xml:space="preserve">2170533117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3.32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1.1000000000000001</v>
      </c>
      <c r="BJ2610" s="2">
        <v>0.2</v>
      </c>
      <c r="BK2610" s="2">
        <v>1.5</v>
      </c>
      <c r="BL2610" s="2">
        <v>40.76</v>
      </c>
      <c r="BM2610" s="2">
        <v>5.71</v>
      </c>
      <c r="BN2610" s="2">
        <v>46.47</v>
      </c>
      <c r="BO2610" s="2">
        <v>46.47</v>
      </c>
      <c r="BP2610" s="2"/>
      <c r="BQ2610" s="2" t="s">
        <v>91</v>
      </c>
      <c r="BR2610" s="2" t="s">
        <v>83</v>
      </c>
      <c r="BS2610" s="3">
        <v>42671</v>
      </c>
      <c r="BT2610" s="4">
        <v>0.4375</v>
      </c>
      <c r="BU2610" s="2" t="s">
        <v>2458</v>
      </c>
      <c r="BV2610" s="2" t="s">
        <v>85</v>
      </c>
      <c r="BW2610" s="2"/>
      <c r="BX2610" s="2"/>
      <c r="BY2610" s="2">
        <v>1200</v>
      </c>
      <c r="BZ2610" s="2"/>
      <c r="CA2610" s="2"/>
      <c r="CB2610" s="2"/>
      <c r="CC2610" s="2" t="s">
        <v>149</v>
      </c>
      <c r="CD2610" s="2">
        <v>4051</v>
      </c>
      <c r="CE2610" s="2" t="s">
        <v>108</v>
      </c>
      <c r="CF2610" s="5">
        <v>42675</v>
      </c>
      <c r="CG2610" s="2"/>
      <c r="CH2610" s="2"/>
      <c r="CI2610" s="2">
        <v>1</v>
      </c>
      <c r="CJ2610" s="2">
        <v>1</v>
      </c>
      <c r="CK2610" s="2">
        <v>21</v>
      </c>
      <c r="CL2610" s="2" t="s">
        <v>88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"FES1162509668"</f>
        <v>FES1162509668</v>
      </c>
      <c r="F2611" s="3">
        <v>42670</v>
      </c>
      <c r="G2611" s="2">
        <v>201704</v>
      </c>
      <c r="H2611" s="2" t="s">
        <v>74</v>
      </c>
      <c r="I2611" s="2" t="s">
        <v>75</v>
      </c>
      <c r="J2611" s="2" t="s">
        <v>76</v>
      </c>
      <c r="K2611" s="2" t="s">
        <v>77</v>
      </c>
      <c r="L2611" s="2" t="s">
        <v>377</v>
      </c>
      <c r="M2611" s="2" t="s">
        <v>378</v>
      </c>
      <c r="N2611" s="2" t="s">
        <v>379</v>
      </c>
      <c r="O2611" s="2" t="s">
        <v>96</v>
      </c>
      <c r="P2611" s="2" t="str">
        <f>"2170530795                    "</f>
        <v xml:space="preserve">2170530795 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3.32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1.3</v>
      </c>
      <c r="BJ2611" s="2">
        <v>0.2</v>
      </c>
      <c r="BK2611" s="2">
        <v>1.5</v>
      </c>
      <c r="BL2611" s="2">
        <v>40.76</v>
      </c>
      <c r="BM2611" s="2">
        <v>5.71</v>
      </c>
      <c r="BN2611" s="2">
        <v>46.47</v>
      </c>
      <c r="BO2611" s="2">
        <v>46.47</v>
      </c>
      <c r="BP2611" s="2"/>
      <c r="BQ2611" s="2" t="s">
        <v>382</v>
      </c>
      <c r="BR2611" s="2" t="s">
        <v>83</v>
      </c>
      <c r="BS2611" s="3">
        <v>42671</v>
      </c>
      <c r="BT2611" s="4">
        <v>0.43055555555555558</v>
      </c>
      <c r="BU2611" s="2" t="s">
        <v>382</v>
      </c>
      <c r="BV2611" s="2" t="s">
        <v>85</v>
      </c>
      <c r="BW2611" s="2"/>
      <c r="BX2611" s="2"/>
      <c r="BY2611" s="2">
        <v>1200</v>
      </c>
      <c r="BZ2611" s="2"/>
      <c r="CA2611" s="2"/>
      <c r="CB2611" s="2"/>
      <c r="CC2611" s="2" t="s">
        <v>378</v>
      </c>
      <c r="CD2611" s="2">
        <v>6536</v>
      </c>
      <c r="CE2611" s="2" t="s">
        <v>108</v>
      </c>
      <c r="CF2611" s="5">
        <v>42677</v>
      </c>
      <c r="CG2611" s="2"/>
      <c r="CH2611" s="2"/>
      <c r="CI2611" s="2">
        <v>1</v>
      </c>
      <c r="CJ2611" s="2">
        <v>1</v>
      </c>
      <c r="CK2611" s="2">
        <v>21</v>
      </c>
      <c r="CL2611" s="2" t="s">
        <v>88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"FES1162509823"</f>
        <v>FES1162509823</v>
      </c>
      <c r="F2612" s="3">
        <v>42670</v>
      </c>
      <c r="G2612" s="2">
        <v>201704</v>
      </c>
      <c r="H2612" s="2" t="s">
        <v>74</v>
      </c>
      <c r="I2612" s="2" t="s">
        <v>75</v>
      </c>
      <c r="J2612" s="2" t="s">
        <v>76</v>
      </c>
      <c r="K2612" s="2" t="s">
        <v>77</v>
      </c>
      <c r="L2612" s="2" t="s">
        <v>377</v>
      </c>
      <c r="M2612" s="2" t="s">
        <v>378</v>
      </c>
      <c r="N2612" s="2" t="s">
        <v>379</v>
      </c>
      <c r="O2612" s="2" t="s">
        <v>96</v>
      </c>
      <c r="P2612" s="2" t="str">
        <f>"2170532984                    "</f>
        <v xml:space="preserve">2170532984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3.32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1.2</v>
      </c>
      <c r="BJ2612" s="2">
        <v>0.2</v>
      </c>
      <c r="BK2612" s="2">
        <v>1.5</v>
      </c>
      <c r="BL2612" s="2">
        <v>40.76</v>
      </c>
      <c r="BM2612" s="2">
        <v>5.71</v>
      </c>
      <c r="BN2612" s="2">
        <v>46.47</v>
      </c>
      <c r="BO2612" s="2">
        <v>46.47</v>
      </c>
      <c r="BP2612" s="2"/>
      <c r="BQ2612" s="2" t="s">
        <v>382</v>
      </c>
      <c r="BR2612" s="2" t="s">
        <v>83</v>
      </c>
      <c r="BS2612" s="3">
        <v>42671</v>
      </c>
      <c r="BT2612" s="4">
        <v>0.43055555555555558</v>
      </c>
      <c r="BU2612" s="2" t="s">
        <v>382</v>
      </c>
      <c r="BV2612" s="2" t="s">
        <v>85</v>
      </c>
      <c r="BW2612" s="2"/>
      <c r="BX2612" s="2"/>
      <c r="BY2612" s="2">
        <v>1200</v>
      </c>
      <c r="BZ2612" s="2"/>
      <c r="CA2612" s="2"/>
      <c r="CB2612" s="2"/>
      <c r="CC2612" s="2" t="s">
        <v>378</v>
      </c>
      <c r="CD2612" s="2">
        <v>6536</v>
      </c>
      <c r="CE2612" s="2" t="s">
        <v>108</v>
      </c>
      <c r="CF2612" s="5">
        <v>42677</v>
      </c>
      <c r="CG2612" s="2"/>
      <c r="CH2612" s="2"/>
      <c r="CI2612" s="2">
        <v>1</v>
      </c>
      <c r="CJ2612" s="2">
        <v>1</v>
      </c>
      <c r="CK2612" s="2">
        <v>21</v>
      </c>
      <c r="CL2612" s="2" t="s">
        <v>88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"FES1162509641"</f>
        <v>FES1162509641</v>
      </c>
      <c r="F2613" s="3">
        <v>42670</v>
      </c>
      <c r="G2613" s="2">
        <v>201704</v>
      </c>
      <c r="H2613" s="2" t="s">
        <v>74</v>
      </c>
      <c r="I2613" s="2" t="s">
        <v>75</v>
      </c>
      <c r="J2613" s="2" t="s">
        <v>76</v>
      </c>
      <c r="K2613" s="2" t="s">
        <v>77</v>
      </c>
      <c r="L2613" s="2" t="s">
        <v>160</v>
      </c>
      <c r="M2613" s="2" t="s">
        <v>161</v>
      </c>
      <c r="N2613" s="2" t="s">
        <v>179</v>
      </c>
      <c r="O2613" s="2" t="s">
        <v>96</v>
      </c>
      <c r="P2613" s="2" t="str">
        <f>"2170530304                    "</f>
        <v xml:space="preserve">2170530304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3.32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1</v>
      </c>
      <c r="BJ2613" s="2">
        <v>0.2</v>
      </c>
      <c r="BK2613" s="2">
        <v>1</v>
      </c>
      <c r="BL2613" s="2">
        <v>40.76</v>
      </c>
      <c r="BM2613" s="2">
        <v>5.71</v>
      </c>
      <c r="BN2613" s="2">
        <v>46.47</v>
      </c>
      <c r="BO2613" s="2">
        <v>46.47</v>
      </c>
      <c r="BP2613" s="2"/>
      <c r="BQ2613" s="2" t="s">
        <v>180</v>
      </c>
      <c r="BR2613" s="2" t="s">
        <v>83</v>
      </c>
      <c r="BS2613" s="3">
        <v>42671</v>
      </c>
      <c r="BT2613" s="4">
        <v>0.41666666666666669</v>
      </c>
      <c r="BU2613" s="2" t="s">
        <v>2459</v>
      </c>
      <c r="BV2613" s="2" t="s">
        <v>85</v>
      </c>
      <c r="BW2613" s="2"/>
      <c r="BX2613" s="2"/>
      <c r="BY2613" s="2">
        <v>1200</v>
      </c>
      <c r="BZ2613" s="2"/>
      <c r="CA2613" s="2" t="s">
        <v>129</v>
      </c>
      <c r="CB2613" s="2"/>
      <c r="CC2613" s="2" t="s">
        <v>161</v>
      </c>
      <c r="CD2613" s="2">
        <v>7405</v>
      </c>
      <c r="CE2613" s="2" t="s">
        <v>108</v>
      </c>
      <c r="CF2613" s="5">
        <v>42674</v>
      </c>
      <c r="CG2613" s="2"/>
      <c r="CH2613" s="2"/>
      <c r="CI2613" s="2">
        <v>1</v>
      </c>
      <c r="CJ2613" s="2">
        <v>1</v>
      </c>
      <c r="CK2613" s="2">
        <v>21</v>
      </c>
      <c r="CL2613" s="2" t="s">
        <v>88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"FES1162509917"</f>
        <v>FES1162509917</v>
      </c>
      <c r="F2614" s="3">
        <v>42670</v>
      </c>
      <c r="G2614" s="2">
        <v>201704</v>
      </c>
      <c r="H2614" s="2" t="s">
        <v>74</v>
      </c>
      <c r="I2614" s="2" t="s">
        <v>75</v>
      </c>
      <c r="J2614" s="2" t="s">
        <v>76</v>
      </c>
      <c r="K2614" s="2" t="s">
        <v>77</v>
      </c>
      <c r="L2614" s="2" t="s">
        <v>78</v>
      </c>
      <c r="M2614" s="2" t="s">
        <v>79</v>
      </c>
      <c r="N2614" s="2" t="s">
        <v>2460</v>
      </c>
      <c r="O2614" s="2" t="s">
        <v>96</v>
      </c>
      <c r="P2614" s="2" t="str">
        <f>"2170533060                    "</f>
        <v xml:space="preserve">2170533060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3.32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1</v>
      </c>
      <c r="BJ2614" s="2">
        <v>0.2</v>
      </c>
      <c r="BK2614" s="2">
        <v>1</v>
      </c>
      <c r="BL2614" s="2">
        <v>40.76</v>
      </c>
      <c r="BM2614" s="2">
        <v>5.71</v>
      </c>
      <c r="BN2614" s="2">
        <v>46.47</v>
      </c>
      <c r="BO2614" s="2">
        <v>46.47</v>
      </c>
      <c r="BP2614" s="2"/>
      <c r="BQ2614" s="2" t="s">
        <v>82</v>
      </c>
      <c r="BR2614" s="2" t="s">
        <v>83</v>
      </c>
      <c r="BS2614" s="3">
        <v>42671</v>
      </c>
      <c r="BT2614" s="4">
        <v>0.41666666666666669</v>
      </c>
      <c r="BU2614" s="2" t="s">
        <v>2324</v>
      </c>
      <c r="BV2614" s="2" t="s">
        <v>85</v>
      </c>
      <c r="BW2614" s="2"/>
      <c r="BX2614" s="2"/>
      <c r="BY2614" s="2">
        <v>1200</v>
      </c>
      <c r="BZ2614" s="2"/>
      <c r="CA2614" s="2"/>
      <c r="CB2614" s="2"/>
      <c r="CC2614" s="2" t="s">
        <v>79</v>
      </c>
      <c r="CD2614" s="2">
        <v>1939</v>
      </c>
      <c r="CE2614" s="2" t="s">
        <v>108</v>
      </c>
      <c r="CF2614" s="5">
        <v>42675</v>
      </c>
      <c r="CG2614" s="2"/>
      <c r="CH2614" s="2"/>
      <c r="CI2614" s="2">
        <v>1</v>
      </c>
      <c r="CJ2614" s="2">
        <v>1</v>
      </c>
      <c r="CK2614" s="2">
        <v>21</v>
      </c>
      <c r="CL2614" s="2" t="s">
        <v>88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"FES1162509903"</f>
        <v>FES1162509903</v>
      </c>
      <c r="F2615" s="3">
        <v>42670</v>
      </c>
      <c r="G2615" s="2">
        <v>201704</v>
      </c>
      <c r="H2615" s="2" t="s">
        <v>74</v>
      </c>
      <c r="I2615" s="2" t="s">
        <v>75</v>
      </c>
      <c r="J2615" s="2" t="s">
        <v>76</v>
      </c>
      <c r="K2615" s="2" t="s">
        <v>77</v>
      </c>
      <c r="L2615" s="2" t="s">
        <v>1122</v>
      </c>
      <c r="M2615" s="2" t="s">
        <v>1123</v>
      </c>
      <c r="N2615" s="2" t="s">
        <v>422</v>
      </c>
      <c r="O2615" s="2" t="s">
        <v>96</v>
      </c>
      <c r="P2615" s="2" t="str">
        <f>"2170532996                    "</f>
        <v xml:space="preserve">2170532996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4.9800000000000004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3</v>
      </c>
      <c r="BJ2615" s="2">
        <v>0.2</v>
      </c>
      <c r="BK2615" s="2">
        <v>3</v>
      </c>
      <c r="BL2615" s="2">
        <v>61.14</v>
      </c>
      <c r="BM2615" s="2">
        <v>8.56</v>
      </c>
      <c r="BN2615" s="2">
        <v>69.7</v>
      </c>
      <c r="BO2615" s="2">
        <v>69.7</v>
      </c>
      <c r="BP2615" s="2"/>
      <c r="BQ2615" s="2" t="s">
        <v>91</v>
      </c>
      <c r="BR2615" s="2" t="s">
        <v>83</v>
      </c>
      <c r="BS2615" s="3">
        <v>42671</v>
      </c>
      <c r="BT2615" s="4">
        <v>0.41666666666666669</v>
      </c>
      <c r="BU2615" s="2" t="s">
        <v>1999</v>
      </c>
      <c r="BV2615" s="2" t="s">
        <v>85</v>
      </c>
      <c r="BW2615" s="2"/>
      <c r="BX2615" s="2"/>
      <c r="BY2615" s="2">
        <v>1200</v>
      </c>
      <c r="BZ2615" s="2"/>
      <c r="CA2615" s="2"/>
      <c r="CB2615" s="2"/>
      <c r="CC2615" s="2" t="s">
        <v>1123</v>
      </c>
      <c r="CD2615" s="2">
        <v>1911</v>
      </c>
      <c r="CE2615" s="2" t="s">
        <v>108</v>
      </c>
      <c r="CF2615" s="5">
        <v>42675</v>
      </c>
      <c r="CG2615" s="2"/>
      <c r="CH2615" s="2"/>
      <c r="CI2615" s="2">
        <v>1</v>
      </c>
      <c r="CJ2615" s="2">
        <v>1</v>
      </c>
      <c r="CK2615" s="2">
        <v>21</v>
      </c>
      <c r="CL2615" s="2" t="s">
        <v>88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"FES1162509762"</f>
        <v>FES1162509762</v>
      </c>
      <c r="F2616" s="3">
        <v>42670</v>
      </c>
      <c r="G2616" s="2">
        <v>201704</v>
      </c>
      <c r="H2616" s="2" t="s">
        <v>74</v>
      </c>
      <c r="I2616" s="2" t="s">
        <v>75</v>
      </c>
      <c r="J2616" s="2" t="s">
        <v>76</v>
      </c>
      <c r="K2616" s="2" t="s">
        <v>77</v>
      </c>
      <c r="L2616" s="2" t="s">
        <v>160</v>
      </c>
      <c r="M2616" s="2" t="s">
        <v>161</v>
      </c>
      <c r="N2616" s="2" t="s">
        <v>357</v>
      </c>
      <c r="O2616" s="2" t="s">
        <v>96</v>
      </c>
      <c r="P2616" s="2" t="str">
        <f>"2170530829                    "</f>
        <v xml:space="preserve">2170530829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6.63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4</v>
      </c>
      <c r="BJ2616" s="2">
        <v>1.5</v>
      </c>
      <c r="BK2616" s="2">
        <v>4</v>
      </c>
      <c r="BL2616" s="2">
        <v>81.510000000000005</v>
      </c>
      <c r="BM2616" s="2">
        <v>11.41</v>
      </c>
      <c r="BN2616" s="2">
        <v>92.92</v>
      </c>
      <c r="BO2616" s="2">
        <v>92.92</v>
      </c>
      <c r="BP2616" s="2"/>
      <c r="BQ2616" s="2" t="s">
        <v>358</v>
      </c>
      <c r="BR2616" s="2" t="s">
        <v>83</v>
      </c>
      <c r="BS2616" s="3">
        <v>42671</v>
      </c>
      <c r="BT2616" s="4">
        <v>0.42777777777777781</v>
      </c>
      <c r="BU2616" s="2" t="s">
        <v>2461</v>
      </c>
      <c r="BV2616" s="2" t="s">
        <v>85</v>
      </c>
      <c r="BW2616" s="2"/>
      <c r="BX2616" s="2"/>
      <c r="BY2616" s="2">
        <v>7514</v>
      </c>
      <c r="BZ2616" s="2"/>
      <c r="CA2616" s="2"/>
      <c r="CB2616" s="2"/>
      <c r="CC2616" s="2" t="s">
        <v>161</v>
      </c>
      <c r="CD2616" s="2">
        <v>7441</v>
      </c>
      <c r="CE2616" s="2" t="s">
        <v>86</v>
      </c>
      <c r="CF2616" s="5">
        <v>42674</v>
      </c>
      <c r="CG2616" s="2"/>
      <c r="CH2616" s="2"/>
      <c r="CI2616" s="2">
        <v>1</v>
      </c>
      <c r="CJ2616" s="2">
        <v>1</v>
      </c>
      <c r="CK2616" s="2">
        <v>21</v>
      </c>
      <c r="CL2616" s="2" t="s">
        <v>88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"FES1162509789"</f>
        <v>FES1162509789</v>
      </c>
      <c r="F2617" s="3">
        <v>42670</v>
      </c>
      <c r="G2617" s="2">
        <v>201704</v>
      </c>
      <c r="H2617" s="2" t="s">
        <v>74</v>
      </c>
      <c r="I2617" s="2" t="s">
        <v>75</v>
      </c>
      <c r="J2617" s="2" t="s">
        <v>76</v>
      </c>
      <c r="K2617" s="2" t="s">
        <v>77</v>
      </c>
      <c r="L2617" s="2" t="s">
        <v>160</v>
      </c>
      <c r="M2617" s="2" t="s">
        <v>161</v>
      </c>
      <c r="N2617" s="2" t="s">
        <v>2462</v>
      </c>
      <c r="O2617" s="2" t="s">
        <v>96</v>
      </c>
      <c r="P2617" s="2" t="str">
        <f>"2170532856                    "</f>
        <v xml:space="preserve">2170532856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6.63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2.7</v>
      </c>
      <c r="BJ2617" s="2">
        <v>3.9</v>
      </c>
      <c r="BK2617" s="2">
        <v>4</v>
      </c>
      <c r="BL2617" s="2">
        <v>81.510000000000005</v>
      </c>
      <c r="BM2617" s="2">
        <v>11.41</v>
      </c>
      <c r="BN2617" s="2">
        <v>92.92</v>
      </c>
      <c r="BO2617" s="2">
        <v>92.92</v>
      </c>
      <c r="BP2617" s="2"/>
      <c r="BQ2617" s="2" t="s">
        <v>168</v>
      </c>
      <c r="BR2617" s="2" t="s">
        <v>83</v>
      </c>
      <c r="BS2617" s="3">
        <v>42671</v>
      </c>
      <c r="BT2617" s="4">
        <v>0.40138888888888885</v>
      </c>
      <c r="BU2617" s="2" t="s">
        <v>2463</v>
      </c>
      <c r="BV2617" s="2" t="s">
        <v>85</v>
      </c>
      <c r="BW2617" s="2"/>
      <c r="BX2617" s="2"/>
      <c r="BY2617" s="2">
        <v>19666.939999999999</v>
      </c>
      <c r="BZ2617" s="2"/>
      <c r="CA2617" s="2"/>
      <c r="CB2617" s="2"/>
      <c r="CC2617" s="2" t="s">
        <v>161</v>
      </c>
      <c r="CD2617" s="2">
        <v>7780</v>
      </c>
      <c r="CE2617" s="2" t="s">
        <v>86</v>
      </c>
      <c r="CF2617" s="5">
        <v>42674</v>
      </c>
      <c r="CG2617" s="2"/>
      <c r="CH2617" s="2"/>
      <c r="CI2617" s="2">
        <v>1</v>
      </c>
      <c r="CJ2617" s="2">
        <v>1</v>
      </c>
      <c r="CK2617" s="2">
        <v>21</v>
      </c>
      <c r="CL2617" s="2" t="s">
        <v>88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"FES1162509882"</f>
        <v>FES1162509882</v>
      </c>
      <c r="F2618" s="3">
        <v>42670</v>
      </c>
      <c r="G2618" s="2">
        <v>201704</v>
      </c>
      <c r="H2618" s="2" t="s">
        <v>74</v>
      </c>
      <c r="I2618" s="2" t="s">
        <v>75</v>
      </c>
      <c r="J2618" s="2" t="s">
        <v>76</v>
      </c>
      <c r="K2618" s="2" t="s">
        <v>77</v>
      </c>
      <c r="L2618" s="2" t="s">
        <v>93</v>
      </c>
      <c r="M2618" s="2" t="s">
        <v>94</v>
      </c>
      <c r="N2618" s="2" t="s">
        <v>130</v>
      </c>
      <c r="O2618" s="2" t="s">
        <v>96</v>
      </c>
      <c r="P2618" s="2" t="str">
        <f>"2170532329                    "</f>
        <v xml:space="preserve">2170532329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4.9800000000000004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3</v>
      </c>
      <c r="BJ2618" s="2">
        <v>2.2000000000000002</v>
      </c>
      <c r="BK2618" s="2">
        <v>3</v>
      </c>
      <c r="BL2618" s="2">
        <v>61.14</v>
      </c>
      <c r="BM2618" s="2">
        <v>8.56</v>
      </c>
      <c r="BN2618" s="2">
        <v>69.7</v>
      </c>
      <c r="BO2618" s="2">
        <v>69.7</v>
      </c>
      <c r="BP2618" s="2"/>
      <c r="BQ2618" s="2" t="s">
        <v>131</v>
      </c>
      <c r="BR2618" s="2" t="s">
        <v>83</v>
      </c>
      <c r="BS2618" s="3">
        <v>42671</v>
      </c>
      <c r="BT2618" s="4">
        <v>0.41666666666666669</v>
      </c>
      <c r="BU2618" s="2" t="s">
        <v>2464</v>
      </c>
      <c r="BV2618" s="2" t="s">
        <v>85</v>
      </c>
      <c r="BW2618" s="2"/>
      <c r="BX2618" s="2"/>
      <c r="BY2618" s="2">
        <v>10944</v>
      </c>
      <c r="BZ2618" s="2"/>
      <c r="CA2618" s="2" t="s">
        <v>129</v>
      </c>
      <c r="CB2618" s="2"/>
      <c r="CC2618" s="2" t="s">
        <v>94</v>
      </c>
      <c r="CD2618" s="2">
        <v>4302</v>
      </c>
      <c r="CE2618" s="2" t="s">
        <v>86</v>
      </c>
      <c r="CF2618" s="5">
        <v>42675</v>
      </c>
      <c r="CG2618" s="2"/>
      <c r="CH2618" s="2"/>
      <c r="CI2618" s="2">
        <v>1</v>
      </c>
      <c r="CJ2618" s="2">
        <v>1</v>
      </c>
      <c r="CK2618" s="2">
        <v>21</v>
      </c>
      <c r="CL2618" s="2" t="s">
        <v>88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"FES1162509952"</f>
        <v>FES1162509952</v>
      </c>
      <c r="F2619" s="3">
        <v>42670</v>
      </c>
      <c r="G2619" s="2">
        <v>201704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148</v>
      </c>
      <c r="M2619" s="2" t="s">
        <v>149</v>
      </c>
      <c r="N2619" s="2" t="s">
        <v>2457</v>
      </c>
      <c r="O2619" s="2" t="s">
        <v>96</v>
      </c>
      <c r="P2619" s="2" t="str">
        <f>"2170533116                    "</f>
        <v xml:space="preserve">2170533116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3.32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1</v>
      </c>
      <c r="BJ2619" s="2">
        <v>0.2</v>
      </c>
      <c r="BK2619" s="2">
        <v>1</v>
      </c>
      <c r="BL2619" s="2">
        <v>40.76</v>
      </c>
      <c r="BM2619" s="2">
        <v>5.71</v>
      </c>
      <c r="BN2619" s="2">
        <v>46.47</v>
      </c>
      <c r="BO2619" s="2">
        <v>46.47</v>
      </c>
      <c r="BP2619" s="2"/>
      <c r="BQ2619" s="2" t="s">
        <v>91</v>
      </c>
      <c r="BR2619" s="2" t="s">
        <v>83</v>
      </c>
      <c r="BS2619" s="3">
        <v>42671</v>
      </c>
      <c r="BT2619" s="4">
        <v>0.4375</v>
      </c>
      <c r="BU2619" s="2" t="s">
        <v>2458</v>
      </c>
      <c r="BV2619" s="2" t="s">
        <v>85</v>
      </c>
      <c r="BW2619" s="2"/>
      <c r="BX2619" s="2"/>
      <c r="BY2619" s="2">
        <v>1200</v>
      </c>
      <c r="BZ2619" s="2"/>
      <c r="CA2619" s="2"/>
      <c r="CB2619" s="2"/>
      <c r="CC2619" s="2" t="s">
        <v>149</v>
      </c>
      <c r="CD2619" s="2">
        <v>4051</v>
      </c>
      <c r="CE2619" s="2" t="s">
        <v>108</v>
      </c>
      <c r="CF2619" s="5">
        <v>42675</v>
      </c>
      <c r="CG2619" s="2"/>
      <c r="CH2619" s="2"/>
      <c r="CI2619" s="2">
        <v>1</v>
      </c>
      <c r="CJ2619" s="2">
        <v>1</v>
      </c>
      <c r="CK2619" s="2">
        <v>21</v>
      </c>
      <c r="CL2619" s="2" t="s">
        <v>88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"FES1162509951"</f>
        <v>FES1162509951</v>
      </c>
      <c r="F2620" s="3">
        <v>42670</v>
      </c>
      <c r="G2620" s="2">
        <v>201704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148</v>
      </c>
      <c r="M2620" s="2" t="s">
        <v>149</v>
      </c>
      <c r="N2620" s="2" t="s">
        <v>2457</v>
      </c>
      <c r="O2620" s="2" t="s">
        <v>96</v>
      </c>
      <c r="P2620" s="2" t="str">
        <f>"2170533115                    "</f>
        <v xml:space="preserve">2170533115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9.9499999999999993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5.6</v>
      </c>
      <c r="BJ2620" s="2">
        <v>1.5</v>
      </c>
      <c r="BK2620" s="2">
        <v>6</v>
      </c>
      <c r="BL2620" s="2">
        <v>122.27</v>
      </c>
      <c r="BM2620" s="2">
        <v>17.12</v>
      </c>
      <c r="BN2620" s="2">
        <v>139.38999999999999</v>
      </c>
      <c r="BO2620" s="2">
        <v>139.38999999999999</v>
      </c>
      <c r="BP2620" s="2"/>
      <c r="BQ2620" s="2" t="s">
        <v>91</v>
      </c>
      <c r="BR2620" s="2" t="s">
        <v>83</v>
      </c>
      <c r="BS2620" s="3">
        <v>42671</v>
      </c>
      <c r="BT2620" s="4">
        <v>0.4375</v>
      </c>
      <c r="BU2620" s="2" t="s">
        <v>2458</v>
      </c>
      <c r="BV2620" s="2" t="s">
        <v>85</v>
      </c>
      <c r="BW2620" s="2"/>
      <c r="BX2620" s="2"/>
      <c r="BY2620" s="2">
        <v>7731.59</v>
      </c>
      <c r="BZ2620" s="2"/>
      <c r="CA2620" s="2"/>
      <c r="CB2620" s="2"/>
      <c r="CC2620" s="2" t="s">
        <v>149</v>
      </c>
      <c r="CD2620" s="2">
        <v>4051</v>
      </c>
      <c r="CE2620" s="2" t="s">
        <v>86</v>
      </c>
      <c r="CF2620" s="5">
        <v>42675</v>
      </c>
      <c r="CG2620" s="2"/>
      <c r="CH2620" s="2"/>
      <c r="CI2620" s="2">
        <v>1</v>
      </c>
      <c r="CJ2620" s="2">
        <v>1</v>
      </c>
      <c r="CK2620" s="2">
        <v>21</v>
      </c>
      <c r="CL2620" s="2" t="s">
        <v>88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"FES1162509913"</f>
        <v>FES1162509913</v>
      </c>
      <c r="F2621" s="3">
        <v>42670</v>
      </c>
      <c r="G2621" s="2">
        <v>201704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98</v>
      </c>
      <c r="M2621" s="2" t="s">
        <v>99</v>
      </c>
      <c r="N2621" s="2" t="s">
        <v>104</v>
      </c>
      <c r="O2621" s="2" t="s">
        <v>96</v>
      </c>
      <c r="P2621" s="2" t="str">
        <f>"2170531732                    "</f>
        <v xml:space="preserve">2170531732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3.32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0.7</v>
      </c>
      <c r="BJ2621" s="2">
        <v>1.5</v>
      </c>
      <c r="BK2621" s="2">
        <v>1.5</v>
      </c>
      <c r="BL2621" s="2">
        <v>40.76</v>
      </c>
      <c r="BM2621" s="2">
        <v>5.71</v>
      </c>
      <c r="BN2621" s="2">
        <v>46.47</v>
      </c>
      <c r="BO2621" s="2">
        <v>46.47</v>
      </c>
      <c r="BP2621" s="2"/>
      <c r="BQ2621" s="2" t="s">
        <v>105</v>
      </c>
      <c r="BR2621" s="2" t="s">
        <v>83</v>
      </c>
      <c r="BS2621" s="3">
        <v>42671</v>
      </c>
      <c r="BT2621" s="4">
        <v>0.42708333333333331</v>
      </c>
      <c r="BU2621" s="2" t="s">
        <v>105</v>
      </c>
      <c r="BV2621" s="2" t="s">
        <v>85</v>
      </c>
      <c r="BW2621" s="2"/>
      <c r="BX2621" s="2"/>
      <c r="BY2621" s="2">
        <v>7333.2</v>
      </c>
      <c r="BZ2621" s="2"/>
      <c r="CA2621" s="2"/>
      <c r="CB2621" s="2"/>
      <c r="CC2621" s="2" t="s">
        <v>99</v>
      </c>
      <c r="CD2621" s="2">
        <v>6001</v>
      </c>
      <c r="CE2621" s="2" t="s">
        <v>108</v>
      </c>
      <c r="CF2621" s="5">
        <v>42674</v>
      </c>
      <c r="CG2621" s="2"/>
      <c r="CH2621" s="2"/>
      <c r="CI2621" s="2">
        <v>1</v>
      </c>
      <c r="CJ2621" s="2">
        <v>1</v>
      </c>
      <c r="CK2621" s="2">
        <v>21</v>
      </c>
      <c r="CL2621" s="2" t="s">
        <v>88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"FES1162509920"</f>
        <v>FES1162509920</v>
      </c>
      <c r="F2622" s="3">
        <v>42670</v>
      </c>
      <c r="G2622" s="2">
        <v>201704</v>
      </c>
      <c r="H2622" s="2" t="s">
        <v>74</v>
      </c>
      <c r="I2622" s="2" t="s">
        <v>75</v>
      </c>
      <c r="J2622" s="2" t="s">
        <v>76</v>
      </c>
      <c r="K2622" s="2" t="s">
        <v>77</v>
      </c>
      <c r="L2622" s="2" t="s">
        <v>148</v>
      </c>
      <c r="M2622" s="2" t="s">
        <v>149</v>
      </c>
      <c r="N2622" s="2" t="s">
        <v>2465</v>
      </c>
      <c r="O2622" s="2" t="s">
        <v>96</v>
      </c>
      <c r="P2622" s="2" t="str">
        <f>"2170533084                    "</f>
        <v xml:space="preserve">2170533084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3.32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</v>
      </c>
      <c r="BJ2622" s="2">
        <v>1.1000000000000001</v>
      </c>
      <c r="BK2622" s="2">
        <v>1.5</v>
      </c>
      <c r="BL2622" s="2">
        <v>40.76</v>
      </c>
      <c r="BM2622" s="2">
        <v>5.71</v>
      </c>
      <c r="BN2622" s="2">
        <v>46.47</v>
      </c>
      <c r="BO2622" s="2">
        <v>46.47</v>
      </c>
      <c r="BP2622" s="2"/>
      <c r="BQ2622" s="2" t="s">
        <v>91</v>
      </c>
      <c r="BR2622" s="2" t="s">
        <v>83</v>
      </c>
      <c r="BS2622" s="3">
        <v>42671</v>
      </c>
      <c r="BT2622" s="4">
        <v>0.875</v>
      </c>
      <c r="BU2622" s="2" t="s">
        <v>2466</v>
      </c>
      <c r="BV2622" s="2" t="s">
        <v>88</v>
      </c>
      <c r="BW2622" s="2"/>
      <c r="BX2622" s="2"/>
      <c r="BY2622" s="2">
        <v>5320</v>
      </c>
      <c r="BZ2622" s="2"/>
      <c r="CA2622" s="2"/>
      <c r="CB2622" s="2"/>
      <c r="CC2622" s="2" t="s">
        <v>149</v>
      </c>
      <c r="CD2622" s="2">
        <v>4051</v>
      </c>
      <c r="CE2622" s="2" t="s">
        <v>86</v>
      </c>
      <c r="CF2622" s="5">
        <v>42675</v>
      </c>
      <c r="CG2622" s="2"/>
      <c r="CH2622" s="2"/>
      <c r="CI2622" s="2">
        <v>1</v>
      </c>
      <c r="CJ2622" s="2">
        <v>1</v>
      </c>
      <c r="CK2622" s="2">
        <v>21</v>
      </c>
      <c r="CL2622" s="2" t="s">
        <v>88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"FES1162509915"</f>
        <v>FES1162509915</v>
      </c>
      <c r="F2623" s="3">
        <v>42670</v>
      </c>
      <c r="G2623" s="2">
        <v>201704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269</v>
      </c>
      <c r="M2623" s="2" t="s">
        <v>270</v>
      </c>
      <c r="N2623" s="2" t="s">
        <v>2467</v>
      </c>
      <c r="O2623" s="2" t="s">
        <v>96</v>
      </c>
      <c r="P2623" s="2" t="str">
        <f>"2170532924                    "</f>
        <v xml:space="preserve">2170532924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8.2899999999999991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4.8</v>
      </c>
      <c r="BJ2623" s="2">
        <v>1.5</v>
      </c>
      <c r="BK2623" s="2">
        <v>5</v>
      </c>
      <c r="BL2623" s="2">
        <v>101.89</v>
      </c>
      <c r="BM2623" s="2">
        <v>14.26</v>
      </c>
      <c r="BN2623" s="2">
        <v>116.15</v>
      </c>
      <c r="BO2623" s="2">
        <v>116.15</v>
      </c>
      <c r="BP2623" s="2"/>
      <c r="BQ2623" s="2"/>
      <c r="BR2623" s="2" t="s">
        <v>83</v>
      </c>
      <c r="BS2623" s="3">
        <v>42671</v>
      </c>
      <c r="BT2623" s="4">
        <v>0.41666666666666669</v>
      </c>
      <c r="BU2623" s="2" t="s">
        <v>2468</v>
      </c>
      <c r="BV2623" s="2" t="s">
        <v>85</v>
      </c>
      <c r="BW2623" s="2"/>
      <c r="BX2623" s="2"/>
      <c r="BY2623" s="2">
        <v>7712.64</v>
      </c>
      <c r="BZ2623" s="2"/>
      <c r="CA2623" s="2"/>
      <c r="CB2623" s="2"/>
      <c r="CC2623" s="2" t="s">
        <v>270</v>
      </c>
      <c r="CD2623" s="2">
        <v>3610</v>
      </c>
      <c r="CE2623" s="2" t="s">
        <v>86</v>
      </c>
      <c r="CF2623" s="5">
        <v>42675</v>
      </c>
      <c r="CG2623" s="2"/>
      <c r="CH2623" s="2"/>
      <c r="CI2623" s="2">
        <v>1</v>
      </c>
      <c r="CJ2623" s="2">
        <v>1</v>
      </c>
      <c r="CK2623" s="2">
        <v>21</v>
      </c>
      <c r="CL2623" s="2" t="s">
        <v>88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"FES1162509944"</f>
        <v>FES1162509944</v>
      </c>
      <c r="F2624" s="3">
        <v>42670</v>
      </c>
      <c r="G2624" s="2">
        <v>201704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98</v>
      </c>
      <c r="M2624" s="2" t="s">
        <v>99</v>
      </c>
      <c r="N2624" s="2" t="s">
        <v>133</v>
      </c>
      <c r="O2624" s="2" t="s">
        <v>96</v>
      </c>
      <c r="P2624" s="2" t="str">
        <f>"2170532985                    "</f>
        <v xml:space="preserve">2170532985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6.63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3.9</v>
      </c>
      <c r="BJ2624" s="2">
        <v>3.1</v>
      </c>
      <c r="BK2624" s="2">
        <v>4</v>
      </c>
      <c r="BL2624" s="2">
        <v>81.510000000000005</v>
      </c>
      <c r="BM2624" s="2">
        <v>11.41</v>
      </c>
      <c r="BN2624" s="2">
        <v>92.92</v>
      </c>
      <c r="BO2624" s="2">
        <v>92.92</v>
      </c>
      <c r="BP2624" s="2"/>
      <c r="BQ2624" s="2" t="s">
        <v>134</v>
      </c>
      <c r="BR2624" s="2" t="s">
        <v>83</v>
      </c>
      <c r="BS2624" s="3">
        <v>42671</v>
      </c>
      <c r="BT2624" s="4">
        <v>0.35416666666666669</v>
      </c>
      <c r="BU2624" s="2" t="s">
        <v>2469</v>
      </c>
      <c r="BV2624" s="2" t="s">
        <v>85</v>
      </c>
      <c r="BW2624" s="2"/>
      <c r="BX2624" s="2"/>
      <c r="BY2624" s="2">
        <v>15612.9</v>
      </c>
      <c r="BZ2624" s="2"/>
      <c r="CA2624" s="2" t="s">
        <v>136</v>
      </c>
      <c r="CB2624" s="2"/>
      <c r="CC2624" s="2" t="s">
        <v>99</v>
      </c>
      <c r="CD2624" s="2">
        <v>6001</v>
      </c>
      <c r="CE2624" s="2" t="s">
        <v>86</v>
      </c>
      <c r="CF2624" s="5">
        <v>42671</v>
      </c>
      <c r="CG2624" s="2"/>
      <c r="CH2624" s="2"/>
      <c r="CI2624" s="2">
        <v>1</v>
      </c>
      <c r="CJ2624" s="2">
        <v>1</v>
      </c>
      <c r="CK2624" s="2">
        <v>21</v>
      </c>
      <c r="CL2624" s="2" t="s">
        <v>88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"FES1162509939"</f>
        <v>FES1162509939</v>
      </c>
      <c r="F2625" s="3">
        <v>42670</v>
      </c>
      <c r="G2625" s="2">
        <v>201704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1225</v>
      </c>
      <c r="M2625" s="2" t="s">
        <v>1226</v>
      </c>
      <c r="N2625" s="2" t="s">
        <v>2470</v>
      </c>
      <c r="O2625" s="2" t="s">
        <v>96</v>
      </c>
      <c r="P2625" s="2" t="str">
        <f>"2170533108                    "</f>
        <v xml:space="preserve">2170533108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54.32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9.6999999999999993</v>
      </c>
      <c r="BJ2625" s="2">
        <v>18.100000000000001</v>
      </c>
      <c r="BK2625" s="2">
        <v>18.5</v>
      </c>
      <c r="BL2625" s="2">
        <v>667.4</v>
      </c>
      <c r="BM2625" s="2">
        <v>93.44</v>
      </c>
      <c r="BN2625" s="2">
        <v>760.84</v>
      </c>
      <c r="BO2625" s="2">
        <v>760.84</v>
      </c>
      <c r="BP2625" s="2"/>
      <c r="BQ2625" s="2" t="s">
        <v>13</v>
      </c>
      <c r="BR2625" s="2" t="s">
        <v>83</v>
      </c>
      <c r="BS2625" s="3">
        <v>42671</v>
      </c>
      <c r="BT2625" s="4">
        <v>0.5180555555555556</v>
      </c>
      <c r="BU2625" s="2" t="s">
        <v>1591</v>
      </c>
      <c r="BV2625" s="2" t="s">
        <v>85</v>
      </c>
      <c r="BW2625" s="2"/>
      <c r="BX2625" s="2"/>
      <c r="BY2625" s="2">
        <v>90314.67</v>
      </c>
      <c r="BZ2625" s="2"/>
      <c r="CA2625" s="2"/>
      <c r="CB2625" s="2"/>
      <c r="CC2625" s="2" t="s">
        <v>1226</v>
      </c>
      <c r="CD2625" s="2">
        <v>5660</v>
      </c>
      <c r="CE2625" s="2" t="s">
        <v>86</v>
      </c>
      <c r="CF2625" s="5">
        <v>42675</v>
      </c>
      <c r="CG2625" s="2"/>
      <c r="CH2625" s="2"/>
      <c r="CI2625" s="2">
        <v>3</v>
      </c>
      <c r="CJ2625" s="2">
        <v>1</v>
      </c>
      <c r="CK2625" s="2">
        <v>23</v>
      </c>
      <c r="CL2625" s="2" t="s">
        <v>88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"FES1162509880"</f>
        <v>FES1162509880</v>
      </c>
      <c r="F2626" s="3">
        <v>42670</v>
      </c>
      <c r="G2626" s="2">
        <v>201704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143</v>
      </c>
      <c r="M2626" s="2" t="s">
        <v>144</v>
      </c>
      <c r="N2626" s="2" t="s">
        <v>909</v>
      </c>
      <c r="O2626" s="2" t="s">
        <v>96</v>
      </c>
      <c r="P2626" s="2" t="str">
        <f>"2170533035                    "</f>
        <v xml:space="preserve">2170533035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3.32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1</v>
      </c>
      <c r="BJ2626" s="2">
        <v>0.2</v>
      </c>
      <c r="BK2626" s="2">
        <v>1</v>
      </c>
      <c r="BL2626" s="2">
        <v>40.76</v>
      </c>
      <c r="BM2626" s="2">
        <v>5.71</v>
      </c>
      <c r="BN2626" s="2">
        <v>46.47</v>
      </c>
      <c r="BO2626" s="2">
        <v>46.47</v>
      </c>
      <c r="BP2626" s="2"/>
      <c r="BQ2626" s="2" t="s">
        <v>117</v>
      </c>
      <c r="BR2626" s="2" t="s">
        <v>83</v>
      </c>
      <c r="BS2626" s="3">
        <v>42671</v>
      </c>
      <c r="BT2626" s="4">
        <v>0.45833333333333331</v>
      </c>
      <c r="BU2626" s="2" t="s">
        <v>2471</v>
      </c>
      <c r="BV2626" s="2"/>
      <c r="BW2626" s="2" t="s">
        <v>2219</v>
      </c>
      <c r="BX2626" s="2" t="s">
        <v>278</v>
      </c>
      <c r="BY2626" s="2">
        <v>1200</v>
      </c>
      <c r="BZ2626" s="2" t="s">
        <v>27</v>
      </c>
      <c r="CA2626" s="2"/>
      <c r="CB2626" s="2"/>
      <c r="CC2626" s="2" t="s">
        <v>144</v>
      </c>
      <c r="CD2626" s="2">
        <v>5201</v>
      </c>
      <c r="CE2626" s="2" t="s">
        <v>108</v>
      </c>
      <c r="CF2626" s="5">
        <v>42675</v>
      </c>
      <c r="CG2626" s="2"/>
      <c r="CH2626" s="2"/>
      <c r="CI2626" s="2">
        <v>0</v>
      </c>
      <c r="CJ2626" s="2">
        <v>0</v>
      </c>
      <c r="CK2626" s="2">
        <v>21</v>
      </c>
      <c r="CL2626" s="2" t="s">
        <v>88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"FES1162509797"</f>
        <v>FES1162509797</v>
      </c>
      <c r="F2627" s="3">
        <v>42670</v>
      </c>
      <c r="G2627" s="2">
        <v>201704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93</v>
      </c>
      <c r="M2627" s="2" t="s">
        <v>94</v>
      </c>
      <c r="N2627" s="2" t="s">
        <v>2472</v>
      </c>
      <c r="O2627" s="2" t="s">
        <v>96</v>
      </c>
      <c r="P2627" s="2" t="str">
        <f>"2170532871                    "</f>
        <v xml:space="preserve">2170532871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6.63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3</v>
      </c>
      <c r="BJ2627" s="2">
        <v>3.9</v>
      </c>
      <c r="BK2627" s="2">
        <v>4</v>
      </c>
      <c r="BL2627" s="2">
        <v>81.510000000000005</v>
      </c>
      <c r="BM2627" s="2">
        <v>11.41</v>
      </c>
      <c r="BN2627" s="2">
        <v>92.92</v>
      </c>
      <c r="BO2627" s="2">
        <v>92.92</v>
      </c>
      <c r="BP2627" s="2"/>
      <c r="BQ2627" s="2" t="s">
        <v>2473</v>
      </c>
      <c r="BR2627" s="2" t="s">
        <v>83</v>
      </c>
      <c r="BS2627" s="3">
        <v>42671</v>
      </c>
      <c r="BT2627" s="4">
        <v>0.33333333333333331</v>
      </c>
      <c r="BU2627" s="2" t="s">
        <v>2474</v>
      </c>
      <c r="BV2627" s="2" t="s">
        <v>85</v>
      </c>
      <c r="BW2627" s="2"/>
      <c r="BX2627" s="2"/>
      <c r="BY2627" s="2">
        <v>19656</v>
      </c>
      <c r="BZ2627" s="2" t="s">
        <v>27</v>
      </c>
      <c r="CA2627" s="2" t="s">
        <v>129</v>
      </c>
      <c r="CB2627" s="2"/>
      <c r="CC2627" s="2" t="s">
        <v>94</v>
      </c>
      <c r="CD2627" s="2">
        <v>4302</v>
      </c>
      <c r="CE2627" s="2" t="s">
        <v>86</v>
      </c>
      <c r="CF2627" s="5">
        <v>42675</v>
      </c>
      <c r="CG2627" s="2"/>
      <c r="CH2627" s="2"/>
      <c r="CI2627" s="2">
        <v>1</v>
      </c>
      <c r="CJ2627" s="2">
        <v>1</v>
      </c>
      <c r="CK2627" s="2">
        <v>21</v>
      </c>
      <c r="CL2627" s="2" t="s">
        <v>88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"FES1162509846"</f>
        <v>FES1162509846</v>
      </c>
      <c r="F2628" s="3">
        <v>42670</v>
      </c>
      <c r="G2628" s="2">
        <v>201704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98</v>
      </c>
      <c r="M2628" s="2" t="s">
        <v>99</v>
      </c>
      <c r="N2628" s="2" t="s">
        <v>133</v>
      </c>
      <c r="O2628" s="2" t="s">
        <v>96</v>
      </c>
      <c r="P2628" s="2" t="str">
        <f>"2170533006                    "</f>
        <v xml:space="preserve">2170533006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3.32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1.4</v>
      </c>
      <c r="BJ2628" s="2">
        <v>0.2</v>
      </c>
      <c r="BK2628" s="2">
        <v>1.5</v>
      </c>
      <c r="BL2628" s="2">
        <v>40.76</v>
      </c>
      <c r="BM2628" s="2">
        <v>5.71</v>
      </c>
      <c r="BN2628" s="2">
        <v>46.47</v>
      </c>
      <c r="BO2628" s="2">
        <v>46.47</v>
      </c>
      <c r="BP2628" s="2"/>
      <c r="BQ2628" s="2" t="s">
        <v>134</v>
      </c>
      <c r="BR2628" s="2" t="s">
        <v>83</v>
      </c>
      <c r="BS2628" s="3">
        <v>42671</v>
      </c>
      <c r="BT2628" s="4">
        <v>0.35416666666666669</v>
      </c>
      <c r="BU2628" s="2" t="s">
        <v>2469</v>
      </c>
      <c r="BV2628" s="2" t="s">
        <v>85</v>
      </c>
      <c r="BW2628" s="2"/>
      <c r="BX2628" s="2"/>
      <c r="BY2628" s="2">
        <v>1200</v>
      </c>
      <c r="BZ2628" s="2" t="s">
        <v>27</v>
      </c>
      <c r="CA2628" s="2" t="s">
        <v>136</v>
      </c>
      <c r="CB2628" s="2"/>
      <c r="CC2628" s="2" t="s">
        <v>99</v>
      </c>
      <c r="CD2628" s="2">
        <v>6001</v>
      </c>
      <c r="CE2628" s="2" t="s">
        <v>108</v>
      </c>
      <c r="CF2628" s="5">
        <v>42671</v>
      </c>
      <c r="CG2628" s="2"/>
      <c r="CH2628" s="2"/>
      <c r="CI2628" s="2">
        <v>1</v>
      </c>
      <c r="CJ2628" s="2">
        <v>1</v>
      </c>
      <c r="CK2628" s="2">
        <v>21</v>
      </c>
      <c r="CL2628" s="2" t="s">
        <v>88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"FES1162509877"</f>
        <v>FES1162509877</v>
      </c>
      <c r="F2629" s="3">
        <v>42670</v>
      </c>
      <c r="G2629" s="2">
        <v>201704</v>
      </c>
      <c r="H2629" s="2" t="s">
        <v>74</v>
      </c>
      <c r="I2629" s="2" t="s">
        <v>75</v>
      </c>
      <c r="J2629" s="2" t="s">
        <v>76</v>
      </c>
      <c r="K2629" s="2" t="s">
        <v>77</v>
      </c>
      <c r="L2629" s="2" t="s">
        <v>137</v>
      </c>
      <c r="M2629" s="2" t="s">
        <v>138</v>
      </c>
      <c r="N2629" s="2" t="s">
        <v>928</v>
      </c>
      <c r="O2629" s="2" t="s">
        <v>96</v>
      </c>
      <c r="P2629" s="2" t="str">
        <f>"2170533033                    "</f>
        <v xml:space="preserve">2170533033  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3.32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1.7</v>
      </c>
      <c r="BJ2629" s="2">
        <v>1.5</v>
      </c>
      <c r="BK2629" s="2">
        <v>2</v>
      </c>
      <c r="BL2629" s="2">
        <v>40.76</v>
      </c>
      <c r="BM2629" s="2">
        <v>5.71</v>
      </c>
      <c r="BN2629" s="2">
        <v>46.47</v>
      </c>
      <c r="BO2629" s="2">
        <v>46.47</v>
      </c>
      <c r="BP2629" s="2"/>
      <c r="BQ2629" s="2" t="s">
        <v>117</v>
      </c>
      <c r="BR2629" s="2" t="s">
        <v>83</v>
      </c>
      <c r="BS2629" s="3">
        <v>42671</v>
      </c>
      <c r="BT2629" s="4">
        <v>0.4236111111111111</v>
      </c>
      <c r="BU2629" s="2" t="s">
        <v>2116</v>
      </c>
      <c r="BV2629" s="2"/>
      <c r="BW2629" s="2"/>
      <c r="BX2629" s="2"/>
      <c r="BY2629" s="2">
        <v>7452.65</v>
      </c>
      <c r="BZ2629" s="2" t="s">
        <v>27</v>
      </c>
      <c r="CA2629" s="2" t="s">
        <v>613</v>
      </c>
      <c r="CB2629" s="2"/>
      <c r="CC2629" s="2" t="s">
        <v>138</v>
      </c>
      <c r="CD2629" s="2">
        <v>3201</v>
      </c>
      <c r="CE2629" s="2" t="s">
        <v>86</v>
      </c>
      <c r="CF2629" s="5">
        <v>42671</v>
      </c>
      <c r="CG2629" s="2"/>
      <c r="CH2629" s="2"/>
      <c r="CI2629" s="2">
        <v>0</v>
      </c>
      <c r="CJ2629" s="2">
        <v>0</v>
      </c>
      <c r="CK2629" s="2">
        <v>21</v>
      </c>
      <c r="CL2629" s="2" t="s">
        <v>88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"FES1162509855"</f>
        <v>FES1162509855</v>
      </c>
      <c r="F2630" s="3">
        <v>42670</v>
      </c>
      <c r="G2630" s="2">
        <v>201704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148</v>
      </c>
      <c r="M2630" s="2" t="s">
        <v>149</v>
      </c>
      <c r="N2630" s="2" t="s">
        <v>2475</v>
      </c>
      <c r="O2630" s="2" t="s">
        <v>96</v>
      </c>
      <c r="P2630" s="2" t="str">
        <f>"2170532696                    "</f>
        <v xml:space="preserve">2170532696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4.1500000000000004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2.4</v>
      </c>
      <c r="BJ2630" s="2">
        <v>1</v>
      </c>
      <c r="BK2630" s="2">
        <v>2.5</v>
      </c>
      <c r="BL2630" s="2">
        <v>50.95</v>
      </c>
      <c r="BM2630" s="2">
        <v>7.13</v>
      </c>
      <c r="BN2630" s="2">
        <v>58.08</v>
      </c>
      <c r="BO2630" s="2">
        <v>58.08</v>
      </c>
      <c r="BP2630" s="2"/>
      <c r="BQ2630" s="2" t="s">
        <v>117</v>
      </c>
      <c r="BR2630" s="2" t="s">
        <v>83</v>
      </c>
      <c r="BS2630" s="3">
        <v>42671</v>
      </c>
      <c r="BT2630" s="4">
        <v>0.41666666666666669</v>
      </c>
      <c r="BU2630" s="2" t="s">
        <v>2476</v>
      </c>
      <c r="BV2630" s="2" t="s">
        <v>85</v>
      </c>
      <c r="BW2630" s="2"/>
      <c r="BX2630" s="2"/>
      <c r="BY2630" s="2">
        <v>5136.7700000000004</v>
      </c>
      <c r="BZ2630" s="2" t="s">
        <v>27</v>
      </c>
      <c r="CA2630" s="2"/>
      <c r="CB2630" s="2"/>
      <c r="CC2630" s="2" t="s">
        <v>149</v>
      </c>
      <c r="CD2630" s="2">
        <v>4072</v>
      </c>
      <c r="CE2630" s="2" t="s">
        <v>86</v>
      </c>
      <c r="CF2630" s="5">
        <v>42675</v>
      </c>
      <c r="CG2630" s="2"/>
      <c r="CH2630" s="2"/>
      <c r="CI2630" s="2">
        <v>1</v>
      </c>
      <c r="CJ2630" s="2">
        <v>1</v>
      </c>
      <c r="CK2630" s="2">
        <v>21</v>
      </c>
      <c r="CL2630" s="2" t="s">
        <v>88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"FES1162509897"</f>
        <v>FES1162509897</v>
      </c>
      <c r="F2631" s="3">
        <v>42670</v>
      </c>
      <c r="G2631" s="2">
        <v>201704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148</v>
      </c>
      <c r="M2631" s="2" t="s">
        <v>149</v>
      </c>
      <c r="N2631" s="2" t="s">
        <v>473</v>
      </c>
      <c r="O2631" s="2" t="s">
        <v>96</v>
      </c>
      <c r="P2631" s="2" t="str">
        <f>"2170533052                    "</f>
        <v xml:space="preserve">2170533052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4.9800000000000004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3</v>
      </c>
      <c r="BJ2631" s="2">
        <v>0.6</v>
      </c>
      <c r="BK2631" s="2">
        <v>3</v>
      </c>
      <c r="BL2631" s="2">
        <v>61.14</v>
      </c>
      <c r="BM2631" s="2">
        <v>8.56</v>
      </c>
      <c r="BN2631" s="2">
        <v>69.7</v>
      </c>
      <c r="BO2631" s="2">
        <v>69.7</v>
      </c>
      <c r="BP2631" s="2"/>
      <c r="BQ2631" s="2" t="s">
        <v>117</v>
      </c>
      <c r="BR2631" s="2" t="s">
        <v>83</v>
      </c>
      <c r="BS2631" s="3">
        <v>42671</v>
      </c>
      <c r="BT2631" s="4">
        <v>0.39583333333333331</v>
      </c>
      <c r="BU2631" s="2" t="s">
        <v>1264</v>
      </c>
      <c r="BV2631" s="2" t="s">
        <v>85</v>
      </c>
      <c r="BW2631" s="2"/>
      <c r="BX2631" s="2"/>
      <c r="BY2631" s="2">
        <v>3200</v>
      </c>
      <c r="BZ2631" s="2" t="s">
        <v>27</v>
      </c>
      <c r="CA2631" s="2"/>
      <c r="CB2631" s="2"/>
      <c r="CC2631" s="2" t="s">
        <v>149</v>
      </c>
      <c r="CD2631" s="2">
        <v>4052</v>
      </c>
      <c r="CE2631" s="2" t="s">
        <v>86</v>
      </c>
      <c r="CF2631" s="5">
        <v>42675</v>
      </c>
      <c r="CG2631" s="2"/>
      <c r="CH2631" s="2"/>
      <c r="CI2631" s="2">
        <v>1</v>
      </c>
      <c r="CJ2631" s="2">
        <v>1</v>
      </c>
      <c r="CK2631" s="2">
        <v>21</v>
      </c>
      <c r="CL2631" s="2" t="s">
        <v>88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"FES1162509876"</f>
        <v>FES1162509876</v>
      </c>
      <c r="F2632" s="3">
        <v>42670</v>
      </c>
      <c r="G2632" s="2">
        <v>201704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143</v>
      </c>
      <c r="M2632" s="2" t="s">
        <v>144</v>
      </c>
      <c r="N2632" s="2" t="s">
        <v>216</v>
      </c>
      <c r="O2632" s="2" t="s">
        <v>96</v>
      </c>
      <c r="P2632" s="2" t="str">
        <f>"2170533011                    "</f>
        <v xml:space="preserve">2170533011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3.32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</v>
      </c>
      <c r="BJ2632" s="2">
        <v>0.2</v>
      </c>
      <c r="BK2632" s="2">
        <v>1</v>
      </c>
      <c r="BL2632" s="2">
        <v>40.76</v>
      </c>
      <c r="BM2632" s="2">
        <v>5.71</v>
      </c>
      <c r="BN2632" s="2">
        <v>46.47</v>
      </c>
      <c r="BO2632" s="2">
        <v>46.47</v>
      </c>
      <c r="BP2632" s="2"/>
      <c r="BQ2632" s="2" t="s">
        <v>91</v>
      </c>
      <c r="BR2632" s="2" t="s">
        <v>83</v>
      </c>
      <c r="BS2632" s="3">
        <v>42671</v>
      </c>
      <c r="BT2632" s="4">
        <v>0.49861111111111112</v>
      </c>
      <c r="BU2632" s="2" t="s">
        <v>276</v>
      </c>
      <c r="BV2632" s="2" t="s">
        <v>88</v>
      </c>
      <c r="BW2632" s="2" t="s">
        <v>2219</v>
      </c>
      <c r="BX2632" s="2" t="s">
        <v>278</v>
      </c>
      <c r="BY2632" s="2">
        <v>1200</v>
      </c>
      <c r="BZ2632" s="2" t="s">
        <v>27</v>
      </c>
      <c r="CA2632" s="2"/>
      <c r="CB2632" s="2"/>
      <c r="CC2632" s="2" t="s">
        <v>144</v>
      </c>
      <c r="CD2632" s="2">
        <v>5201</v>
      </c>
      <c r="CE2632" s="2" t="s">
        <v>108</v>
      </c>
      <c r="CF2632" s="5">
        <v>42675</v>
      </c>
      <c r="CG2632" s="2"/>
      <c r="CH2632" s="2"/>
      <c r="CI2632" s="2">
        <v>1</v>
      </c>
      <c r="CJ2632" s="2">
        <v>1</v>
      </c>
      <c r="CK2632" s="2">
        <v>21</v>
      </c>
      <c r="CL2632" s="2" t="s">
        <v>88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"FES1162509820"</f>
        <v>FES1162509820</v>
      </c>
      <c r="F2633" s="3">
        <v>42670</v>
      </c>
      <c r="G2633" s="2">
        <v>201704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269</v>
      </c>
      <c r="M2633" s="2" t="s">
        <v>270</v>
      </c>
      <c r="N2633" s="2" t="s">
        <v>804</v>
      </c>
      <c r="O2633" s="2" t="s">
        <v>96</v>
      </c>
      <c r="P2633" s="2" t="str">
        <f>"2170532980                    "</f>
        <v xml:space="preserve">2170532980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3.32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1</v>
      </c>
      <c r="BJ2633" s="2">
        <v>0.2</v>
      </c>
      <c r="BK2633" s="2">
        <v>1</v>
      </c>
      <c r="BL2633" s="2">
        <v>40.76</v>
      </c>
      <c r="BM2633" s="2">
        <v>5.71</v>
      </c>
      <c r="BN2633" s="2">
        <v>46.47</v>
      </c>
      <c r="BO2633" s="2">
        <v>46.47</v>
      </c>
      <c r="BP2633" s="2"/>
      <c r="BQ2633" s="2" t="s">
        <v>805</v>
      </c>
      <c r="BR2633" s="2" t="s">
        <v>83</v>
      </c>
      <c r="BS2633" s="3">
        <v>42671</v>
      </c>
      <c r="BT2633" s="4">
        <v>0.33611111111111108</v>
      </c>
      <c r="BU2633" s="2" t="s">
        <v>2477</v>
      </c>
      <c r="BV2633" s="2" t="s">
        <v>85</v>
      </c>
      <c r="BW2633" s="2"/>
      <c r="BX2633" s="2"/>
      <c r="BY2633" s="2">
        <v>1200</v>
      </c>
      <c r="BZ2633" s="2" t="s">
        <v>27</v>
      </c>
      <c r="CA2633" s="2"/>
      <c r="CB2633" s="2"/>
      <c r="CC2633" s="2" t="s">
        <v>270</v>
      </c>
      <c r="CD2633" s="2">
        <v>3610</v>
      </c>
      <c r="CE2633" s="2" t="s">
        <v>108</v>
      </c>
      <c r="CF2633" s="5">
        <v>42675</v>
      </c>
      <c r="CG2633" s="2"/>
      <c r="CH2633" s="2"/>
      <c r="CI2633" s="2">
        <v>1</v>
      </c>
      <c r="CJ2633" s="2">
        <v>1</v>
      </c>
      <c r="CK2633" s="2">
        <v>21</v>
      </c>
      <c r="CL2633" s="2" t="s">
        <v>88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"FES1162509813"</f>
        <v>FES1162509813</v>
      </c>
      <c r="F2634" s="3">
        <v>42670</v>
      </c>
      <c r="G2634" s="2">
        <v>201704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98</v>
      </c>
      <c r="M2634" s="2" t="s">
        <v>99</v>
      </c>
      <c r="N2634" s="2" t="s">
        <v>109</v>
      </c>
      <c r="O2634" s="2" t="s">
        <v>96</v>
      </c>
      <c r="P2634" s="2" t="str">
        <f>"2170531094                    "</f>
        <v xml:space="preserve">2170531094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3.32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40.76</v>
      </c>
      <c r="BM2634" s="2">
        <v>5.71</v>
      </c>
      <c r="BN2634" s="2">
        <v>46.47</v>
      </c>
      <c r="BO2634" s="2">
        <v>46.47</v>
      </c>
      <c r="BP2634" s="2"/>
      <c r="BQ2634" s="2" t="s">
        <v>110</v>
      </c>
      <c r="BR2634" s="2" t="s">
        <v>83</v>
      </c>
      <c r="BS2634" s="3">
        <v>42671</v>
      </c>
      <c r="BT2634" s="4">
        <v>0.37847222222222227</v>
      </c>
      <c r="BU2634" s="2" t="s">
        <v>110</v>
      </c>
      <c r="BV2634" s="2" t="s">
        <v>85</v>
      </c>
      <c r="BW2634" s="2"/>
      <c r="BX2634" s="2"/>
      <c r="BY2634" s="2">
        <v>1200</v>
      </c>
      <c r="BZ2634" s="2" t="s">
        <v>27</v>
      </c>
      <c r="CA2634" s="2"/>
      <c r="CB2634" s="2"/>
      <c r="CC2634" s="2" t="s">
        <v>99</v>
      </c>
      <c r="CD2634" s="2">
        <v>6001</v>
      </c>
      <c r="CE2634" s="2" t="s">
        <v>108</v>
      </c>
      <c r="CF2634" s="5">
        <v>42674</v>
      </c>
      <c r="CG2634" s="2"/>
      <c r="CH2634" s="2"/>
      <c r="CI2634" s="2">
        <v>1</v>
      </c>
      <c r="CJ2634" s="2">
        <v>1</v>
      </c>
      <c r="CK2634" s="2">
        <v>21</v>
      </c>
      <c r="CL2634" s="2" t="s">
        <v>88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"FES1162509854"</f>
        <v>FES1162509854</v>
      </c>
      <c r="F2635" s="3">
        <v>42670</v>
      </c>
      <c r="G2635" s="2">
        <v>201704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98</v>
      </c>
      <c r="M2635" s="2" t="s">
        <v>99</v>
      </c>
      <c r="N2635" s="2" t="s">
        <v>133</v>
      </c>
      <c r="O2635" s="2" t="s">
        <v>96</v>
      </c>
      <c r="P2635" s="2" t="str">
        <f>"2170531222                    "</f>
        <v xml:space="preserve">2170531222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3.32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0.9</v>
      </c>
      <c r="BJ2635" s="2">
        <v>1.6</v>
      </c>
      <c r="BK2635" s="2">
        <v>2</v>
      </c>
      <c r="BL2635" s="2">
        <v>40.76</v>
      </c>
      <c r="BM2635" s="2">
        <v>5.71</v>
      </c>
      <c r="BN2635" s="2">
        <v>46.47</v>
      </c>
      <c r="BO2635" s="2">
        <v>46.47</v>
      </c>
      <c r="BP2635" s="2"/>
      <c r="BQ2635" s="2" t="s">
        <v>134</v>
      </c>
      <c r="BR2635" s="2" t="s">
        <v>83</v>
      </c>
      <c r="BS2635" s="3">
        <v>42671</v>
      </c>
      <c r="BT2635" s="4">
        <v>0.35416666666666669</v>
      </c>
      <c r="BU2635" s="2" t="s">
        <v>2469</v>
      </c>
      <c r="BV2635" s="2" t="s">
        <v>85</v>
      </c>
      <c r="BW2635" s="2"/>
      <c r="BX2635" s="2"/>
      <c r="BY2635" s="2">
        <v>8208</v>
      </c>
      <c r="BZ2635" s="2" t="s">
        <v>27</v>
      </c>
      <c r="CA2635" s="2" t="s">
        <v>136</v>
      </c>
      <c r="CB2635" s="2"/>
      <c r="CC2635" s="2" t="s">
        <v>99</v>
      </c>
      <c r="CD2635" s="2">
        <v>6001</v>
      </c>
      <c r="CE2635" s="2" t="s">
        <v>86</v>
      </c>
      <c r="CF2635" s="5">
        <v>42671</v>
      </c>
      <c r="CG2635" s="2"/>
      <c r="CH2635" s="2"/>
      <c r="CI2635" s="2">
        <v>1</v>
      </c>
      <c r="CJ2635" s="2">
        <v>1</v>
      </c>
      <c r="CK2635" s="2">
        <v>21</v>
      </c>
      <c r="CL2635" s="2" t="s">
        <v>88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"FES1162509839"</f>
        <v>FES1162509839</v>
      </c>
      <c r="F2636" s="3">
        <v>42670</v>
      </c>
      <c r="G2636" s="2">
        <v>201704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98</v>
      </c>
      <c r="M2636" s="2" t="s">
        <v>99</v>
      </c>
      <c r="N2636" s="2" t="s">
        <v>1098</v>
      </c>
      <c r="O2636" s="2" t="s">
        <v>96</v>
      </c>
      <c r="P2636" s="2" t="str">
        <f>"2170531013                    "</f>
        <v xml:space="preserve">2170531013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15.76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1</v>
      </c>
      <c r="BI2636" s="2">
        <v>9.4</v>
      </c>
      <c r="BJ2636" s="2">
        <v>5.6</v>
      </c>
      <c r="BK2636" s="2">
        <v>9.5</v>
      </c>
      <c r="BL2636" s="2">
        <v>193.6</v>
      </c>
      <c r="BM2636" s="2">
        <v>27.1</v>
      </c>
      <c r="BN2636" s="2">
        <v>220.7</v>
      </c>
      <c r="BO2636" s="2">
        <v>220.7</v>
      </c>
      <c r="BP2636" s="2"/>
      <c r="BQ2636" s="2" t="s">
        <v>1099</v>
      </c>
      <c r="BR2636" s="2" t="s">
        <v>83</v>
      </c>
      <c r="BS2636" s="3">
        <v>42671</v>
      </c>
      <c r="BT2636" s="4">
        <v>0.31597222222222221</v>
      </c>
      <c r="BU2636" s="2" t="s">
        <v>602</v>
      </c>
      <c r="BV2636" s="2" t="s">
        <v>85</v>
      </c>
      <c r="BW2636" s="2"/>
      <c r="BX2636" s="2"/>
      <c r="BY2636" s="2">
        <v>27810.55</v>
      </c>
      <c r="BZ2636" s="2" t="s">
        <v>27</v>
      </c>
      <c r="CA2636" s="2"/>
      <c r="CB2636" s="2"/>
      <c r="CC2636" s="2" t="s">
        <v>99</v>
      </c>
      <c r="CD2636" s="2">
        <v>6012</v>
      </c>
      <c r="CE2636" s="2" t="s">
        <v>86</v>
      </c>
      <c r="CF2636" s="5">
        <v>42674</v>
      </c>
      <c r="CG2636" s="2"/>
      <c r="CH2636" s="2"/>
      <c r="CI2636" s="2">
        <v>1</v>
      </c>
      <c r="CJ2636" s="2">
        <v>1</v>
      </c>
      <c r="CK2636" s="2">
        <v>21</v>
      </c>
      <c r="CL2636" s="2" t="s">
        <v>88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"FES1162509861"</f>
        <v>FES1162509861</v>
      </c>
      <c r="F2637" s="3">
        <v>42670</v>
      </c>
      <c r="G2637" s="2">
        <v>201704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98</v>
      </c>
      <c r="M2637" s="2" t="s">
        <v>99</v>
      </c>
      <c r="N2637" s="2" t="s">
        <v>176</v>
      </c>
      <c r="O2637" s="2" t="s">
        <v>96</v>
      </c>
      <c r="P2637" s="2" t="str">
        <f>"2170533014                    "</f>
        <v xml:space="preserve">2170533014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3.32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2</v>
      </c>
      <c r="BJ2637" s="2">
        <v>0.2</v>
      </c>
      <c r="BK2637" s="2">
        <v>2</v>
      </c>
      <c r="BL2637" s="2">
        <v>40.76</v>
      </c>
      <c r="BM2637" s="2">
        <v>5.71</v>
      </c>
      <c r="BN2637" s="2">
        <v>46.47</v>
      </c>
      <c r="BO2637" s="2">
        <v>46.47</v>
      </c>
      <c r="BP2637" s="2"/>
      <c r="BQ2637" s="2" t="s">
        <v>91</v>
      </c>
      <c r="BR2637" s="2" t="s">
        <v>83</v>
      </c>
      <c r="BS2637" s="3">
        <v>42671</v>
      </c>
      <c r="BT2637" s="4">
        <v>0.37847222222222227</v>
      </c>
      <c r="BU2637" s="2" t="s">
        <v>2478</v>
      </c>
      <c r="BV2637" s="2" t="s">
        <v>85</v>
      </c>
      <c r="BW2637" s="2"/>
      <c r="BX2637" s="2"/>
      <c r="BY2637" s="2">
        <v>1200</v>
      </c>
      <c r="BZ2637" s="2" t="s">
        <v>27</v>
      </c>
      <c r="CA2637" s="2" t="s">
        <v>136</v>
      </c>
      <c r="CB2637" s="2"/>
      <c r="CC2637" s="2" t="s">
        <v>99</v>
      </c>
      <c r="CD2637" s="2">
        <v>6020</v>
      </c>
      <c r="CE2637" s="2" t="s">
        <v>108</v>
      </c>
      <c r="CF2637" s="5">
        <v>42671</v>
      </c>
      <c r="CG2637" s="2"/>
      <c r="CH2637" s="2"/>
      <c r="CI2637" s="2">
        <v>1</v>
      </c>
      <c r="CJ2637" s="2">
        <v>1</v>
      </c>
      <c r="CK2637" s="2">
        <v>21</v>
      </c>
      <c r="CL2637" s="2" t="s">
        <v>88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"FES1162509825"</f>
        <v>FES1162509825</v>
      </c>
      <c r="F2638" s="3">
        <v>42670</v>
      </c>
      <c r="G2638" s="2">
        <v>201704</v>
      </c>
      <c r="H2638" s="2" t="s">
        <v>74</v>
      </c>
      <c r="I2638" s="2" t="s">
        <v>75</v>
      </c>
      <c r="J2638" s="2" t="s">
        <v>76</v>
      </c>
      <c r="K2638" s="2" t="s">
        <v>77</v>
      </c>
      <c r="L2638" s="2" t="s">
        <v>98</v>
      </c>
      <c r="M2638" s="2" t="s">
        <v>99</v>
      </c>
      <c r="N2638" s="2" t="s">
        <v>109</v>
      </c>
      <c r="O2638" s="2" t="s">
        <v>96</v>
      </c>
      <c r="P2638" s="2" t="str">
        <f>"2170531104                    "</f>
        <v xml:space="preserve">2170531104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7.46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4.5</v>
      </c>
      <c r="BJ2638" s="2">
        <v>0.2</v>
      </c>
      <c r="BK2638" s="2">
        <v>4.5</v>
      </c>
      <c r="BL2638" s="2">
        <v>91.7</v>
      </c>
      <c r="BM2638" s="2">
        <v>12.84</v>
      </c>
      <c r="BN2638" s="2">
        <v>104.54</v>
      </c>
      <c r="BO2638" s="2">
        <v>104.54</v>
      </c>
      <c r="BP2638" s="2"/>
      <c r="BQ2638" s="2" t="s">
        <v>110</v>
      </c>
      <c r="BR2638" s="2" t="s">
        <v>83</v>
      </c>
      <c r="BS2638" s="3">
        <v>42671</v>
      </c>
      <c r="BT2638" s="4">
        <v>0.37847222222222227</v>
      </c>
      <c r="BU2638" s="2" t="s">
        <v>2327</v>
      </c>
      <c r="BV2638" s="2" t="s">
        <v>85</v>
      </c>
      <c r="BW2638" s="2"/>
      <c r="BX2638" s="2"/>
      <c r="BY2638" s="2">
        <v>1200</v>
      </c>
      <c r="BZ2638" s="2" t="s">
        <v>27</v>
      </c>
      <c r="CA2638" s="2"/>
      <c r="CB2638" s="2"/>
      <c r="CC2638" s="2" t="s">
        <v>99</v>
      </c>
      <c r="CD2638" s="2">
        <v>6001</v>
      </c>
      <c r="CE2638" s="2" t="s">
        <v>108</v>
      </c>
      <c r="CF2638" s="5">
        <v>42674</v>
      </c>
      <c r="CG2638" s="2"/>
      <c r="CH2638" s="2"/>
      <c r="CI2638" s="2">
        <v>1</v>
      </c>
      <c r="CJ2638" s="2">
        <v>1</v>
      </c>
      <c r="CK2638" s="2">
        <v>21</v>
      </c>
      <c r="CL2638" s="2" t="s">
        <v>88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"FES1162509840"</f>
        <v>FES1162509840</v>
      </c>
      <c r="F2639" s="3">
        <v>42670</v>
      </c>
      <c r="G2639" s="2">
        <v>201704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98</v>
      </c>
      <c r="M2639" s="2" t="s">
        <v>99</v>
      </c>
      <c r="N2639" s="2" t="s">
        <v>551</v>
      </c>
      <c r="O2639" s="2" t="s">
        <v>96</v>
      </c>
      <c r="P2639" s="2" t="str">
        <f>"2170531058                    "</f>
        <v xml:space="preserve">2170531058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3.32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</v>
      </c>
      <c r="BJ2639" s="2">
        <v>0.2</v>
      </c>
      <c r="BK2639" s="2">
        <v>1</v>
      </c>
      <c r="BL2639" s="2">
        <v>40.76</v>
      </c>
      <c r="BM2639" s="2">
        <v>5.71</v>
      </c>
      <c r="BN2639" s="2">
        <v>46.47</v>
      </c>
      <c r="BO2639" s="2">
        <v>46.47</v>
      </c>
      <c r="BP2639" s="2"/>
      <c r="BQ2639" s="2" t="s">
        <v>552</v>
      </c>
      <c r="BR2639" s="2" t="s">
        <v>83</v>
      </c>
      <c r="BS2639" s="3">
        <v>42671</v>
      </c>
      <c r="BT2639" s="4">
        <v>0.31458333333333333</v>
      </c>
      <c r="BU2639" s="2" t="s">
        <v>1325</v>
      </c>
      <c r="BV2639" s="2" t="s">
        <v>85</v>
      </c>
      <c r="BW2639" s="2"/>
      <c r="BX2639" s="2"/>
      <c r="BY2639" s="2">
        <v>1200</v>
      </c>
      <c r="BZ2639" s="2" t="s">
        <v>27</v>
      </c>
      <c r="CA2639" s="2" t="s">
        <v>129</v>
      </c>
      <c r="CB2639" s="2"/>
      <c r="CC2639" s="2" t="s">
        <v>99</v>
      </c>
      <c r="CD2639" s="2">
        <v>6001</v>
      </c>
      <c r="CE2639" s="2" t="s">
        <v>108</v>
      </c>
      <c r="CF2639" s="5">
        <v>42674</v>
      </c>
      <c r="CG2639" s="2"/>
      <c r="CH2639" s="2"/>
      <c r="CI2639" s="2">
        <v>1</v>
      </c>
      <c r="CJ2639" s="2">
        <v>1</v>
      </c>
      <c r="CK2639" s="2">
        <v>21</v>
      </c>
      <c r="CL2639" s="2" t="s">
        <v>88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"FES1162509881"</f>
        <v>FES1162509881</v>
      </c>
      <c r="F2640" s="3">
        <v>42670</v>
      </c>
      <c r="G2640" s="2">
        <v>201704</v>
      </c>
      <c r="H2640" s="2" t="s">
        <v>74</v>
      </c>
      <c r="I2640" s="2" t="s">
        <v>75</v>
      </c>
      <c r="J2640" s="2" t="s">
        <v>76</v>
      </c>
      <c r="K2640" s="2" t="s">
        <v>77</v>
      </c>
      <c r="L2640" s="2" t="s">
        <v>98</v>
      </c>
      <c r="M2640" s="2" t="s">
        <v>99</v>
      </c>
      <c r="N2640" s="2" t="s">
        <v>1318</v>
      </c>
      <c r="O2640" s="2" t="s">
        <v>96</v>
      </c>
      <c r="P2640" s="2" t="str">
        <f>"2170533036                    "</f>
        <v xml:space="preserve">2170533036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3.32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40.76</v>
      </c>
      <c r="BM2640" s="2">
        <v>5.71</v>
      </c>
      <c r="BN2640" s="2">
        <v>46.47</v>
      </c>
      <c r="BO2640" s="2">
        <v>46.47</v>
      </c>
      <c r="BP2640" s="2"/>
      <c r="BQ2640" s="2" t="s">
        <v>1555</v>
      </c>
      <c r="BR2640" s="2" t="s">
        <v>83</v>
      </c>
      <c r="BS2640" s="3">
        <v>42671</v>
      </c>
      <c r="BT2640" s="4">
        <v>0.30902777777777779</v>
      </c>
      <c r="BU2640" s="2" t="s">
        <v>2237</v>
      </c>
      <c r="BV2640" s="2" t="s">
        <v>85</v>
      </c>
      <c r="BW2640" s="2"/>
      <c r="BX2640" s="2"/>
      <c r="BY2640" s="2">
        <v>1200</v>
      </c>
      <c r="BZ2640" s="2" t="s">
        <v>27</v>
      </c>
      <c r="CA2640" s="2"/>
      <c r="CB2640" s="2"/>
      <c r="CC2640" s="2" t="s">
        <v>99</v>
      </c>
      <c r="CD2640" s="2">
        <v>6012</v>
      </c>
      <c r="CE2640" s="2" t="s">
        <v>108</v>
      </c>
      <c r="CF2640" s="5">
        <v>42674</v>
      </c>
      <c r="CG2640" s="2"/>
      <c r="CH2640" s="2"/>
      <c r="CI2640" s="2">
        <v>1</v>
      </c>
      <c r="CJ2640" s="2">
        <v>1</v>
      </c>
      <c r="CK2640" s="2">
        <v>21</v>
      </c>
      <c r="CL2640" s="2" t="s">
        <v>88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"FES1162509740"</f>
        <v>FES1162509740</v>
      </c>
      <c r="F2641" s="3">
        <v>42670</v>
      </c>
      <c r="G2641" s="2">
        <v>201704</v>
      </c>
      <c r="H2641" s="2" t="s">
        <v>74</v>
      </c>
      <c r="I2641" s="2" t="s">
        <v>75</v>
      </c>
      <c r="J2641" s="2" t="s">
        <v>76</v>
      </c>
      <c r="K2641" s="2" t="s">
        <v>77</v>
      </c>
      <c r="L2641" s="2" t="s">
        <v>260</v>
      </c>
      <c r="M2641" s="2" t="s">
        <v>261</v>
      </c>
      <c r="N2641" s="2" t="s">
        <v>262</v>
      </c>
      <c r="O2641" s="2" t="s">
        <v>96</v>
      </c>
      <c r="P2641" s="2" t="str">
        <f>"2170532897                    "</f>
        <v xml:space="preserve">2170532897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3.32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</v>
      </c>
      <c r="BJ2641" s="2">
        <v>0.2</v>
      </c>
      <c r="BK2641" s="2">
        <v>1</v>
      </c>
      <c r="BL2641" s="2">
        <v>40.76</v>
      </c>
      <c r="BM2641" s="2">
        <v>5.71</v>
      </c>
      <c r="BN2641" s="2">
        <v>46.47</v>
      </c>
      <c r="BO2641" s="2">
        <v>46.47</v>
      </c>
      <c r="BP2641" s="2"/>
      <c r="BQ2641" s="2" t="s">
        <v>91</v>
      </c>
      <c r="BR2641" s="2" t="s">
        <v>83</v>
      </c>
      <c r="BS2641" s="3">
        <v>42671</v>
      </c>
      <c r="BT2641" s="4">
        <v>0.41666666666666669</v>
      </c>
      <c r="BU2641" s="2" t="s">
        <v>1745</v>
      </c>
      <c r="BV2641" s="2" t="s">
        <v>85</v>
      </c>
      <c r="BW2641" s="2"/>
      <c r="BX2641" s="2"/>
      <c r="BY2641" s="2">
        <v>1200</v>
      </c>
      <c r="BZ2641" s="2" t="s">
        <v>27</v>
      </c>
      <c r="CA2641" s="2" t="s">
        <v>451</v>
      </c>
      <c r="CB2641" s="2"/>
      <c r="CC2641" s="2" t="s">
        <v>261</v>
      </c>
      <c r="CD2641" s="2">
        <v>6850</v>
      </c>
      <c r="CE2641" s="2" t="s">
        <v>108</v>
      </c>
      <c r="CF2641" s="5">
        <v>42671</v>
      </c>
      <c r="CG2641" s="2"/>
      <c r="CH2641" s="2"/>
      <c r="CI2641" s="2">
        <v>3</v>
      </c>
      <c r="CJ2641" s="2">
        <v>1</v>
      </c>
      <c r="CK2641" s="2">
        <v>21</v>
      </c>
      <c r="CL2641" s="2" t="s">
        <v>88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"FES1162509709"</f>
        <v>FES1162509709</v>
      </c>
      <c r="F2642" s="3">
        <v>42670</v>
      </c>
      <c r="G2642" s="2">
        <v>201704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153</v>
      </c>
      <c r="M2642" s="2" t="s">
        <v>153</v>
      </c>
      <c r="N2642" s="2" t="s">
        <v>200</v>
      </c>
      <c r="O2642" s="2" t="s">
        <v>96</v>
      </c>
      <c r="P2642" s="2" t="str">
        <f>"2170532855                    "</f>
        <v xml:space="preserve">2170532855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3.32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1</v>
      </c>
      <c r="BJ2642" s="2">
        <v>0.2</v>
      </c>
      <c r="BK2642" s="2">
        <v>1</v>
      </c>
      <c r="BL2642" s="2">
        <v>40.76</v>
      </c>
      <c r="BM2642" s="2">
        <v>5.71</v>
      </c>
      <c r="BN2642" s="2">
        <v>46.47</v>
      </c>
      <c r="BO2642" s="2">
        <v>46.47</v>
      </c>
      <c r="BP2642" s="2"/>
      <c r="BQ2642" s="2" t="s">
        <v>201</v>
      </c>
      <c r="BR2642" s="2" t="s">
        <v>83</v>
      </c>
      <c r="BS2642" s="3">
        <v>42671</v>
      </c>
      <c r="BT2642" s="4">
        <v>0.5625</v>
      </c>
      <c r="BU2642" s="2" t="s">
        <v>202</v>
      </c>
      <c r="BV2642" s="2" t="s">
        <v>85</v>
      </c>
      <c r="BW2642" s="2"/>
      <c r="BX2642" s="2"/>
      <c r="BY2642" s="2">
        <v>1200</v>
      </c>
      <c r="BZ2642" s="2" t="s">
        <v>27</v>
      </c>
      <c r="CA2642" s="2"/>
      <c r="CB2642" s="2"/>
      <c r="CC2642" s="2" t="s">
        <v>153</v>
      </c>
      <c r="CD2642" s="2">
        <v>7646</v>
      </c>
      <c r="CE2642" s="2" t="s">
        <v>108</v>
      </c>
      <c r="CF2642" s="5">
        <v>42674</v>
      </c>
      <c r="CG2642" s="2"/>
      <c r="CH2642" s="2"/>
      <c r="CI2642" s="2">
        <v>1</v>
      </c>
      <c r="CJ2642" s="2">
        <v>1</v>
      </c>
      <c r="CK2642" s="2">
        <v>21</v>
      </c>
      <c r="CL2642" s="2" t="s">
        <v>88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"FES1162509884"</f>
        <v>FES1162509884</v>
      </c>
      <c r="F2643" s="3">
        <v>42670</v>
      </c>
      <c r="G2643" s="2">
        <v>201704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898</v>
      </c>
      <c r="M2643" s="2" t="s">
        <v>899</v>
      </c>
      <c r="N2643" s="2" t="s">
        <v>900</v>
      </c>
      <c r="O2643" s="2" t="s">
        <v>96</v>
      </c>
      <c r="P2643" s="2" t="str">
        <f>"2170533039                    "</f>
        <v xml:space="preserve">2170533039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3.32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40.76</v>
      </c>
      <c r="BM2643" s="2">
        <v>5.71</v>
      </c>
      <c r="BN2643" s="2">
        <v>46.47</v>
      </c>
      <c r="BO2643" s="2">
        <v>46.47</v>
      </c>
      <c r="BP2643" s="2"/>
      <c r="BQ2643" s="2" t="s">
        <v>901</v>
      </c>
      <c r="BR2643" s="2" t="s">
        <v>83</v>
      </c>
      <c r="BS2643" s="3">
        <v>42674</v>
      </c>
      <c r="BT2643" s="4">
        <v>0.41666666666666669</v>
      </c>
      <c r="BU2643" s="2" t="s">
        <v>2479</v>
      </c>
      <c r="BV2643" s="2" t="s">
        <v>88</v>
      </c>
      <c r="BW2643" s="2" t="s">
        <v>277</v>
      </c>
      <c r="BX2643" s="2" t="s">
        <v>223</v>
      </c>
      <c r="BY2643" s="2">
        <v>1200</v>
      </c>
      <c r="BZ2643" s="2" t="s">
        <v>27</v>
      </c>
      <c r="CA2643" s="2"/>
      <c r="CB2643" s="2"/>
      <c r="CC2643" s="2" t="s">
        <v>899</v>
      </c>
      <c r="CD2643" s="2">
        <v>7654</v>
      </c>
      <c r="CE2643" s="2" t="s">
        <v>108</v>
      </c>
      <c r="CF2643" s="5">
        <v>42675</v>
      </c>
      <c r="CG2643" s="2"/>
      <c r="CH2643" s="2"/>
      <c r="CI2643" s="2">
        <v>1</v>
      </c>
      <c r="CJ2643" s="2">
        <v>2</v>
      </c>
      <c r="CK2643" s="2">
        <v>21</v>
      </c>
      <c r="CL2643" s="2" t="s">
        <v>88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"FES1162509675"</f>
        <v>FES1162509675</v>
      </c>
      <c r="F2644" s="3">
        <v>42670</v>
      </c>
      <c r="G2644" s="2">
        <v>201704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143</v>
      </c>
      <c r="M2644" s="2" t="s">
        <v>144</v>
      </c>
      <c r="N2644" s="2" t="s">
        <v>317</v>
      </c>
      <c r="O2644" s="2" t="s">
        <v>96</v>
      </c>
      <c r="P2644" s="2" t="str">
        <f>"2170531859                    "</f>
        <v xml:space="preserve">2170531859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3.32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1</v>
      </c>
      <c r="BJ2644" s="2">
        <v>0.2</v>
      </c>
      <c r="BK2644" s="2">
        <v>1</v>
      </c>
      <c r="BL2644" s="2">
        <v>40.76</v>
      </c>
      <c r="BM2644" s="2">
        <v>5.71</v>
      </c>
      <c r="BN2644" s="2">
        <v>46.47</v>
      </c>
      <c r="BO2644" s="2">
        <v>46.47</v>
      </c>
      <c r="BP2644" s="2"/>
      <c r="BQ2644" s="2" t="s">
        <v>318</v>
      </c>
      <c r="BR2644" s="2" t="s">
        <v>83</v>
      </c>
      <c r="BS2644" s="3">
        <v>42671</v>
      </c>
      <c r="BT2644" s="4">
        <v>0.50694444444444442</v>
      </c>
      <c r="BU2644" s="2" t="s">
        <v>539</v>
      </c>
      <c r="BV2644" s="2"/>
      <c r="BW2644" s="2" t="s">
        <v>2219</v>
      </c>
      <c r="BX2644" s="2" t="s">
        <v>278</v>
      </c>
      <c r="BY2644" s="2">
        <v>1200</v>
      </c>
      <c r="BZ2644" s="2" t="s">
        <v>27</v>
      </c>
      <c r="CA2644" s="2"/>
      <c r="CB2644" s="2"/>
      <c r="CC2644" s="2" t="s">
        <v>144</v>
      </c>
      <c r="CD2644" s="2">
        <v>5200</v>
      </c>
      <c r="CE2644" s="2" t="s">
        <v>108</v>
      </c>
      <c r="CF2644" s="5">
        <v>42675</v>
      </c>
      <c r="CG2644" s="2"/>
      <c r="CH2644" s="2"/>
      <c r="CI2644" s="2">
        <v>0</v>
      </c>
      <c r="CJ2644" s="2">
        <v>0</v>
      </c>
      <c r="CK2644" s="2">
        <v>21</v>
      </c>
      <c r="CL2644" s="2" t="s">
        <v>88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"FES1162509665"</f>
        <v>FES1162509665</v>
      </c>
      <c r="F2645" s="3">
        <v>42670</v>
      </c>
      <c r="G2645" s="2">
        <v>201704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98</v>
      </c>
      <c r="M2645" s="2" t="s">
        <v>99</v>
      </c>
      <c r="N2645" s="2" t="s">
        <v>350</v>
      </c>
      <c r="O2645" s="2" t="s">
        <v>96</v>
      </c>
      <c r="P2645" s="2" t="str">
        <f>"2170530771                    "</f>
        <v xml:space="preserve">2170530771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3.32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1</v>
      </c>
      <c r="BJ2645" s="2">
        <v>0.2</v>
      </c>
      <c r="BK2645" s="2">
        <v>1</v>
      </c>
      <c r="BL2645" s="2">
        <v>40.76</v>
      </c>
      <c r="BM2645" s="2">
        <v>5.71</v>
      </c>
      <c r="BN2645" s="2">
        <v>46.47</v>
      </c>
      <c r="BO2645" s="2">
        <v>46.47</v>
      </c>
      <c r="BP2645" s="2"/>
      <c r="BQ2645" s="2" t="s">
        <v>351</v>
      </c>
      <c r="BR2645" s="2" t="s">
        <v>83</v>
      </c>
      <c r="BS2645" s="3">
        <v>42671</v>
      </c>
      <c r="BT2645" s="4">
        <v>0.41319444444444442</v>
      </c>
      <c r="BU2645" s="2" t="s">
        <v>600</v>
      </c>
      <c r="BV2645" s="2" t="s">
        <v>85</v>
      </c>
      <c r="BW2645" s="2"/>
      <c r="BX2645" s="2"/>
      <c r="BY2645" s="2">
        <v>1200</v>
      </c>
      <c r="BZ2645" s="2" t="s">
        <v>27</v>
      </c>
      <c r="CA2645" s="2"/>
      <c r="CB2645" s="2"/>
      <c r="CC2645" s="2" t="s">
        <v>99</v>
      </c>
      <c r="CD2645" s="2">
        <v>6001</v>
      </c>
      <c r="CE2645" s="2" t="s">
        <v>108</v>
      </c>
      <c r="CF2645" s="5">
        <v>42674</v>
      </c>
      <c r="CG2645" s="2"/>
      <c r="CH2645" s="2"/>
      <c r="CI2645" s="2">
        <v>1</v>
      </c>
      <c r="CJ2645" s="2">
        <v>1</v>
      </c>
      <c r="CK2645" s="2">
        <v>21</v>
      </c>
      <c r="CL2645" s="2" t="s">
        <v>88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"FES1162509631"</f>
        <v>FES1162509631</v>
      </c>
      <c r="F2646" s="3">
        <v>42670</v>
      </c>
      <c r="G2646" s="2">
        <v>201704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98</v>
      </c>
      <c r="M2646" s="2" t="s">
        <v>99</v>
      </c>
      <c r="N2646" s="2" t="s">
        <v>1752</v>
      </c>
      <c r="O2646" s="2" t="s">
        <v>96</v>
      </c>
      <c r="P2646" s="2" t="str">
        <f>"2170532831                    "</f>
        <v xml:space="preserve">2170532831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3.32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</v>
      </c>
      <c r="BJ2646" s="2">
        <v>0.2</v>
      </c>
      <c r="BK2646" s="2">
        <v>1</v>
      </c>
      <c r="BL2646" s="2">
        <v>40.76</v>
      </c>
      <c r="BM2646" s="2">
        <v>5.71</v>
      </c>
      <c r="BN2646" s="2">
        <v>46.47</v>
      </c>
      <c r="BO2646" s="2">
        <v>46.47</v>
      </c>
      <c r="BP2646" s="2"/>
      <c r="BQ2646" s="2" t="s">
        <v>91</v>
      </c>
      <c r="BR2646" s="2" t="s">
        <v>83</v>
      </c>
      <c r="BS2646" s="3">
        <v>42671</v>
      </c>
      <c r="BT2646" s="4">
        <v>0.42986111111111108</v>
      </c>
      <c r="BU2646" s="2" t="s">
        <v>2480</v>
      </c>
      <c r="BV2646" s="2" t="s">
        <v>85</v>
      </c>
      <c r="BW2646" s="2"/>
      <c r="BX2646" s="2"/>
      <c r="BY2646" s="2">
        <v>1200</v>
      </c>
      <c r="BZ2646" s="2" t="s">
        <v>27</v>
      </c>
      <c r="CA2646" s="2" t="s">
        <v>468</v>
      </c>
      <c r="CB2646" s="2"/>
      <c r="CC2646" s="2" t="s">
        <v>99</v>
      </c>
      <c r="CD2646" s="2">
        <v>6045</v>
      </c>
      <c r="CE2646" s="2" t="s">
        <v>108</v>
      </c>
      <c r="CF2646" s="5">
        <v>42674</v>
      </c>
      <c r="CG2646" s="2"/>
      <c r="CH2646" s="2"/>
      <c r="CI2646" s="2">
        <v>1</v>
      </c>
      <c r="CJ2646" s="2">
        <v>1</v>
      </c>
      <c r="CK2646" s="2">
        <v>21</v>
      </c>
      <c r="CL2646" s="2" t="s">
        <v>88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"FES1162509688"</f>
        <v>FES1162509688</v>
      </c>
      <c r="F2647" s="3">
        <v>42670</v>
      </c>
      <c r="G2647" s="2">
        <v>201704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98</v>
      </c>
      <c r="M2647" s="2" t="s">
        <v>99</v>
      </c>
      <c r="N2647" s="2" t="s">
        <v>934</v>
      </c>
      <c r="O2647" s="2" t="s">
        <v>96</v>
      </c>
      <c r="P2647" s="2" t="str">
        <f>"2170532818                    "</f>
        <v xml:space="preserve">2170532818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3.32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1</v>
      </c>
      <c r="BI2647" s="2">
        <v>1</v>
      </c>
      <c r="BJ2647" s="2">
        <v>0.2</v>
      </c>
      <c r="BK2647" s="2">
        <v>1</v>
      </c>
      <c r="BL2647" s="2">
        <v>40.76</v>
      </c>
      <c r="BM2647" s="2">
        <v>5.71</v>
      </c>
      <c r="BN2647" s="2">
        <v>46.47</v>
      </c>
      <c r="BO2647" s="2">
        <v>46.47</v>
      </c>
      <c r="BP2647" s="2"/>
      <c r="BQ2647" s="2" t="s">
        <v>935</v>
      </c>
      <c r="BR2647" s="2" t="s">
        <v>83</v>
      </c>
      <c r="BS2647" s="3">
        <v>42671</v>
      </c>
      <c r="BT2647" s="4">
        <v>0.31041666666666667</v>
      </c>
      <c r="BU2647" s="2" t="s">
        <v>1325</v>
      </c>
      <c r="BV2647" s="2" t="s">
        <v>85</v>
      </c>
      <c r="BW2647" s="2"/>
      <c r="BX2647" s="2"/>
      <c r="BY2647" s="2">
        <v>1200</v>
      </c>
      <c r="BZ2647" s="2" t="s">
        <v>27</v>
      </c>
      <c r="CA2647" s="2" t="s">
        <v>129</v>
      </c>
      <c r="CB2647" s="2"/>
      <c r="CC2647" s="2" t="s">
        <v>99</v>
      </c>
      <c r="CD2647" s="2">
        <v>6001</v>
      </c>
      <c r="CE2647" s="2" t="s">
        <v>108</v>
      </c>
      <c r="CF2647" s="5">
        <v>42674</v>
      </c>
      <c r="CG2647" s="2"/>
      <c r="CH2647" s="2"/>
      <c r="CI2647" s="2">
        <v>1</v>
      </c>
      <c r="CJ2647" s="2">
        <v>1</v>
      </c>
      <c r="CK2647" s="2">
        <v>21</v>
      </c>
      <c r="CL2647" s="2" t="s">
        <v>88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"FES1162509676"</f>
        <v>FES1162509676</v>
      </c>
      <c r="F2648" s="3">
        <v>42670</v>
      </c>
      <c r="G2648" s="2">
        <v>201704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143</v>
      </c>
      <c r="M2648" s="2" t="s">
        <v>144</v>
      </c>
      <c r="N2648" s="2" t="s">
        <v>273</v>
      </c>
      <c r="O2648" s="2" t="s">
        <v>96</v>
      </c>
      <c r="P2648" s="2" t="str">
        <f>"2170531981                    "</f>
        <v xml:space="preserve">2170531981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3.32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1</v>
      </c>
      <c r="BJ2648" s="2">
        <v>0.2</v>
      </c>
      <c r="BK2648" s="2">
        <v>1</v>
      </c>
      <c r="BL2648" s="2">
        <v>40.76</v>
      </c>
      <c r="BM2648" s="2">
        <v>5.71</v>
      </c>
      <c r="BN2648" s="2">
        <v>46.47</v>
      </c>
      <c r="BO2648" s="2">
        <v>46.47</v>
      </c>
      <c r="BP2648" s="2"/>
      <c r="BQ2648" s="2" t="s">
        <v>274</v>
      </c>
      <c r="BR2648" s="2" t="s">
        <v>83</v>
      </c>
      <c r="BS2648" s="3">
        <v>42671</v>
      </c>
      <c r="BT2648" s="4">
        <v>0.41666666666666669</v>
      </c>
      <c r="BU2648" s="2" t="s">
        <v>2481</v>
      </c>
      <c r="BV2648" s="2" t="s">
        <v>85</v>
      </c>
      <c r="BW2648" s="2"/>
      <c r="BX2648" s="2"/>
      <c r="BY2648" s="2">
        <v>1200</v>
      </c>
      <c r="BZ2648" s="2" t="s">
        <v>27</v>
      </c>
      <c r="CA2648" s="2"/>
      <c r="CB2648" s="2"/>
      <c r="CC2648" s="2" t="s">
        <v>144</v>
      </c>
      <c r="CD2648" s="2">
        <v>5201</v>
      </c>
      <c r="CE2648" s="2" t="s">
        <v>108</v>
      </c>
      <c r="CF2648" s="5">
        <v>42675</v>
      </c>
      <c r="CG2648" s="2"/>
      <c r="CH2648" s="2"/>
      <c r="CI2648" s="2">
        <v>1</v>
      </c>
      <c r="CJ2648" s="2">
        <v>1</v>
      </c>
      <c r="CK2648" s="2">
        <v>21</v>
      </c>
      <c r="CL2648" s="2" t="s">
        <v>88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"FES1162509705"</f>
        <v>FES1162509705</v>
      </c>
      <c r="F2649" s="3">
        <v>42670</v>
      </c>
      <c r="G2649" s="2">
        <v>201704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143</v>
      </c>
      <c r="M2649" s="2" t="s">
        <v>144</v>
      </c>
      <c r="N2649" s="2" t="s">
        <v>475</v>
      </c>
      <c r="O2649" s="2" t="s">
        <v>96</v>
      </c>
      <c r="P2649" s="2" t="str">
        <f>"2170532850                    "</f>
        <v xml:space="preserve">2170532850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3.32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1</v>
      </c>
      <c r="BJ2649" s="2">
        <v>0.2</v>
      </c>
      <c r="BK2649" s="2">
        <v>1</v>
      </c>
      <c r="BL2649" s="2">
        <v>40.76</v>
      </c>
      <c r="BM2649" s="2">
        <v>5.71</v>
      </c>
      <c r="BN2649" s="2">
        <v>46.47</v>
      </c>
      <c r="BO2649" s="2">
        <v>46.47</v>
      </c>
      <c r="BP2649" s="2"/>
      <c r="BQ2649" s="2" t="s">
        <v>2482</v>
      </c>
      <c r="BR2649" s="2" t="s">
        <v>83</v>
      </c>
      <c r="BS2649" s="3">
        <v>42671</v>
      </c>
      <c r="BT2649" s="4">
        <v>0.4368055555555555</v>
      </c>
      <c r="BU2649" s="2" t="s">
        <v>1025</v>
      </c>
      <c r="BV2649" s="2" t="s">
        <v>85</v>
      </c>
      <c r="BW2649" s="2"/>
      <c r="BX2649" s="2"/>
      <c r="BY2649" s="2">
        <v>1200</v>
      </c>
      <c r="BZ2649" s="2" t="s">
        <v>27</v>
      </c>
      <c r="CA2649" s="2"/>
      <c r="CB2649" s="2"/>
      <c r="CC2649" s="2" t="s">
        <v>144</v>
      </c>
      <c r="CD2649" s="2">
        <v>5201</v>
      </c>
      <c r="CE2649" s="2" t="s">
        <v>108</v>
      </c>
      <c r="CF2649" s="5">
        <v>42675</v>
      </c>
      <c r="CG2649" s="2"/>
      <c r="CH2649" s="2"/>
      <c r="CI2649" s="2">
        <v>1</v>
      </c>
      <c r="CJ2649" s="2">
        <v>1</v>
      </c>
      <c r="CK2649" s="2">
        <v>21</v>
      </c>
      <c r="CL2649" s="2" t="s">
        <v>88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"FES1162509693"</f>
        <v>FES1162509693</v>
      </c>
      <c r="F2650" s="3">
        <v>42670</v>
      </c>
      <c r="G2650" s="2">
        <v>201704</v>
      </c>
      <c r="H2650" s="2" t="s">
        <v>74</v>
      </c>
      <c r="I2650" s="2" t="s">
        <v>75</v>
      </c>
      <c r="J2650" s="2" t="s">
        <v>76</v>
      </c>
      <c r="K2650" s="2" t="s">
        <v>77</v>
      </c>
      <c r="L2650" s="2" t="s">
        <v>143</v>
      </c>
      <c r="M2650" s="2" t="s">
        <v>144</v>
      </c>
      <c r="N2650" s="2" t="s">
        <v>273</v>
      </c>
      <c r="O2650" s="2" t="s">
        <v>96</v>
      </c>
      <c r="P2650" s="2" t="str">
        <f>"2170531981                    "</f>
        <v xml:space="preserve">2170531981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3.32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1</v>
      </c>
      <c r="BJ2650" s="2">
        <v>0.2</v>
      </c>
      <c r="BK2650" s="2">
        <v>1</v>
      </c>
      <c r="BL2650" s="2">
        <v>40.76</v>
      </c>
      <c r="BM2650" s="2">
        <v>5.71</v>
      </c>
      <c r="BN2650" s="2">
        <v>46.47</v>
      </c>
      <c r="BO2650" s="2">
        <v>46.47</v>
      </c>
      <c r="BP2650" s="2"/>
      <c r="BQ2650" s="2" t="s">
        <v>274</v>
      </c>
      <c r="BR2650" s="2" t="s">
        <v>83</v>
      </c>
      <c r="BS2650" s="3">
        <v>42671</v>
      </c>
      <c r="BT2650" s="4">
        <v>0.41666666666666669</v>
      </c>
      <c r="BU2650" s="2" t="s">
        <v>2481</v>
      </c>
      <c r="BV2650" s="2" t="s">
        <v>85</v>
      </c>
      <c r="BW2650" s="2"/>
      <c r="BX2650" s="2"/>
      <c r="BY2650" s="2">
        <v>1200</v>
      </c>
      <c r="BZ2650" s="2" t="s">
        <v>27</v>
      </c>
      <c r="CA2650" s="2"/>
      <c r="CB2650" s="2"/>
      <c r="CC2650" s="2" t="s">
        <v>144</v>
      </c>
      <c r="CD2650" s="2">
        <v>5201</v>
      </c>
      <c r="CE2650" s="2" t="s">
        <v>108</v>
      </c>
      <c r="CF2650" s="5">
        <v>42675</v>
      </c>
      <c r="CG2650" s="2"/>
      <c r="CH2650" s="2"/>
      <c r="CI2650" s="2">
        <v>1</v>
      </c>
      <c r="CJ2650" s="2">
        <v>1</v>
      </c>
      <c r="CK2650" s="2">
        <v>21</v>
      </c>
      <c r="CL2650" s="2" t="s">
        <v>88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"FES1162509632"</f>
        <v>FES1162509632</v>
      </c>
      <c r="F2651" s="3">
        <v>42670</v>
      </c>
      <c r="G2651" s="2">
        <v>201704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98</v>
      </c>
      <c r="M2651" s="2" t="s">
        <v>99</v>
      </c>
      <c r="N2651" s="2" t="s">
        <v>330</v>
      </c>
      <c r="O2651" s="2" t="s">
        <v>96</v>
      </c>
      <c r="P2651" s="2" t="str">
        <f>"2170532832                    "</f>
        <v xml:space="preserve">2170532832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3.32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1</v>
      </c>
      <c r="BJ2651" s="2">
        <v>0.2</v>
      </c>
      <c r="BK2651" s="2">
        <v>1</v>
      </c>
      <c r="BL2651" s="2">
        <v>40.76</v>
      </c>
      <c r="BM2651" s="2">
        <v>5.71</v>
      </c>
      <c r="BN2651" s="2">
        <v>46.47</v>
      </c>
      <c r="BO2651" s="2">
        <v>46.47</v>
      </c>
      <c r="BP2651" s="2"/>
      <c r="BQ2651" s="2" t="s">
        <v>331</v>
      </c>
      <c r="BR2651" s="2" t="s">
        <v>83</v>
      </c>
      <c r="BS2651" s="3">
        <v>42671</v>
      </c>
      <c r="BT2651" s="4">
        <v>0.4236111111111111</v>
      </c>
      <c r="BU2651" s="2" t="s">
        <v>467</v>
      </c>
      <c r="BV2651" s="2" t="s">
        <v>85</v>
      </c>
      <c r="BW2651" s="2"/>
      <c r="BX2651" s="2"/>
      <c r="BY2651" s="2">
        <v>1200</v>
      </c>
      <c r="BZ2651" s="2" t="s">
        <v>27</v>
      </c>
      <c r="CA2651" s="2" t="s">
        <v>468</v>
      </c>
      <c r="CB2651" s="2"/>
      <c r="CC2651" s="2" t="s">
        <v>99</v>
      </c>
      <c r="CD2651" s="2">
        <v>6070</v>
      </c>
      <c r="CE2651" s="2" t="s">
        <v>108</v>
      </c>
      <c r="CF2651" s="5">
        <v>42674</v>
      </c>
      <c r="CG2651" s="2"/>
      <c r="CH2651" s="2"/>
      <c r="CI2651" s="2">
        <v>1</v>
      </c>
      <c r="CJ2651" s="2">
        <v>1</v>
      </c>
      <c r="CK2651" s="2">
        <v>21</v>
      </c>
      <c r="CL2651" s="2" t="s">
        <v>88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"FES1162509669"</f>
        <v>FES1162509669</v>
      </c>
      <c r="F2652" s="3">
        <v>42670</v>
      </c>
      <c r="G2652" s="2">
        <v>201704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143</v>
      </c>
      <c r="M2652" s="2" t="s">
        <v>144</v>
      </c>
      <c r="N2652" s="2" t="s">
        <v>273</v>
      </c>
      <c r="O2652" s="2" t="s">
        <v>96</v>
      </c>
      <c r="P2652" s="2" t="str">
        <f>"2170530814                    "</f>
        <v xml:space="preserve">2170530814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3.32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1</v>
      </c>
      <c r="BJ2652" s="2">
        <v>0.2</v>
      </c>
      <c r="BK2652" s="2">
        <v>1</v>
      </c>
      <c r="BL2652" s="2">
        <v>40.76</v>
      </c>
      <c r="BM2652" s="2">
        <v>5.71</v>
      </c>
      <c r="BN2652" s="2">
        <v>46.47</v>
      </c>
      <c r="BO2652" s="2">
        <v>46.47</v>
      </c>
      <c r="BP2652" s="2"/>
      <c r="BQ2652" s="2" t="s">
        <v>274</v>
      </c>
      <c r="BR2652" s="2" t="s">
        <v>83</v>
      </c>
      <c r="BS2652" s="3">
        <v>42671</v>
      </c>
      <c r="BT2652" s="4">
        <v>0.41666666666666669</v>
      </c>
      <c r="BU2652" s="2" t="s">
        <v>2481</v>
      </c>
      <c r="BV2652" s="2" t="s">
        <v>85</v>
      </c>
      <c r="BW2652" s="2"/>
      <c r="BX2652" s="2"/>
      <c r="BY2652" s="2">
        <v>1200</v>
      </c>
      <c r="BZ2652" s="2" t="s">
        <v>27</v>
      </c>
      <c r="CA2652" s="2"/>
      <c r="CB2652" s="2"/>
      <c r="CC2652" s="2" t="s">
        <v>144</v>
      </c>
      <c r="CD2652" s="2">
        <v>5201</v>
      </c>
      <c r="CE2652" s="2" t="s">
        <v>108</v>
      </c>
      <c r="CF2652" s="5">
        <v>42675</v>
      </c>
      <c r="CG2652" s="2"/>
      <c r="CH2652" s="2"/>
      <c r="CI2652" s="2">
        <v>1</v>
      </c>
      <c r="CJ2652" s="2">
        <v>1</v>
      </c>
      <c r="CK2652" s="2">
        <v>21</v>
      </c>
      <c r="CL2652" s="2" t="s">
        <v>88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"FES1162509629"</f>
        <v>FES1162509629</v>
      </c>
      <c r="F2653" s="3">
        <v>42670</v>
      </c>
      <c r="G2653" s="2">
        <v>201704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98</v>
      </c>
      <c r="M2653" s="2" t="s">
        <v>99</v>
      </c>
      <c r="N2653" s="2" t="s">
        <v>2483</v>
      </c>
      <c r="O2653" s="2" t="s">
        <v>96</v>
      </c>
      <c r="P2653" s="2" t="str">
        <f>"2170532825                    "</f>
        <v xml:space="preserve">2170532825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3.32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1</v>
      </c>
      <c r="BJ2653" s="2">
        <v>0.2</v>
      </c>
      <c r="BK2653" s="2">
        <v>1</v>
      </c>
      <c r="BL2653" s="2">
        <v>40.76</v>
      </c>
      <c r="BM2653" s="2">
        <v>5.71</v>
      </c>
      <c r="BN2653" s="2">
        <v>46.47</v>
      </c>
      <c r="BO2653" s="2">
        <v>46.47</v>
      </c>
      <c r="BP2653" s="2"/>
      <c r="BQ2653" s="2" t="s">
        <v>2484</v>
      </c>
      <c r="BR2653" s="2" t="s">
        <v>83</v>
      </c>
      <c r="BS2653" s="3">
        <v>42671</v>
      </c>
      <c r="BT2653" s="4">
        <v>0.31388888888888888</v>
      </c>
      <c r="BU2653" s="2" t="s">
        <v>1021</v>
      </c>
      <c r="BV2653" s="2" t="s">
        <v>85</v>
      </c>
      <c r="BW2653" s="2"/>
      <c r="BX2653" s="2"/>
      <c r="BY2653" s="2">
        <v>1200</v>
      </c>
      <c r="BZ2653" s="2" t="s">
        <v>27</v>
      </c>
      <c r="CA2653" s="2"/>
      <c r="CB2653" s="2"/>
      <c r="CC2653" s="2" t="s">
        <v>99</v>
      </c>
      <c r="CD2653" s="2">
        <v>6012</v>
      </c>
      <c r="CE2653" s="2" t="s">
        <v>108</v>
      </c>
      <c r="CF2653" s="5">
        <v>42674</v>
      </c>
      <c r="CG2653" s="2"/>
      <c r="CH2653" s="2"/>
      <c r="CI2653" s="2">
        <v>1</v>
      </c>
      <c r="CJ2653" s="2">
        <v>1</v>
      </c>
      <c r="CK2653" s="2">
        <v>21</v>
      </c>
      <c r="CL2653" s="2" t="s">
        <v>88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"FES1162509660"</f>
        <v>FES1162509660</v>
      </c>
      <c r="F2654" s="3">
        <v>42670</v>
      </c>
      <c r="G2654" s="2">
        <v>201704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98</v>
      </c>
      <c r="M2654" s="2" t="s">
        <v>99</v>
      </c>
      <c r="N2654" s="2" t="s">
        <v>104</v>
      </c>
      <c r="O2654" s="2" t="s">
        <v>96</v>
      </c>
      <c r="P2654" s="2" t="str">
        <f>"2170530679                    "</f>
        <v xml:space="preserve">2170530679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3.32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40.76</v>
      </c>
      <c r="BM2654" s="2">
        <v>5.71</v>
      </c>
      <c r="BN2654" s="2">
        <v>46.47</v>
      </c>
      <c r="BO2654" s="2">
        <v>46.47</v>
      </c>
      <c r="BP2654" s="2"/>
      <c r="BQ2654" s="2" t="s">
        <v>105</v>
      </c>
      <c r="BR2654" s="2" t="s">
        <v>83</v>
      </c>
      <c r="BS2654" s="3">
        <v>42671</v>
      </c>
      <c r="BT2654" s="4">
        <v>0.42708333333333331</v>
      </c>
      <c r="BU2654" s="2" t="s">
        <v>105</v>
      </c>
      <c r="BV2654" s="2" t="s">
        <v>85</v>
      </c>
      <c r="BW2654" s="2"/>
      <c r="BX2654" s="2"/>
      <c r="BY2654" s="2">
        <v>1200</v>
      </c>
      <c r="BZ2654" s="2" t="s">
        <v>27</v>
      </c>
      <c r="CA2654" s="2"/>
      <c r="CB2654" s="2"/>
      <c r="CC2654" s="2" t="s">
        <v>99</v>
      </c>
      <c r="CD2654" s="2">
        <v>6001</v>
      </c>
      <c r="CE2654" s="2" t="s">
        <v>108</v>
      </c>
      <c r="CF2654" s="5">
        <v>42674</v>
      </c>
      <c r="CG2654" s="2"/>
      <c r="CH2654" s="2"/>
      <c r="CI2654" s="2">
        <v>1</v>
      </c>
      <c r="CJ2654" s="2">
        <v>1</v>
      </c>
      <c r="CK2654" s="2">
        <v>21</v>
      </c>
      <c r="CL2654" s="2" t="s">
        <v>88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"FES1162509683"</f>
        <v>FES1162509683</v>
      </c>
      <c r="F2655" s="3">
        <v>42670</v>
      </c>
      <c r="G2655" s="2">
        <v>201704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98</v>
      </c>
      <c r="M2655" s="2" t="s">
        <v>99</v>
      </c>
      <c r="N2655" s="2" t="s">
        <v>1040</v>
      </c>
      <c r="O2655" s="2" t="s">
        <v>96</v>
      </c>
      <c r="P2655" s="2" t="str">
        <f>"2170532319                    "</f>
        <v xml:space="preserve">2170532319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3.32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40.76</v>
      </c>
      <c r="BM2655" s="2">
        <v>5.71</v>
      </c>
      <c r="BN2655" s="2">
        <v>46.47</v>
      </c>
      <c r="BO2655" s="2">
        <v>46.47</v>
      </c>
      <c r="BP2655" s="2"/>
      <c r="BQ2655" s="2" t="s">
        <v>602</v>
      </c>
      <c r="BR2655" s="2" t="s">
        <v>83</v>
      </c>
      <c r="BS2655" s="3">
        <v>42671</v>
      </c>
      <c r="BT2655" s="4">
        <v>0.43402777777777773</v>
      </c>
      <c r="BU2655" s="2" t="s">
        <v>2485</v>
      </c>
      <c r="BV2655" s="2" t="s">
        <v>85</v>
      </c>
      <c r="BW2655" s="2"/>
      <c r="BX2655" s="2"/>
      <c r="BY2655" s="2">
        <v>1200</v>
      </c>
      <c r="BZ2655" s="2" t="s">
        <v>27</v>
      </c>
      <c r="CA2655" s="2" t="s">
        <v>136</v>
      </c>
      <c r="CB2655" s="2"/>
      <c r="CC2655" s="2" t="s">
        <v>99</v>
      </c>
      <c r="CD2655" s="2">
        <v>6001</v>
      </c>
      <c r="CE2655" s="2" t="s">
        <v>108</v>
      </c>
      <c r="CF2655" s="5">
        <v>42671</v>
      </c>
      <c r="CG2655" s="2"/>
      <c r="CH2655" s="2"/>
      <c r="CI2655" s="2">
        <v>1</v>
      </c>
      <c r="CJ2655" s="2">
        <v>1</v>
      </c>
      <c r="CK2655" s="2">
        <v>21</v>
      </c>
      <c r="CL2655" s="2" t="s">
        <v>88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"FES1162509724"</f>
        <v>FES1162509724</v>
      </c>
      <c r="F2656" s="3">
        <v>42670</v>
      </c>
      <c r="G2656" s="2">
        <v>201704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143</v>
      </c>
      <c r="M2656" s="2" t="s">
        <v>144</v>
      </c>
      <c r="N2656" s="2" t="s">
        <v>2486</v>
      </c>
      <c r="O2656" s="2" t="s">
        <v>96</v>
      </c>
      <c r="P2656" s="2" t="str">
        <f>"2170532866                    "</f>
        <v xml:space="preserve">2170532866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4.9800000000000004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2.8</v>
      </c>
      <c r="BJ2656" s="2">
        <v>0.2</v>
      </c>
      <c r="BK2656" s="2">
        <v>3</v>
      </c>
      <c r="BL2656" s="2">
        <v>61.14</v>
      </c>
      <c r="BM2656" s="2">
        <v>8.56</v>
      </c>
      <c r="BN2656" s="2">
        <v>69.7</v>
      </c>
      <c r="BO2656" s="2">
        <v>69.7</v>
      </c>
      <c r="BP2656" s="2"/>
      <c r="BQ2656" s="2" t="s">
        <v>2487</v>
      </c>
      <c r="BR2656" s="2" t="s">
        <v>83</v>
      </c>
      <c r="BS2656" s="3">
        <v>42671</v>
      </c>
      <c r="BT2656" s="4">
        <v>0.46875</v>
      </c>
      <c r="BU2656" s="2" t="s">
        <v>576</v>
      </c>
      <c r="BV2656" s="2"/>
      <c r="BW2656" s="2" t="s">
        <v>277</v>
      </c>
      <c r="BX2656" s="2" t="s">
        <v>756</v>
      </c>
      <c r="BY2656" s="2">
        <v>1200</v>
      </c>
      <c r="BZ2656" s="2" t="s">
        <v>27</v>
      </c>
      <c r="CA2656" s="2"/>
      <c r="CB2656" s="2"/>
      <c r="CC2656" s="2" t="s">
        <v>144</v>
      </c>
      <c r="CD2656" s="2">
        <v>5201</v>
      </c>
      <c r="CE2656" s="2" t="s">
        <v>108</v>
      </c>
      <c r="CF2656" s="5">
        <v>42675</v>
      </c>
      <c r="CG2656" s="2"/>
      <c r="CH2656" s="2"/>
      <c r="CI2656" s="2">
        <v>0</v>
      </c>
      <c r="CJ2656" s="2">
        <v>0</v>
      </c>
      <c r="CK2656" s="2">
        <v>21</v>
      </c>
      <c r="CL2656" s="2" t="s">
        <v>88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"FES1162509750"</f>
        <v>FES1162509750</v>
      </c>
      <c r="F2657" s="3">
        <v>42670</v>
      </c>
      <c r="G2657" s="2">
        <v>201704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207</v>
      </c>
      <c r="M2657" s="2" t="s">
        <v>208</v>
      </c>
      <c r="N2657" s="2" t="s">
        <v>2488</v>
      </c>
      <c r="O2657" s="2" t="s">
        <v>96</v>
      </c>
      <c r="P2657" s="2" t="str">
        <f>"2170532909                    "</f>
        <v xml:space="preserve">2170532909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3.32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2</v>
      </c>
      <c r="BJ2657" s="2">
        <v>0.2</v>
      </c>
      <c r="BK2657" s="2">
        <v>2</v>
      </c>
      <c r="BL2657" s="2">
        <v>40.76</v>
      </c>
      <c r="BM2657" s="2">
        <v>5.71</v>
      </c>
      <c r="BN2657" s="2">
        <v>46.47</v>
      </c>
      <c r="BO2657" s="2">
        <v>46.47</v>
      </c>
      <c r="BP2657" s="2"/>
      <c r="BQ2657" s="2" t="s">
        <v>2489</v>
      </c>
      <c r="BR2657" s="2" t="s">
        <v>83</v>
      </c>
      <c r="BS2657" s="3">
        <v>42671</v>
      </c>
      <c r="BT2657" s="4">
        <v>0.63888888888888895</v>
      </c>
      <c r="BU2657" s="2" t="s">
        <v>2490</v>
      </c>
      <c r="BV2657" s="2" t="s">
        <v>88</v>
      </c>
      <c r="BW2657" s="2" t="s">
        <v>277</v>
      </c>
      <c r="BX2657" s="2" t="s">
        <v>2491</v>
      </c>
      <c r="BY2657" s="2">
        <v>1200</v>
      </c>
      <c r="BZ2657" s="2" t="s">
        <v>27</v>
      </c>
      <c r="CA2657" s="2"/>
      <c r="CB2657" s="2"/>
      <c r="CC2657" s="2" t="s">
        <v>208</v>
      </c>
      <c r="CD2657" s="2">
        <v>4133</v>
      </c>
      <c r="CE2657" s="2" t="s">
        <v>108</v>
      </c>
      <c r="CF2657" s="5">
        <v>42675</v>
      </c>
      <c r="CG2657" s="2"/>
      <c r="CH2657" s="2"/>
      <c r="CI2657" s="2">
        <v>1</v>
      </c>
      <c r="CJ2657" s="2">
        <v>1</v>
      </c>
      <c r="CK2657" s="2">
        <v>21</v>
      </c>
      <c r="CL2657" s="2" t="s">
        <v>88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"FES1162509651"</f>
        <v>FES1162509651</v>
      </c>
      <c r="F2658" s="3">
        <v>42670</v>
      </c>
      <c r="G2658" s="2">
        <v>201704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148</v>
      </c>
      <c r="M2658" s="2" t="s">
        <v>149</v>
      </c>
      <c r="N2658" s="2" t="s">
        <v>578</v>
      </c>
      <c r="O2658" s="2" t="s">
        <v>96</v>
      </c>
      <c r="P2658" s="2" t="str">
        <f>"2170530593                    "</f>
        <v xml:space="preserve">2170530593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3.32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40.76</v>
      </c>
      <c r="BM2658" s="2">
        <v>5.71</v>
      </c>
      <c r="BN2658" s="2">
        <v>46.47</v>
      </c>
      <c r="BO2658" s="2">
        <v>46.47</v>
      </c>
      <c r="BP2658" s="2"/>
      <c r="BQ2658" s="2" t="s">
        <v>579</v>
      </c>
      <c r="BR2658" s="2" t="s">
        <v>83</v>
      </c>
      <c r="BS2658" s="3">
        <v>42671</v>
      </c>
      <c r="BT2658" s="4">
        <v>0.41666666666666669</v>
      </c>
      <c r="BU2658" s="2" t="s">
        <v>2492</v>
      </c>
      <c r="BV2658" s="2" t="s">
        <v>85</v>
      </c>
      <c r="BW2658" s="2"/>
      <c r="BX2658" s="2"/>
      <c r="BY2658" s="2">
        <v>1200</v>
      </c>
      <c r="BZ2658" s="2" t="s">
        <v>27</v>
      </c>
      <c r="CA2658" s="2"/>
      <c r="CB2658" s="2"/>
      <c r="CC2658" s="2" t="s">
        <v>149</v>
      </c>
      <c r="CD2658" s="2">
        <v>4075</v>
      </c>
      <c r="CE2658" s="2" t="s">
        <v>108</v>
      </c>
      <c r="CF2658" s="5">
        <v>42675</v>
      </c>
      <c r="CG2658" s="2"/>
      <c r="CH2658" s="2"/>
      <c r="CI2658" s="2">
        <v>1</v>
      </c>
      <c r="CJ2658" s="2">
        <v>1</v>
      </c>
      <c r="CK2658" s="2">
        <v>21</v>
      </c>
      <c r="CL2658" s="2" t="s">
        <v>88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"FES1162509650"</f>
        <v>FES1162509650</v>
      </c>
      <c r="F2659" s="3">
        <v>42670</v>
      </c>
      <c r="G2659" s="2">
        <v>201704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93</v>
      </c>
      <c r="M2659" s="2" t="s">
        <v>94</v>
      </c>
      <c r="N2659" s="2" t="s">
        <v>130</v>
      </c>
      <c r="O2659" s="2" t="s">
        <v>96</v>
      </c>
      <c r="P2659" s="2" t="str">
        <f>"2170530545                    "</f>
        <v xml:space="preserve">2170530545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3.32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40.76</v>
      </c>
      <c r="BM2659" s="2">
        <v>5.71</v>
      </c>
      <c r="BN2659" s="2">
        <v>46.47</v>
      </c>
      <c r="BO2659" s="2">
        <v>46.47</v>
      </c>
      <c r="BP2659" s="2"/>
      <c r="BQ2659" s="2" t="s">
        <v>131</v>
      </c>
      <c r="BR2659" s="2" t="s">
        <v>83</v>
      </c>
      <c r="BS2659" s="3">
        <v>42671</v>
      </c>
      <c r="BT2659" s="4">
        <v>0.375</v>
      </c>
      <c r="BU2659" s="2" t="s">
        <v>2464</v>
      </c>
      <c r="BV2659" s="2" t="s">
        <v>85</v>
      </c>
      <c r="BW2659" s="2"/>
      <c r="BX2659" s="2"/>
      <c r="BY2659" s="2">
        <v>1200</v>
      </c>
      <c r="BZ2659" s="2" t="s">
        <v>27</v>
      </c>
      <c r="CA2659" s="2" t="s">
        <v>129</v>
      </c>
      <c r="CB2659" s="2"/>
      <c r="CC2659" s="2" t="s">
        <v>94</v>
      </c>
      <c r="CD2659" s="2">
        <v>4302</v>
      </c>
      <c r="CE2659" s="2" t="s">
        <v>108</v>
      </c>
      <c r="CF2659" s="5">
        <v>42675</v>
      </c>
      <c r="CG2659" s="2"/>
      <c r="CH2659" s="2"/>
      <c r="CI2659" s="2">
        <v>1</v>
      </c>
      <c r="CJ2659" s="2">
        <v>1</v>
      </c>
      <c r="CK2659" s="2">
        <v>21</v>
      </c>
      <c r="CL2659" s="2" t="s">
        <v>88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"FES1162509739"</f>
        <v>FES1162509739</v>
      </c>
      <c r="F2660" s="3">
        <v>42670</v>
      </c>
      <c r="G2660" s="2">
        <v>201704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148</v>
      </c>
      <c r="M2660" s="2" t="s">
        <v>149</v>
      </c>
      <c r="N2660" s="2" t="s">
        <v>483</v>
      </c>
      <c r="O2660" s="2" t="s">
        <v>96</v>
      </c>
      <c r="P2660" s="2" t="str">
        <f>"2170532894                    "</f>
        <v xml:space="preserve">2170532894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3.32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40.76</v>
      </c>
      <c r="BM2660" s="2">
        <v>5.71</v>
      </c>
      <c r="BN2660" s="2">
        <v>46.47</v>
      </c>
      <c r="BO2660" s="2">
        <v>46.47</v>
      </c>
      <c r="BP2660" s="2"/>
      <c r="BQ2660" s="2" t="s">
        <v>484</v>
      </c>
      <c r="BR2660" s="2" t="s">
        <v>83</v>
      </c>
      <c r="BS2660" s="3">
        <v>42671</v>
      </c>
      <c r="BT2660" s="4">
        <v>0.41666666666666669</v>
      </c>
      <c r="BU2660" s="2" t="s">
        <v>2493</v>
      </c>
      <c r="BV2660" s="2"/>
      <c r="BW2660" s="2"/>
      <c r="BX2660" s="2"/>
      <c r="BY2660" s="2">
        <v>1200</v>
      </c>
      <c r="BZ2660" s="2" t="s">
        <v>27</v>
      </c>
      <c r="CA2660" s="2" t="s">
        <v>129</v>
      </c>
      <c r="CB2660" s="2"/>
      <c r="CC2660" s="2" t="s">
        <v>149</v>
      </c>
      <c r="CD2660" s="2">
        <v>4001</v>
      </c>
      <c r="CE2660" s="2" t="s">
        <v>108</v>
      </c>
      <c r="CF2660" s="5">
        <v>42675</v>
      </c>
      <c r="CG2660" s="2"/>
      <c r="CH2660" s="2"/>
      <c r="CI2660" s="2">
        <v>0</v>
      </c>
      <c r="CJ2660" s="2">
        <v>0</v>
      </c>
      <c r="CK2660" s="2">
        <v>21</v>
      </c>
      <c r="CL2660" s="2" t="s">
        <v>88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"FES1162509790"</f>
        <v>FES1162509790</v>
      </c>
      <c r="F2661" s="3">
        <v>42670</v>
      </c>
      <c r="G2661" s="2">
        <v>201704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148</v>
      </c>
      <c r="M2661" s="2" t="s">
        <v>149</v>
      </c>
      <c r="N2661" s="2" t="s">
        <v>2185</v>
      </c>
      <c r="O2661" s="2" t="s">
        <v>96</v>
      </c>
      <c r="P2661" s="2" t="str">
        <f>"2170532941                    "</f>
        <v xml:space="preserve">2170532941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3.32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1</v>
      </c>
      <c r="BJ2661" s="2">
        <v>0.2</v>
      </c>
      <c r="BK2661" s="2">
        <v>1</v>
      </c>
      <c r="BL2661" s="2">
        <v>40.76</v>
      </c>
      <c r="BM2661" s="2">
        <v>5.71</v>
      </c>
      <c r="BN2661" s="2">
        <v>46.47</v>
      </c>
      <c r="BO2661" s="2">
        <v>46.47</v>
      </c>
      <c r="BP2661" s="2"/>
      <c r="BQ2661" s="2" t="s">
        <v>2494</v>
      </c>
      <c r="BR2661" s="2" t="s">
        <v>83</v>
      </c>
      <c r="BS2661" s="3">
        <v>42671</v>
      </c>
      <c r="BT2661" s="4">
        <v>0.41666666666666669</v>
      </c>
      <c r="BU2661" s="2" t="s">
        <v>2495</v>
      </c>
      <c r="BV2661" s="2" t="s">
        <v>85</v>
      </c>
      <c r="BW2661" s="2"/>
      <c r="BX2661" s="2"/>
      <c r="BY2661" s="2">
        <v>1200</v>
      </c>
      <c r="BZ2661" s="2" t="s">
        <v>27</v>
      </c>
      <c r="CA2661" s="2"/>
      <c r="CB2661" s="2"/>
      <c r="CC2661" s="2" t="s">
        <v>149</v>
      </c>
      <c r="CD2661" s="2">
        <v>4052</v>
      </c>
      <c r="CE2661" s="2" t="s">
        <v>108</v>
      </c>
      <c r="CF2661" s="5">
        <v>42675</v>
      </c>
      <c r="CG2661" s="2"/>
      <c r="CH2661" s="2"/>
      <c r="CI2661" s="2">
        <v>1</v>
      </c>
      <c r="CJ2661" s="2">
        <v>1</v>
      </c>
      <c r="CK2661" s="2">
        <v>21</v>
      </c>
      <c r="CL2661" s="2" t="s">
        <v>88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"FES1162509737"</f>
        <v>FES1162509737</v>
      </c>
      <c r="F2662" s="3">
        <v>42670</v>
      </c>
      <c r="G2662" s="2">
        <v>201704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137</v>
      </c>
      <c r="M2662" s="2" t="s">
        <v>138</v>
      </c>
      <c r="N2662" s="2" t="s">
        <v>928</v>
      </c>
      <c r="O2662" s="2" t="s">
        <v>96</v>
      </c>
      <c r="P2662" s="2" t="str">
        <f>"2170532892                    "</f>
        <v xml:space="preserve">2170532892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3.32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1</v>
      </c>
      <c r="BJ2662" s="2">
        <v>0.2</v>
      </c>
      <c r="BK2662" s="2">
        <v>1</v>
      </c>
      <c r="BL2662" s="2">
        <v>40.76</v>
      </c>
      <c r="BM2662" s="2">
        <v>5.71</v>
      </c>
      <c r="BN2662" s="2">
        <v>46.47</v>
      </c>
      <c r="BO2662" s="2">
        <v>46.47</v>
      </c>
      <c r="BP2662" s="2"/>
      <c r="BQ2662" s="2" t="s">
        <v>117</v>
      </c>
      <c r="BR2662" s="2" t="s">
        <v>83</v>
      </c>
      <c r="BS2662" s="3">
        <v>42671</v>
      </c>
      <c r="BT2662" s="4">
        <v>0.4236111111111111</v>
      </c>
      <c r="BU2662" s="2" t="s">
        <v>2116</v>
      </c>
      <c r="BV2662" s="2"/>
      <c r="BW2662" s="2"/>
      <c r="BX2662" s="2"/>
      <c r="BY2662" s="2">
        <v>1200</v>
      </c>
      <c r="BZ2662" s="2" t="s">
        <v>27</v>
      </c>
      <c r="CA2662" s="2" t="s">
        <v>613</v>
      </c>
      <c r="CB2662" s="2"/>
      <c r="CC2662" s="2" t="s">
        <v>138</v>
      </c>
      <c r="CD2662" s="2">
        <v>3201</v>
      </c>
      <c r="CE2662" s="2" t="s">
        <v>108</v>
      </c>
      <c r="CF2662" s="5">
        <v>42671</v>
      </c>
      <c r="CG2662" s="2"/>
      <c r="CH2662" s="2"/>
      <c r="CI2662" s="2">
        <v>0</v>
      </c>
      <c r="CJ2662" s="2">
        <v>0</v>
      </c>
      <c r="CK2662" s="2">
        <v>21</v>
      </c>
      <c r="CL2662" s="2" t="s">
        <v>88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"FES1162509702"</f>
        <v>FES1162509702</v>
      </c>
      <c r="F2663" s="3">
        <v>42670</v>
      </c>
      <c r="G2663" s="2">
        <v>201704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148</v>
      </c>
      <c r="M2663" s="2" t="s">
        <v>149</v>
      </c>
      <c r="N2663" s="2" t="s">
        <v>233</v>
      </c>
      <c r="O2663" s="2" t="s">
        <v>96</v>
      </c>
      <c r="P2663" s="2" t="str">
        <f>"2170531943                    "</f>
        <v xml:space="preserve">2170531943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3.32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1</v>
      </c>
      <c r="BJ2663" s="2">
        <v>0.2</v>
      </c>
      <c r="BK2663" s="2">
        <v>1</v>
      </c>
      <c r="BL2663" s="2">
        <v>40.76</v>
      </c>
      <c r="BM2663" s="2">
        <v>5.71</v>
      </c>
      <c r="BN2663" s="2">
        <v>46.47</v>
      </c>
      <c r="BO2663" s="2">
        <v>46.47</v>
      </c>
      <c r="BP2663" s="2"/>
      <c r="BQ2663" s="2" t="s">
        <v>234</v>
      </c>
      <c r="BR2663" s="2" t="s">
        <v>83</v>
      </c>
      <c r="BS2663" s="3">
        <v>42671</v>
      </c>
      <c r="BT2663" s="4">
        <v>0.41666666666666669</v>
      </c>
      <c r="BU2663" s="2" t="s">
        <v>1127</v>
      </c>
      <c r="BV2663" s="2"/>
      <c r="BW2663" s="2"/>
      <c r="BX2663" s="2"/>
      <c r="BY2663" s="2">
        <v>1200</v>
      </c>
      <c r="BZ2663" s="2" t="s">
        <v>27</v>
      </c>
      <c r="CA2663" s="2"/>
      <c r="CB2663" s="2"/>
      <c r="CC2663" s="2" t="s">
        <v>149</v>
      </c>
      <c r="CD2663" s="2">
        <v>4001</v>
      </c>
      <c r="CE2663" s="2" t="s">
        <v>108</v>
      </c>
      <c r="CF2663" s="5">
        <v>42675</v>
      </c>
      <c r="CG2663" s="2"/>
      <c r="CH2663" s="2"/>
      <c r="CI2663" s="2">
        <v>0</v>
      </c>
      <c r="CJ2663" s="2">
        <v>0</v>
      </c>
      <c r="CK2663" s="2">
        <v>21</v>
      </c>
      <c r="CL2663" s="2" t="s">
        <v>88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"FES1162509794"</f>
        <v>FES1162509794</v>
      </c>
      <c r="F2664" s="3">
        <v>42670</v>
      </c>
      <c r="G2664" s="2">
        <v>201704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137</v>
      </c>
      <c r="M2664" s="2" t="s">
        <v>138</v>
      </c>
      <c r="N2664" s="2" t="s">
        <v>420</v>
      </c>
      <c r="O2664" s="2" t="s">
        <v>96</v>
      </c>
      <c r="P2664" s="2" t="str">
        <f>"2170530727                    "</f>
        <v xml:space="preserve">2170530727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3.32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40.76</v>
      </c>
      <c r="BM2664" s="2">
        <v>5.71</v>
      </c>
      <c r="BN2664" s="2">
        <v>46.47</v>
      </c>
      <c r="BO2664" s="2">
        <v>46.47</v>
      </c>
      <c r="BP2664" s="2"/>
      <c r="BQ2664" s="2" t="s">
        <v>117</v>
      </c>
      <c r="BR2664" s="2" t="s">
        <v>83</v>
      </c>
      <c r="BS2664" s="3">
        <v>42671</v>
      </c>
      <c r="BT2664" s="4">
        <v>0.39861111111111108</v>
      </c>
      <c r="BU2664" s="2" t="s">
        <v>1668</v>
      </c>
      <c r="BV2664" s="2" t="s">
        <v>85</v>
      </c>
      <c r="BW2664" s="2"/>
      <c r="BX2664" s="2"/>
      <c r="BY2664" s="2">
        <v>1200</v>
      </c>
      <c r="BZ2664" s="2" t="s">
        <v>27</v>
      </c>
      <c r="CA2664" s="2" t="s">
        <v>613</v>
      </c>
      <c r="CB2664" s="2"/>
      <c r="CC2664" s="2" t="s">
        <v>138</v>
      </c>
      <c r="CD2664" s="2">
        <v>3201</v>
      </c>
      <c r="CE2664" s="2" t="s">
        <v>108</v>
      </c>
      <c r="CF2664" s="5">
        <v>42671</v>
      </c>
      <c r="CG2664" s="2"/>
      <c r="CH2664" s="2"/>
      <c r="CI2664" s="2">
        <v>1</v>
      </c>
      <c r="CJ2664" s="2">
        <v>1</v>
      </c>
      <c r="CK2664" s="2">
        <v>21</v>
      </c>
      <c r="CL2664" s="2" t="s">
        <v>88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"FES1162509717"</f>
        <v>FES1162509717</v>
      </c>
      <c r="F2665" s="3">
        <v>42670</v>
      </c>
      <c r="G2665" s="2">
        <v>201704</v>
      </c>
      <c r="H2665" s="2" t="s">
        <v>74</v>
      </c>
      <c r="I2665" s="2" t="s">
        <v>75</v>
      </c>
      <c r="J2665" s="2" t="s">
        <v>76</v>
      </c>
      <c r="K2665" s="2" t="s">
        <v>77</v>
      </c>
      <c r="L2665" s="2" t="s">
        <v>148</v>
      </c>
      <c r="M2665" s="2" t="s">
        <v>149</v>
      </c>
      <c r="N2665" s="2" t="s">
        <v>296</v>
      </c>
      <c r="O2665" s="2" t="s">
        <v>96</v>
      </c>
      <c r="P2665" s="2" t="str">
        <f>"2170532643                    "</f>
        <v xml:space="preserve">2170532643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3.32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1.8</v>
      </c>
      <c r="BJ2665" s="2">
        <v>1.4</v>
      </c>
      <c r="BK2665" s="2">
        <v>2</v>
      </c>
      <c r="BL2665" s="2">
        <v>40.76</v>
      </c>
      <c r="BM2665" s="2">
        <v>5.71</v>
      </c>
      <c r="BN2665" s="2">
        <v>46.47</v>
      </c>
      <c r="BO2665" s="2">
        <v>46.47</v>
      </c>
      <c r="BP2665" s="2"/>
      <c r="BQ2665" s="2" t="s">
        <v>168</v>
      </c>
      <c r="BR2665" s="2" t="s">
        <v>83</v>
      </c>
      <c r="BS2665" s="3">
        <v>42671</v>
      </c>
      <c r="BT2665" s="4">
        <v>0.33333333333333331</v>
      </c>
      <c r="BU2665" s="2" t="s">
        <v>431</v>
      </c>
      <c r="BV2665" s="2" t="s">
        <v>85</v>
      </c>
      <c r="BW2665" s="2"/>
      <c r="BX2665" s="2"/>
      <c r="BY2665" s="2">
        <v>6968.8</v>
      </c>
      <c r="BZ2665" s="2" t="s">
        <v>27</v>
      </c>
      <c r="CA2665" s="2"/>
      <c r="CB2665" s="2"/>
      <c r="CC2665" s="2" t="s">
        <v>149</v>
      </c>
      <c r="CD2665" s="2">
        <v>4001</v>
      </c>
      <c r="CE2665" s="2" t="s">
        <v>86</v>
      </c>
      <c r="CF2665" s="5">
        <v>42675</v>
      </c>
      <c r="CG2665" s="2"/>
      <c r="CH2665" s="2"/>
      <c r="CI2665" s="2">
        <v>1</v>
      </c>
      <c r="CJ2665" s="2">
        <v>1</v>
      </c>
      <c r="CK2665" s="2">
        <v>21</v>
      </c>
      <c r="CL2665" s="2" t="s">
        <v>88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"FES1162509671"</f>
        <v>FES1162509671</v>
      </c>
      <c r="F2666" s="3">
        <v>42670</v>
      </c>
      <c r="G2666" s="2">
        <v>201704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93</v>
      </c>
      <c r="M2666" s="2" t="s">
        <v>94</v>
      </c>
      <c r="N2666" s="2" t="s">
        <v>2496</v>
      </c>
      <c r="O2666" s="2" t="s">
        <v>96</v>
      </c>
      <c r="P2666" s="2" t="str">
        <f>"2170531009                    "</f>
        <v xml:space="preserve">2170531009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3.32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1.8</v>
      </c>
      <c r="BJ2666" s="2">
        <v>1</v>
      </c>
      <c r="BK2666" s="2">
        <v>2</v>
      </c>
      <c r="BL2666" s="2">
        <v>40.76</v>
      </c>
      <c r="BM2666" s="2">
        <v>5.71</v>
      </c>
      <c r="BN2666" s="2">
        <v>46.47</v>
      </c>
      <c r="BO2666" s="2">
        <v>46.47</v>
      </c>
      <c r="BP2666" s="2"/>
      <c r="BQ2666" s="2" t="s">
        <v>117</v>
      </c>
      <c r="BR2666" s="2" t="s">
        <v>83</v>
      </c>
      <c r="BS2666" s="3">
        <v>42671</v>
      </c>
      <c r="BT2666" s="4">
        <v>0.375</v>
      </c>
      <c r="BU2666" s="2" t="s">
        <v>1672</v>
      </c>
      <c r="BV2666" s="2" t="s">
        <v>85</v>
      </c>
      <c r="BW2666" s="2"/>
      <c r="BX2666" s="2"/>
      <c r="BY2666" s="2">
        <v>4957.26</v>
      </c>
      <c r="BZ2666" s="2" t="s">
        <v>27</v>
      </c>
      <c r="CA2666" s="2" t="s">
        <v>129</v>
      </c>
      <c r="CB2666" s="2"/>
      <c r="CC2666" s="2" t="s">
        <v>94</v>
      </c>
      <c r="CD2666" s="2">
        <v>4300</v>
      </c>
      <c r="CE2666" s="2" t="s">
        <v>1350</v>
      </c>
      <c r="CF2666" s="5">
        <v>42675</v>
      </c>
      <c r="CG2666" s="2"/>
      <c r="CH2666" s="2"/>
      <c r="CI2666" s="2">
        <v>1</v>
      </c>
      <c r="CJ2666" s="2">
        <v>1</v>
      </c>
      <c r="CK2666" s="2">
        <v>21</v>
      </c>
      <c r="CL2666" s="2" t="s">
        <v>88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"FES1162509716"</f>
        <v>FES1162509716</v>
      </c>
      <c r="F2667" s="3">
        <v>42670</v>
      </c>
      <c r="G2667" s="2">
        <v>201704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148</v>
      </c>
      <c r="M2667" s="2" t="s">
        <v>149</v>
      </c>
      <c r="N2667" s="2" t="s">
        <v>296</v>
      </c>
      <c r="O2667" s="2" t="s">
        <v>96</v>
      </c>
      <c r="P2667" s="2" t="str">
        <f>"2170532643                    "</f>
        <v xml:space="preserve">2170532643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7.46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2</v>
      </c>
      <c r="BJ2667" s="2">
        <v>4.0999999999999996</v>
      </c>
      <c r="BK2667" s="2">
        <v>4.5</v>
      </c>
      <c r="BL2667" s="2">
        <v>91.7</v>
      </c>
      <c r="BM2667" s="2">
        <v>12.84</v>
      </c>
      <c r="BN2667" s="2">
        <v>104.54</v>
      </c>
      <c r="BO2667" s="2">
        <v>104.54</v>
      </c>
      <c r="BP2667" s="2"/>
      <c r="BQ2667" s="2" t="s">
        <v>2497</v>
      </c>
      <c r="BR2667" s="2" t="s">
        <v>83</v>
      </c>
      <c r="BS2667" s="3">
        <v>42671</v>
      </c>
      <c r="BT2667" s="4">
        <v>0.33333333333333331</v>
      </c>
      <c r="BU2667" s="2" t="s">
        <v>431</v>
      </c>
      <c r="BV2667" s="2" t="s">
        <v>85</v>
      </c>
      <c r="BW2667" s="2"/>
      <c r="BX2667" s="2"/>
      <c r="BY2667" s="2">
        <v>20358</v>
      </c>
      <c r="BZ2667" s="2" t="s">
        <v>27</v>
      </c>
      <c r="CA2667" s="2"/>
      <c r="CB2667" s="2"/>
      <c r="CC2667" s="2" t="s">
        <v>149</v>
      </c>
      <c r="CD2667" s="2">
        <v>4001</v>
      </c>
      <c r="CE2667" s="2" t="s">
        <v>86</v>
      </c>
      <c r="CF2667" s="5">
        <v>42675</v>
      </c>
      <c r="CG2667" s="2"/>
      <c r="CH2667" s="2"/>
      <c r="CI2667" s="2">
        <v>1</v>
      </c>
      <c r="CJ2667" s="2">
        <v>1</v>
      </c>
      <c r="CK2667" s="2">
        <v>21</v>
      </c>
      <c r="CL2667" s="2" t="s">
        <v>88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"FES1162509706"</f>
        <v>FES1162509706</v>
      </c>
      <c r="F2668" s="3">
        <v>42670</v>
      </c>
      <c r="G2668" s="2">
        <v>201704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98</v>
      </c>
      <c r="M2668" s="2" t="s">
        <v>99</v>
      </c>
      <c r="N2668" s="2" t="s">
        <v>1410</v>
      </c>
      <c r="O2668" s="2" t="s">
        <v>96</v>
      </c>
      <c r="P2668" s="2" t="str">
        <f>"2170532851                    "</f>
        <v xml:space="preserve">2170532851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5.81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1.5</v>
      </c>
      <c r="BJ2668" s="2">
        <v>3.3</v>
      </c>
      <c r="BK2668" s="2">
        <v>3.5</v>
      </c>
      <c r="BL2668" s="2">
        <v>71.33</v>
      </c>
      <c r="BM2668" s="2">
        <v>9.99</v>
      </c>
      <c r="BN2668" s="2">
        <v>81.319999999999993</v>
      </c>
      <c r="BO2668" s="2">
        <v>81.319999999999993</v>
      </c>
      <c r="BP2668" s="2"/>
      <c r="BQ2668" s="2" t="s">
        <v>1411</v>
      </c>
      <c r="BR2668" s="2" t="s">
        <v>83</v>
      </c>
      <c r="BS2668" s="3">
        <v>42671</v>
      </c>
      <c r="BT2668" s="4">
        <v>0.3888888888888889</v>
      </c>
      <c r="BU2668" s="2" t="s">
        <v>2498</v>
      </c>
      <c r="BV2668" s="2" t="s">
        <v>85</v>
      </c>
      <c r="BW2668" s="2"/>
      <c r="BX2668" s="2"/>
      <c r="BY2668" s="2">
        <v>16467.22</v>
      </c>
      <c r="BZ2668" s="2" t="s">
        <v>27</v>
      </c>
      <c r="CA2668" s="2"/>
      <c r="CB2668" s="2"/>
      <c r="CC2668" s="2" t="s">
        <v>99</v>
      </c>
      <c r="CD2668" s="2">
        <v>6001</v>
      </c>
      <c r="CE2668" s="2" t="s">
        <v>86</v>
      </c>
      <c r="CF2668" s="5">
        <v>42674</v>
      </c>
      <c r="CG2668" s="2"/>
      <c r="CH2668" s="2"/>
      <c r="CI2668" s="2">
        <v>1</v>
      </c>
      <c r="CJ2668" s="2">
        <v>1</v>
      </c>
      <c r="CK2668" s="2">
        <v>21</v>
      </c>
      <c r="CL2668" s="2" t="s">
        <v>88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"FES1162509617"</f>
        <v>FES1162509617</v>
      </c>
      <c r="F2669" s="3">
        <v>42670</v>
      </c>
      <c r="G2669" s="2">
        <v>201704</v>
      </c>
      <c r="H2669" s="2" t="s">
        <v>74</v>
      </c>
      <c r="I2669" s="2" t="s">
        <v>75</v>
      </c>
      <c r="J2669" s="2" t="s">
        <v>76</v>
      </c>
      <c r="K2669" s="2" t="s">
        <v>77</v>
      </c>
      <c r="L2669" s="2" t="s">
        <v>218</v>
      </c>
      <c r="M2669" s="2" t="s">
        <v>219</v>
      </c>
      <c r="N2669" s="2" t="s">
        <v>220</v>
      </c>
      <c r="O2669" s="2" t="s">
        <v>96</v>
      </c>
      <c r="P2669" s="2" t="str">
        <f>"2170532801                    "</f>
        <v xml:space="preserve">2170532801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15.76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5.9</v>
      </c>
      <c r="BJ2669" s="2">
        <v>9.3000000000000007</v>
      </c>
      <c r="BK2669" s="2">
        <v>9.5</v>
      </c>
      <c r="BL2669" s="2">
        <v>193.6</v>
      </c>
      <c r="BM2669" s="2">
        <v>27.1</v>
      </c>
      <c r="BN2669" s="2">
        <v>220.7</v>
      </c>
      <c r="BO2669" s="2">
        <v>220.7</v>
      </c>
      <c r="BP2669" s="2"/>
      <c r="BQ2669" s="2" t="s">
        <v>91</v>
      </c>
      <c r="BR2669" s="2" t="s">
        <v>83</v>
      </c>
      <c r="BS2669" s="3">
        <v>42671</v>
      </c>
      <c r="BT2669" s="4">
        <v>0.41666666666666669</v>
      </c>
      <c r="BU2669" s="2" t="s">
        <v>1881</v>
      </c>
      <c r="BV2669" s="2" t="s">
        <v>85</v>
      </c>
      <c r="BW2669" s="2"/>
      <c r="BX2669" s="2"/>
      <c r="BY2669" s="2">
        <v>46415.88</v>
      </c>
      <c r="BZ2669" s="2" t="s">
        <v>27</v>
      </c>
      <c r="CA2669" s="2"/>
      <c r="CB2669" s="2"/>
      <c r="CC2669" s="2" t="s">
        <v>219</v>
      </c>
      <c r="CD2669" s="2">
        <v>7600</v>
      </c>
      <c r="CE2669" s="2" t="s">
        <v>86</v>
      </c>
      <c r="CF2669" s="5">
        <v>42674</v>
      </c>
      <c r="CG2669" s="2"/>
      <c r="CH2669" s="2"/>
      <c r="CI2669" s="2">
        <v>1</v>
      </c>
      <c r="CJ2669" s="2">
        <v>1</v>
      </c>
      <c r="CK2669" s="2">
        <v>21</v>
      </c>
      <c r="CL2669" s="2" t="s">
        <v>88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"FES1162509786"</f>
        <v>FES1162509786</v>
      </c>
      <c r="F2670" s="3">
        <v>42670</v>
      </c>
      <c r="G2670" s="2">
        <v>201704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98</v>
      </c>
      <c r="M2670" s="2" t="s">
        <v>99</v>
      </c>
      <c r="N2670" s="2" t="s">
        <v>190</v>
      </c>
      <c r="O2670" s="2" t="s">
        <v>96</v>
      </c>
      <c r="P2670" s="2" t="str">
        <f>"2170530255                    "</f>
        <v xml:space="preserve">2170530255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3.32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2</v>
      </c>
      <c r="BJ2670" s="2">
        <v>0.2</v>
      </c>
      <c r="BK2670" s="2">
        <v>2</v>
      </c>
      <c r="BL2670" s="2">
        <v>40.76</v>
      </c>
      <c r="BM2670" s="2">
        <v>5.71</v>
      </c>
      <c r="BN2670" s="2">
        <v>46.47</v>
      </c>
      <c r="BO2670" s="2">
        <v>46.47</v>
      </c>
      <c r="BP2670" s="2"/>
      <c r="BQ2670" s="2" t="s">
        <v>1034</v>
      </c>
      <c r="BR2670" s="2" t="s">
        <v>83</v>
      </c>
      <c r="BS2670" s="3">
        <v>42671</v>
      </c>
      <c r="BT2670" s="4">
        <v>0.36805555555555558</v>
      </c>
      <c r="BU2670" s="2" t="s">
        <v>1325</v>
      </c>
      <c r="BV2670" s="2" t="s">
        <v>85</v>
      </c>
      <c r="BW2670" s="2"/>
      <c r="BX2670" s="2"/>
      <c r="BY2670" s="2">
        <v>1200</v>
      </c>
      <c r="BZ2670" s="2" t="s">
        <v>27</v>
      </c>
      <c r="CA2670" s="2" t="s">
        <v>129</v>
      </c>
      <c r="CB2670" s="2"/>
      <c r="CC2670" s="2" t="s">
        <v>99</v>
      </c>
      <c r="CD2670" s="2">
        <v>6001</v>
      </c>
      <c r="CE2670" s="2" t="s">
        <v>108</v>
      </c>
      <c r="CF2670" s="5">
        <v>42674</v>
      </c>
      <c r="CG2670" s="2"/>
      <c r="CH2670" s="2"/>
      <c r="CI2670" s="2">
        <v>1</v>
      </c>
      <c r="CJ2670" s="2">
        <v>1</v>
      </c>
      <c r="CK2670" s="2">
        <v>21</v>
      </c>
      <c r="CL2670" s="2" t="s">
        <v>88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"FES1162509776"</f>
        <v>FES1162509776</v>
      </c>
      <c r="F2671" s="3">
        <v>42670</v>
      </c>
      <c r="G2671" s="2">
        <v>201704</v>
      </c>
      <c r="H2671" s="2" t="s">
        <v>74</v>
      </c>
      <c r="I2671" s="2" t="s">
        <v>75</v>
      </c>
      <c r="J2671" s="2" t="s">
        <v>76</v>
      </c>
      <c r="K2671" s="2" t="s">
        <v>77</v>
      </c>
      <c r="L2671" s="2" t="s">
        <v>98</v>
      </c>
      <c r="M2671" s="2" t="s">
        <v>99</v>
      </c>
      <c r="N2671" s="2" t="s">
        <v>2499</v>
      </c>
      <c r="O2671" s="2" t="s">
        <v>96</v>
      </c>
      <c r="P2671" s="2" t="str">
        <f>"2170529987                    "</f>
        <v xml:space="preserve">2170529987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3.32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40.76</v>
      </c>
      <c r="BM2671" s="2">
        <v>5.71</v>
      </c>
      <c r="BN2671" s="2">
        <v>46.47</v>
      </c>
      <c r="BO2671" s="2">
        <v>46.47</v>
      </c>
      <c r="BP2671" s="2"/>
      <c r="BQ2671" s="2" t="s">
        <v>2500</v>
      </c>
      <c r="BR2671" s="2" t="s">
        <v>83</v>
      </c>
      <c r="BS2671" s="3">
        <v>42671</v>
      </c>
      <c r="BT2671" s="4">
        <v>0.29166666666666669</v>
      </c>
      <c r="BU2671" s="2" t="s">
        <v>1325</v>
      </c>
      <c r="BV2671" s="2" t="s">
        <v>85</v>
      </c>
      <c r="BW2671" s="2"/>
      <c r="BX2671" s="2"/>
      <c r="BY2671" s="2">
        <v>1200</v>
      </c>
      <c r="BZ2671" s="2" t="s">
        <v>27</v>
      </c>
      <c r="CA2671" s="2" t="s">
        <v>129</v>
      </c>
      <c r="CB2671" s="2"/>
      <c r="CC2671" s="2" t="s">
        <v>99</v>
      </c>
      <c r="CD2671" s="2">
        <v>6001</v>
      </c>
      <c r="CE2671" s="2" t="s">
        <v>108</v>
      </c>
      <c r="CF2671" s="5">
        <v>42674</v>
      </c>
      <c r="CG2671" s="2"/>
      <c r="CH2671" s="2"/>
      <c r="CI2671" s="2">
        <v>1</v>
      </c>
      <c r="CJ2671" s="2">
        <v>1</v>
      </c>
      <c r="CK2671" s="2">
        <v>21</v>
      </c>
      <c r="CL2671" s="2" t="s">
        <v>88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"FES1162509772"</f>
        <v>FES1162509772</v>
      </c>
      <c r="F2672" s="3">
        <v>42670</v>
      </c>
      <c r="G2672" s="2">
        <v>201704</v>
      </c>
      <c r="H2672" s="2" t="s">
        <v>74</v>
      </c>
      <c r="I2672" s="2" t="s">
        <v>75</v>
      </c>
      <c r="J2672" s="2" t="s">
        <v>76</v>
      </c>
      <c r="K2672" s="2" t="s">
        <v>77</v>
      </c>
      <c r="L2672" s="2" t="s">
        <v>414</v>
      </c>
      <c r="M2672" s="2" t="s">
        <v>414</v>
      </c>
      <c r="N2672" s="2" t="s">
        <v>415</v>
      </c>
      <c r="O2672" s="2" t="s">
        <v>96</v>
      </c>
      <c r="P2672" s="2" t="str">
        <f>"2170532926                    "</f>
        <v xml:space="preserve">2170532926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6.43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1</v>
      </c>
      <c r="BJ2672" s="2">
        <v>0.2</v>
      </c>
      <c r="BK2672" s="2">
        <v>1</v>
      </c>
      <c r="BL2672" s="2">
        <v>78.97</v>
      </c>
      <c r="BM2672" s="2">
        <v>11.06</v>
      </c>
      <c r="BN2672" s="2">
        <v>90.03</v>
      </c>
      <c r="BO2672" s="2">
        <v>90.03</v>
      </c>
      <c r="BP2672" s="2"/>
      <c r="BQ2672" s="2" t="s">
        <v>117</v>
      </c>
      <c r="BR2672" s="2" t="s">
        <v>83</v>
      </c>
      <c r="BS2672" s="3">
        <v>42674</v>
      </c>
      <c r="BT2672" s="4">
        <v>0.625</v>
      </c>
      <c r="BU2672" s="2" t="s">
        <v>416</v>
      </c>
      <c r="BV2672" s="2" t="s">
        <v>85</v>
      </c>
      <c r="BW2672" s="2"/>
      <c r="BX2672" s="2"/>
      <c r="BY2672" s="2">
        <v>1200</v>
      </c>
      <c r="BZ2672" s="2" t="s">
        <v>27</v>
      </c>
      <c r="CA2672" s="2"/>
      <c r="CB2672" s="2"/>
      <c r="CC2672" s="2" t="s">
        <v>414</v>
      </c>
      <c r="CD2672" s="2">
        <v>5470</v>
      </c>
      <c r="CE2672" s="2" t="s">
        <v>108</v>
      </c>
      <c r="CF2672" s="5">
        <v>42678</v>
      </c>
      <c r="CG2672" s="2"/>
      <c r="CH2672" s="2"/>
      <c r="CI2672" s="2">
        <v>4</v>
      </c>
      <c r="CJ2672" s="2">
        <v>2</v>
      </c>
      <c r="CK2672" s="2">
        <v>23</v>
      </c>
      <c r="CL2672" s="2" t="s">
        <v>88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"FES1162509756"</f>
        <v>FES1162509756</v>
      </c>
      <c r="F2673" s="3">
        <v>42670</v>
      </c>
      <c r="G2673" s="2">
        <v>201704</v>
      </c>
      <c r="H2673" s="2" t="s">
        <v>74</v>
      </c>
      <c r="I2673" s="2" t="s">
        <v>75</v>
      </c>
      <c r="J2673" s="2" t="s">
        <v>76</v>
      </c>
      <c r="K2673" s="2" t="s">
        <v>77</v>
      </c>
      <c r="L2673" s="2" t="s">
        <v>98</v>
      </c>
      <c r="M2673" s="2" t="s">
        <v>99</v>
      </c>
      <c r="N2673" s="2" t="s">
        <v>656</v>
      </c>
      <c r="O2673" s="2" t="s">
        <v>96</v>
      </c>
      <c r="P2673" s="2" t="str">
        <f>"2170525854                    "</f>
        <v xml:space="preserve">2170525854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3.32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1</v>
      </c>
      <c r="BJ2673" s="2">
        <v>0.2</v>
      </c>
      <c r="BK2673" s="2">
        <v>1</v>
      </c>
      <c r="BL2673" s="2">
        <v>40.76</v>
      </c>
      <c r="BM2673" s="2">
        <v>5.71</v>
      </c>
      <c r="BN2673" s="2">
        <v>46.47</v>
      </c>
      <c r="BO2673" s="2">
        <v>46.47</v>
      </c>
      <c r="BP2673" s="2"/>
      <c r="BQ2673" s="2" t="s">
        <v>657</v>
      </c>
      <c r="BR2673" s="2" t="s">
        <v>83</v>
      </c>
      <c r="BS2673" s="3">
        <v>42671</v>
      </c>
      <c r="BT2673" s="4">
        <v>0.34722222222222227</v>
      </c>
      <c r="BU2673" s="2" t="s">
        <v>2274</v>
      </c>
      <c r="BV2673" s="2"/>
      <c r="BW2673" s="2"/>
      <c r="BX2673" s="2"/>
      <c r="BY2673" s="2">
        <v>1200</v>
      </c>
      <c r="BZ2673" s="2" t="s">
        <v>27</v>
      </c>
      <c r="CA2673" s="2" t="s">
        <v>129</v>
      </c>
      <c r="CB2673" s="2"/>
      <c r="CC2673" s="2" t="s">
        <v>99</v>
      </c>
      <c r="CD2673" s="2">
        <v>6001</v>
      </c>
      <c r="CE2673" s="2" t="s">
        <v>108</v>
      </c>
      <c r="CF2673" s="5">
        <v>42674</v>
      </c>
      <c r="CG2673" s="2"/>
      <c r="CH2673" s="2"/>
      <c r="CI2673" s="2">
        <v>0</v>
      </c>
      <c r="CJ2673" s="2">
        <v>0</v>
      </c>
      <c r="CK2673" s="2">
        <v>21</v>
      </c>
      <c r="CL2673" s="2" t="s">
        <v>88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"FES1162509628"</f>
        <v>FES1162509628</v>
      </c>
      <c r="F2674" s="3">
        <v>42670</v>
      </c>
      <c r="G2674" s="2">
        <v>201704</v>
      </c>
      <c r="H2674" s="2" t="s">
        <v>74</v>
      </c>
      <c r="I2674" s="2" t="s">
        <v>75</v>
      </c>
      <c r="J2674" s="2" t="s">
        <v>76</v>
      </c>
      <c r="K2674" s="2" t="s">
        <v>77</v>
      </c>
      <c r="L2674" s="2" t="s">
        <v>148</v>
      </c>
      <c r="M2674" s="2" t="s">
        <v>149</v>
      </c>
      <c r="N2674" s="2" t="s">
        <v>432</v>
      </c>
      <c r="O2674" s="2" t="s">
        <v>96</v>
      </c>
      <c r="P2674" s="2" t="str">
        <f>"2170532824                    "</f>
        <v xml:space="preserve">2170532824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3.32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1</v>
      </c>
      <c r="BJ2674" s="2">
        <v>0.2</v>
      </c>
      <c r="BK2674" s="2">
        <v>1</v>
      </c>
      <c r="BL2674" s="2">
        <v>40.76</v>
      </c>
      <c r="BM2674" s="2">
        <v>5.71</v>
      </c>
      <c r="BN2674" s="2">
        <v>46.47</v>
      </c>
      <c r="BO2674" s="2">
        <v>46.47</v>
      </c>
      <c r="BP2674" s="2"/>
      <c r="BQ2674" s="2" t="s">
        <v>91</v>
      </c>
      <c r="BR2674" s="2" t="s">
        <v>83</v>
      </c>
      <c r="BS2674" s="3">
        <v>42671</v>
      </c>
      <c r="BT2674" s="4">
        <v>0.33333333333333331</v>
      </c>
      <c r="BU2674" s="2" t="s">
        <v>431</v>
      </c>
      <c r="BV2674" s="2" t="s">
        <v>85</v>
      </c>
      <c r="BW2674" s="2"/>
      <c r="BX2674" s="2"/>
      <c r="BY2674" s="2">
        <v>1200</v>
      </c>
      <c r="BZ2674" s="2" t="s">
        <v>27</v>
      </c>
      <c r="CA2674" s="2"/>
      <c r="CB2674" s="2"/>
      <c r="CC2674" s="2" t="s">
        <v>149</v>
      </c>
      <c r="CD2674" s="2">
        <v>4052</v>
      </c>
      <c r="CE2674" s="2" t="s">
        <v>108</v>
      </c>
      <c r="CF2674" s="5">
        <v>42675</v>
      </c>
      <c r="CG2674" s="2"/>
      <c r="CH2674" s="2"/>
      <c r="CI2674" s="2">
        <v>1</v>
      </c>
      <c r="CJ2674" s="2">
        <v>1</v>
      </c>
      <c r="CK2674" s="2">
        <v>21</v>
      </c>
      <c r="CL2674" s="2" t="s">
        <v>88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"FES1162509766"</f>
        <v>FES1162509766</v>
      </c>
      <c r="F2675" s="3">
        <v>42670</v>
      </c>
      <c r="G2675" s="2">
        <v>201704</v>
      </c>
      <c r="H2675" s="2" t="s">
        <v>74</v>
      </c>
      <c r="I2675" s="2" t="s">
        <v>75</v>
      </c>
      <c r="J2675" s="2" t="s">
        <v>76</v>
      </c>
      <c r="K2675" s="2" t="s">
        <v>77</v>
      </c>
      <c r="L2675" s="2" t="s">
        <v>98</v>
      </c>
      <c r="M2675" s="2" t="s">
        <v>99</v>
      </c>
      <c r="N2675" s="2" t="s">
        <v>330</v>
      </c>
      <c r="O2675" s="2" t="s">
        <v>96</v>
      </c>
      <c r="P2675" s="2" t="str">
        <f>"2170532832                    "</f>
        <v xml:space="preserve">2170532832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3.32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1</v>
      </c>
      <c r="BJ2675" s="2">
        <v>0.2</v>
      </c>
      <c r="BK2675" s="2">
        <v>1</v>
      </c>
      <c r="BL2675" s="2">
        <v>40.76</v>
      </c>
      <c r="BM2675" s="2">
        <v>5.71</v>
      </c>
      <c r="BN2675" s="2">
        <v>46.47</v>
      </c>
      <c r="BO2675" s="2">
        <v>46.47</v>
      </c>
      <c r="BP2675" s="2"/>
      <c r="BQ2675" s="2" t="s">
        <v>331</v>
      </c>
      <c r="BR2675" s="2" t="s">
        <v>83</v>
      </c>
      <c r="BS2675" s="3">
        <v>42671</v>
      </c>
      <c r="BT2675" s="4">
        <v>0.4236111111111111</v>
      </c>
      <c r="BU2675" s="2" t="s">
        <v>467</v>
      </c>
      <c r="BV2675" s="2" t="s">
        <v>85</v>
      </c>
      <c r="BW2675" s="2"/>
      <c r="BX2675" s="2"/>
      <c r="BY2675" s="2">
        <v>1200</v>
      </c>
      <c r="BZ2675" s="2" t="s">
        <v>27</v>
      </c>
      <c r="CA2675" s="2" t="s">
        <v>468</v>
      </c>
      <c r="CB2675" s="2"/>
      <c r="CC2675" s="2" t="s">
        <v>99</v>
      </c>
      <c r="CD2675" s="2">
        <v>6070</v>
      </c>
      <c r="CE2675" s="2" t="s">
        <v>108</v>
      </c>
      <c r="CF2675" s="2"/>
      <c r="CG2675" s="2"/>
      <c r="CH2675" s="2"/>
      <c r="CI2675" s="2">
        <v>1</v>
      </c>
      <c r="CJ2675" s="2">
        <v>1</v>
      </c>
      <c r="CK2675" s="2">
        <v>21</v>
      </c>
      <c r="CL2675" s="2" t="s">
        <v>88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"FES1162509787"</f>
        <v>FES1162509787</v>
      </c>
      <c r="F2676" s="3">
        <v>42670</v>
      </c>
      <c r="G2676" s="2">
        <v>201704</v>
      </c>
      <c r="H2676" s="2" t="s">
        <v>74</v>
      </c>
      <c r="I2676" s="2" t="s">
        <v>75</v>
      </c>
      <c r="J2676" s="2" t="s">
        <v>76</v>
      </c>
      <c r="K2676" s="2" t="s">
        <v>77</v>
      </c>
      <c r="L2676" s="2" t="s">
        <v>119</v>
      </c>
      <c r="M2676" s="2" t="s">
        <v>120</v>
      </c>
      <c r="N2676" s="2" t="s">
        <v>1615</v>
      </c>
      <c r="O2676" s="2" t="s">
        <v>96</v>
      </c>
      <c r="P2676" s="2" t="str">
        <f>"2170530430                    "</f>
        <v xml:space="preserve">2170530430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3.32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1</v>
      </c>
      <c r="BJ2676" s="2">
        <v>0.2</v>
      </c>
      <c r="BK2676" s="2">
        <v>1</v>
      </c>
      <c r="BL2676" s="2">
        <v>40.76</v>
      </c>
      <c r="BM2676" s="2">
        <v>5.71</v>
      </c>
      <c r="BN2676" s="2">
        <v>46.47</v>
      </c>
      <c r="BO2676" s="2">
        <v>46.47</v>
      </c>
      <c r="BP2676" s="2"/>
      <c r="BQ2676" s="2" t="s">
        <v>1616</v>
      </c>
      <c r="BR2676" s="2" t="s">
        <v>83</v>
      </c>
      <c r="BS2676" s="3">
        <v>42671</v>
      </c>
      <c r="BT2676" s="4">
        <v>0.40972222222222227</v>
      </c>
      <c r="BU2676" s="2" t="s">
        <v>1925</v>
      </c>
      <c r="BV2676" s="2" t="s">
        <v>85</v>
      </c>
      <c r="BW2676" s="2"/>
      <c r="BX2676" s="2"/>
      <c r="BY2676" s="2">
        <v>1200</v>
      </c>
      <c r="BZ2676" s="2" t="s">
        <v>27</v>
      </c>
      <c r="CA2676" s="2"/>
      <c r="CB2676" s="2"/>
      <c r="CC2676" s="2" t="s">
        <v>120</v>
      </c>
      <c r="CD2676" s="2">
        <v>6230</v>
      </c>
      <c r="CE2676" s="2" t="s">
        <v>108</v>
      </c>
      <c r="CF2676" s="5">
        <v>42674</v>
      </c>
      <c r="CG2676" s="2"/>
      <c r="CH2676" s="2"/>
      <c r="CI2676" s="2">
        <v>1</v>
      </c>
      <c r="CJ2676" s="2">
        <v>1</v>
      </c>
      <c r="CK2676" s="2">
        <v>21</v>
      </c>
      <c r="CL2676" s="2" t="s">
        <v>88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"FES1162509648"</f>
        <v>FES1162509648</v>
      </c>
      <c r="F2677" s="3">
        <v>42670</v>
      </c>
      <c r="G2677" s="2">
        <v>201704</v>
      </c>
      <c r="H2677" s="2" t="s">
        <v>74</v>
      </c>
      <c r="I2677" s="2" t="s">
        <v>75</v>
      </c>
      <c r="J2677" s="2" t="s">
        <v>76</v>
      </c>
      <c r="K2677" s="2" t="s">
        <v>77</v>
      </c>
      <c r="L2677" s="2" t="s">
        <v>93</v>
      </c>
      <c r="M2677" s="2" t="s">
        <v>94</v>
      </c>
      <c r="N2677" s="2" t="s">
        <v>536</v>
      </c>
      <c r="O2677" s="2" t="s">
        <v>96</v>
      </c>
      <c r="P2677" s="2" t="str">
        <f>"2170530534                    "</f>
        <v xml:space="preserve">2170530534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3.32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1</v>
      </c>
      <c r="BJ2677" s="2">
        <v>0.2</v>
      </c>
      <c r="BK2677" s="2">
        <v>1</v>
      </c>
      <c r="BL2677" s="2">
        <v>40.76</v>
      </c>
      <c r="BM2677" s="2">
        <v>5.71</v>
      </c>
      <c r="BN2677" s="2">
        <v>46.47</v>
      </c>
      <c r="BO2677" s="2">
        <v>46.47</v>
      </c>
      <c r="BP2677" s="2"/>
      <c r="BQ2677" s="2" t="s">
        <v>537</v>
      </c>
      <c r="BR2677" s="2" t="s">
        <v>83</v>
      </c>
      <c r="BS2677" s="3">
        <v>42671</v>
      </c>
      <c r="BT2677" s="4">
        <v>0.4548611111111111</v>
      </c>
      <c r="BU2677" s="2" t="s">
        <v>2501</v>
      </c>
      <c r="BV2677" s="2" t="s">
        <v>85</v>
      </c>
      <c r="BW2677" s="2"/>
      <c r="BX2677" s="2"/>
      <c r="BY2677" s="2">
        <v>1200</v>
      </c>
      <c r="BZ2677" s="2" t="s">
        <v>27</v>
      </c>
      <c r="CA2677" s="2" t="s">
        <v>129</v>
      </c>
      <c r="CB2677" s="2"/>
      <c r="CC2677" s="2" t="s">
        <v>94</v>
      </c>
      <c r="CD2677" s="2">
        <v>4300</v>
      </c>
      <c r="CE2677" s="2" t="s">
        <v>108</v>
      </c>
      <c r="CF2677" s="5">
        <v>42675</v>
      </c>
      <c r="CG2677" s="2"/>
      <c r="CH2677" s="2"/>
      <c r="CI2677" s="2">
        <v>1</v>
      </c>
      <c r="CJ2677" s="2">
        <v>1</v>
      </c>
      <c r="CK2677" s="2">
        <v>21</v>
      </c>
      <c r="CL2677" s="2" t="s">
        <v>88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"FES1162509670"</f>
        <v>FES1162509670</v>
      </c>
      <c r="F2678" s="3">
        <v>42670</v>
      </c>
      <c r="G2678" s="2">
        <v>201704</v>
      </c>
      <c r="H2678" s="2" t="s">
        <v>74</v>
      </c>
      <c r="I2678" s="2" t="s">
        <v>75</v>
      </c>
      <c r="J2678" s="2" t="s">
        <v>76</v>
      </c>
      <c r="K2678" s="2" t="s">
        <v>77</v>
      </c>
      <c r="L2678" s="2" t="s">
        <v>93</v>
      </c>
      <c r="M2678" s="2" t="s">
        <v>94</v>
      </c>
      <c r="N2678" s="2" t="s">
        <v>2496</v>
      </c>
      <c r="O2678" s="2" t="s">
        <v>96</v>
      </c>
      <c r="P2678" s="2" t="str">
        <f>"2170530997                    "</f>
        <v xml:space="preserve">2170530997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3.32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</v>
      </c>
      <c r="BJ2678" s="2">
        <v>0.2</v>
      </c>
      <c r="BK2678" s="2">
        <v>1</v>
      </c>
      <c r="BL2678" s="2">
        <v>40.76</v>
      </c>
      <c r="BM2678" s="2">
        <v>5.71</v>
      </c>
      <c r="BN2678" s="2">
        <v>46.47</v>
      </c>
      <c r="BO2678" s="2">
        <v>46.47</v>
      </c>
      <c r="BP2678" s="2"/>
      <c r="BQ2678" s="2" t="s">
        <v>117</v>
      </c>
      <c r="BR2678" s="2" t="s">
        <v>83</v>
      </c>
      <c r="BS2678" s="3">
        <v>42671</v>
      </c>
      <c r="BT2678" s="4">
        <v>0.375</v>
      </c>
      <c r="BU2678" s="2" t="s">
        <v>1672</v>
      </c>
      <c r="BV2678" s="2" t="s">
        <v>85</v>
      </c>
      <c r="BW2678" s="2"/>
      <c r="BX2678" s="2"/>
      <c r="BY2678" s="2">
        <v>1200</v>
      </c>
      <c r="BZ2678" s="2" t="s">
        <v>27</v>
      </c>
      <c r="CA2678" s="2" t="s">
        <v>129</v>
      </c>
      <c r="CB2678" s="2"/>
      <c r="CC2678" s="2" t="s">
        <v>94</v>
      </c>
      <c r="CD2678" s="2">
        <v>4300</v>
      </c>
      <c r="CE2678" s="2" t="s">
        <v>108</v>
      </c>
      <c r="CF2678" s="5">
        <v>42675</v>
      </c>
      <c r="CG2678" s="2"/>
      <c r="CH2678" s="2"/>
      <c r="CI2678" s="2">
        <v>1</v>
      </c>
      <c r="CJ2678" s="2">
        <v>1</v>
      </c>
      <c r="CK2678" s="2">
        <v>21</v>
      </c>
      <c r="CL2678" s="2" t="s">
        <v>88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"FES1162509667"</f>
        <v>FES1162509667</v>
      </c>
      <c r="F2679" s="3">
        <v>42670</v>
      </c>
      <c r="G2679" s="2">
        <v>201704</v>
      </c>
      <c r="H2679" s="2" t="s">
        <v>74</v>
      </c>
      <c r="I2679" s="2" t="s">
        <v>75</v>
      </c>
      <c r="J2679" s="2" t="s">
        <v>76</v>
      </c>
      <c r="K2679" s="2" t="s">
        <v>77</v>
      </c>
      <c r="L2679" s="2" t="s">
        <v>148</v>
      </c>
      <c r="M2679" s="2" t="s">
        <v>149</v>
      </c>
      <c r="N2679" s="2" t="s">
        <v>663</v>
      </c>
      <c r="O2679" s="2" t="s">
        <v>96</v>
      </c>
      <c r="P2679" s="2" t="str">
        <f>"2170530791                    "</f>
        <v xml:space="preserve">2170530791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3.32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1</v>
      </c>
      <c r="BJ2679" s="2">
        <v>0.2</v>
      </c>
      <c r="BK2679" s="2">
        <v>1</v>
      </c>
      <c r="BL2679" s="2">
        <v>40.76</v>
      </c>
      <c r="BM2679" s="2">
        <v>5.71</v>
      </c>
      <c r="BN2679" s="2">
        <v>46.47</v>
      </c>
      <c r="BO2679" s="2">
        <v>46.47</v>
      </c>
      <c r="BP2679" s="2"/>
      <c r="BQ2679" s="2" t="s">
        <v>91</v>
      </c>
      <c r="BR2679" s="2" t="s">
        <v>83</v>
      </c>
      <c r="BS2679" s="3">
        <v>42671</v>
      </c>
      <c r="BT2679" s="4">
        <v>0.43402777777777773</v>
      </c>
      <c r="BU2679" s="2" t="s">
        <v>2502</v>
      </c>
      <c r="BV2679" s="2"/>
      <c r="BW2679" s="2"/>
      <c r="BX2679" s="2"/>
      <c r="BY2679" s="2">
        <v>1200</v>
      </c>
      <c r="BZ2679" s="2" t="s">
        <v>27</v>
      </c>
      <c r="CA2679" s="2"/>
      <c r="CB2679" s="2"/>
      <c r="CC2679" s="2" t="s">
        <v>149</v>
      </c>
      <c r="CD2679" s="2">
        <v>4001</v>
      </c>
      <c r="CE2679" s="2" t="s">
        <v>108</v>
      </c>
      <c r="CF2679" s="5">
        <v>42675</v>
      </c>
      <c r="CG2679" s="2"/>
      <c r="CH2679" s="2"/>
      <c r="CI2679" s="2">
        <v>0</v>
      </c>
      <c r="CJ2679" s="2">
        <v>0</v>
      </c>
      <c r="CK2679" s="2">
        <v>21</v>
      </c>
      <c r="CL2679" s="2" t="s">
        <v>88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"FES1162509807"</f>
        <v>FES1162509807</v>
      </c>
      <c r="F2680" s="3">
        <v>42670</v>
      </c>
      <c r="G2680" s="2">
        <v>201704</v>
      </c>
      <c r="H2680" s="2" t="s">
        <v>74</v>
      </c>
      <c r="I2680" s="2" t="s">
        <v>75</v>
      </c>
      <c r="J2680" s="2" t="s">
        <v>76</v>
      </c>
      <c r="K2680" s="2" t="s">
        <v>77</v>
      </c>
      <c r="L2680" s="2" t="s">
        <v>143</v>
      </c>
      <c r="M2680" s="2" t="s">
        <v>144</v>
      </c>
      <c r="N2680" s="2" t="s">
        <v>1101</v>
      </c>
      <c r="O2680" s="2" t="s">
        <v>96</v>
      </c>
      <c r="P2680" s="2" t="str">
        <f>"2170532973                    "</f>
        <v xml:space="preserve">2170532973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3.32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</v>
      </c>
      <c r="BJ2680" s="2">
        <v>0.2</v>
      </c>
      <c r="BK2680" s="2">
        <v>1</v>
      </c>
      <c r="BL2680" s="2">
        <v>40.76</v>
      </c>
      <c r="BM2680" s="2">
        <v>5.71</v>
      </c>
      <c r="BN2680" s="2">
        <v>46.47</v>
      </c>
      <c r="BO2680" s="2">
        <v>46.47</v>
      </c>
      <c r="BP2680" s="2"/>
      <c r="BQ2680" s="2" t="s">
        <v>1170</v>
      </c>
      <c r="BR2680" s="2" t="s">
        <v>83</v>
      </c>
      <c r="BS2680" s="3">
        <v>42671</v>
      </c>
      <c r="BT2680" s="4">
        <v>0.45833333333333331</v>
      </c>
      <c r="BU2680" s="2" t="s">
        <v>2503</v>
      </c>
      <c r="BV2680" s="2" t="s">
        <v>85</v>
      </c>
      <c r="BW2680" s="2"/>
      <c r="BX2680" s="2"/>
      <c r="BY2680" s="2">
        <v>1200</v>
      </c>
      <c r="BZ2680" s="2" t="s">
        <v>27</v>
      </c>
      <c r="CA2680" s="2"/>
      <c r="CB2680" s="2"/>
      <c r="CC2680" s="2" t="s">
        <v>144</v>
      </c>
      <c r="CD2680" s="2">
        <v>5247</v>
      </c>
      <c r="CE2680" s="2" t="s">
        <v>108</v>
      </c>
      <c r="CF2680" s="5">
        <v>42675</v>
      </c>
      <c r="CG2680" s="2"/>
      <c r="CH2680" s="2"/>
      <c r="CI2680" s="2">
        <v>1</v>
      </c>
      <c r="CJ2680" s="2">
        <v>1</v>
      </c>
      <c r="CK2680" s="2">
        <v>21</v>
      </c>
      <c r="CL2680" s="2" t="s">
        <v>88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"FES1162509802"</f>
        <v>FES1162509802</v>
      </c>
      <c r="F2681" s="3">
        <v>42670</v>
      </c>
      <c r="G2681" s="2">
        <v>201704</v>
      </c>
      <c r="H2681" s="2" t="s">
        <v>74</v>
      </c>
      <c r="I2681" s="2" t="s">
        <v>75</v>
      </c>
      <c r="J2681" s="2" t="s">
        <v>76</v>
      </c>
      <c r="K2681" s="2" t="s">
        <v>77</v>
      </c>
      <c r="L2681" s="2" t="s">
        <v>98</v>
      </c>
      <c r="M2681" s="2" t="s">
        <v>99</v>
      </c>
      <c r="N2681" s="2" t="s">
        <v>133</v>
      </c>
      <c r="O2681" s="2" t="s">
        <v>96</v>
      </c>
      <c r="P2681" s="2" t="str">
        <f>"2170532964                    "</f>
        <v xml:space="preserve">2170532964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3.32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1</v>
      </c>
      <c r="BJ2681" s="2">
        <v>0.2</v>
      </c>
      <c r="BK2681" s="2">
        <v>1</v>
      </c>
      <c r="BL2681" s="2">
        <v>40.76</v>
      </c>
      <c r="BM2681" s="2">
        <v>5.71</v>
      </c>
      <c r="BN2681" s="2">
        <v>46.47</v>
      </c>
      <c r="BO2681" s="2">
        <v>46.47</v>
      </c>
      <c r="BP2681" s="2"/>
      <c r="BQ2681" s="2" t="s">
        <v>134</v>
      </c>
      <c r="BR2681" s="2" t="s">
        <v>83</v>
      </c>
      <c r="BS2681" s="3">
        <v>42671</v>
      </c>
      <c r="BT2681" s="4">
        <v>0.35416666666666669</v>
      </c>
      <c r="BU2681" s="2" t="s">
        <v>2469</v>
      </c>
      <c r="BV2681" s="2" t="s">
        <v>85</v>
      </c>
      <c r="BW2681" s="2"/>
      <c r="BX2681" s="2"/>
      <c r="BY2681" s="2">
        <v>1200</v>
      </c>
      <c r="BZ2681" s="2" t="s">
        <v>27</v>
      </c>
      <c r="CA2681" s="2" t="s">
        <v>136</v>
      </c>
      <c r="CB2681" s="2"/>
      <c r="CC2681" s="2" t="s">
        <v>99</v>
      </c>
      <c r="CD2681" s="2">
        <v>6001</v>
      </c>
      <c r="CE2681" s="2" t="s">
        <v>108</v>
      </c>
      <c r="CF2681" s="5">
        <v>42671</v>
      </c>
      <c r="CG2681" s="2"/>
      <c r="CH2681" s="2"/>
      <c r="CI2681" s="2">
        <v>1</v>
      </c>
      <c r="CJ2681" s="2">
        <v>1</v>
      </c>
      <c r="CK2681" s="2">
        <v>21</v>
      </c>
      <c r="CL2681" s="2" t="s">
        <v>88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"FES1162509810"</f>
        <v>FES1162509810</v>
      </c>
      <c r="F2682" s="3">
        <v>42670</v>
      </c>
      <c r="G2682" s="2">
        <v>201704</v>
      </c>
      <c r="H2682" s="2" t="s">
        <v>74</v>
      </c>
      <c r="I2682" s="2" t="s">
        <v>75</v>
      </c>
      <c r="J2682" s="2" t="s">
        <v>76</v>
      </c>
      <c r="K2682" s="2" t="s">
        <v>77</v>
      </c>
      <c r="L2682" s="2" t="s">
        <v>98</v>
      </c>
      <c r="M2682" s="2" t="s">
        <v>99</v>
      </c>
      <c r="N2682" s="2" t="s">
        <v>109</v>
      </c>
      <c r="O2682" s="2" t="s">
        <v>96</v>
      </c>
      <c r="P2682" s="2" t="str">
        <f>"2170532977                    "</f>
        <v xml:space="preserve">2170532977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3.32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1</v>
      </c>
      <c r="BJ2682" s="2">
        <v>0.2</v>
      </c>
      <c r="BK2682" s="2">
        <v>1</v>
      </c>
      <c r="BL2682" s="2">
        <v>40.76</v>
      </c>
      <c r="BM2682" s="2">
        <v>5.71</v>
      </c>
      <c r="BN2682" s="2">
        <v>46.47</v>
      </c>
      <c r="BO2682" s="2">
        <v>46.47</v>
      </c>
      <c r="BP2682" s="2"/>
      <c r="BQ2682" s="2" t="s">
        <v>110</v>
      </c>
      <c r="BR2682" s="2" t="s">
        <v>83</v>
      </c>
      <c r="BS2682" s="3">
        <v>42671</v>
      </c>
      <c r="BT2682" s="4">
        <v>0.37847222222222227</v>
      </c>
      <c r="BU2682" s="2" t="s">
        <v>110</v>
      </c>
      <c r="BV2682" s="2" t="s">
        <v>85</v>
      </c>
      <c r="BW2682" s="2"/>
      <c r="BX2682" s="2"/>
      <c r="BY2682" s="2">
        <v>1200</v>
      </c>
      <c r="BZ2682" s="2" t="s">
        <v>27</v>
      </c>
      <c r="CA2682" s="2"/>
      <c r="CB2682" s="2"/>
      <c r="CC2682" s="2" t="s">
        <v>99</v>
      </c>
      <c r="CD2682" s="2">
        <v>6001</v>
      </c>
      <c r="CE2682" s="2" t="s">
        <v>108</v>
      </c>
      <c r="CF2682" s="5">
        <v>42674</v>
      </c>
      <c r="CG2682" s="2"/>
      <c r="CH2682" s="2"/>
      <c r="CI2682" s="2">
        <v>1</v>
      </c>
      <c r="CJ2682" s="2">
        <v>1</v>
      </c>
      <c r="CK2682" s="2">
        <v>21</v>
      </c>
      <c r="CL2682" s="2" t="s">
        <v>88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"FES1162509801"</f>
        <v>FES1162509801</v>
      </c>
      <c r="F2683" s="3">
        <v>42670</v>
      </c>
      <c r="G2683" s="2">
        <v>201704</v>
      </c>
      <c r="H2683" s="2" t="s">
        <v>74</v>
      </c>
      <c r="I2683" s="2" t="s">
        <v>75</v>
      </c>
      <c r="J2683" s="2" t="s">
        <v>76</v>
      </c>
      <c r="K2683" s="2" t="s">
        <v>77</v>
      </c>
      <c r="L2683" s="2" t="s">
        <v>98</v>
      </c>
      <c r="M2683" s="2" t="s">
        <v>99</v>
      </c>
      <c r="N2683" s="2" t="s">
        <v>133</v>
      </c>
      <c r="O2683" s="2" t="s">
        <v>96</v>
      </c>
      <c r="P2683" s="2" t="str">
        <f>"2170532962                    "</f>
        <v xml:space="preserve">2170532962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3.32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1.4</v>
      </c>
      <c r="BJ2683" s="2">
        <v>0.2</v>
      </c>
      <c r="BK2683" s="2">
        <v>1.5</v>
      </c>
      <c r="BL2683" s="2">
        <v>40.76</v>
      </c>
      <c r="BM2683" s="2">
        <v>5.71</v>
      </c>
      <c r="BN2683" s="2">
        <v>46.47</v>
      </c>
      <c r="BO2683" s="2">
        <v>46.47</v>
      </c>
      <c r="BP2683" s="2"/>
      <c r="BQ2683" s="2" t="s">
        <v>134</v>
      </c>
      <c r="BR2683" s="2" t="s">
        <v>83</v>
      </c>
      <c r="BS2683" s="3">
        <v>42671</v>
      </c>
      <c r="BT2683" s="4">
        <v>0.35416666666666669</v>
      </c>
      <c r="BU2683" s="2" t="s">
        <v>1325</v>
      </c>
      <c r="BV2683" s="2" t="s">
        <v>85</v>
      </c>
      <c r="BW2683" s="2"/>
      <c r="BX2683" s="2"/>
      <c r="BY2683" s="2">
        <v>1200</v>
      </c>
      <c r="BZ2683" s="2" t="s">
        <v>27</v>
      </c>
      <c r="CA2683" s="2" t="s">
        <v>129</v>
      </c>
      <c r="CB2683" s="2"/>
      <c r="CC2683" s="2" t="s">
        <v>99</v>
      </c>
      <c r="CD2683" s="2">
        <v>6001</v>
      </c>
      <c r="CE2683" s="2" t="s">
        <v>108</v>
      </c>
      <c r="CF2683" s="5">
        <v>42674</v>
      </c>
      <c r="CG2683" s="2"/>
      <c r="CH2683" s="2"/>
      <c r="CI2683" s="2">
        <v>1</v>
      </c>
      <c r="CJ2683" s="2">
        <v>1</v>
      </c>
      <c r="CK2683" s="2">
        <v>21</v>
      </c>
      <c r="CL2683" s="2" t="s">
        <v>88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"FES1162509805"</f>
        <v>FES1162509805</v>
      </c>
      <c r="F2684" s="3">
        <v>42670</v>
      </c>
      <c r="G2684" s="2">
        <v>201704</v>
      </c>
      <c r="H2684" s="2" t="s">
        <v>74</v>
      </c>
      <c r="I2684" s="2" t="s">
        <v>75</v>
      </c>
      <c r="J2684" s="2" t="s">
        <v>76</v>
      </c>
      <c r="K2684" s="2" t="s">
        <v>77</v>
      </c>
      <c r="L2684" s="2" t="s">
        <v>98</v>
      </c>
      <c r="M2684" s="2" t="s">
        <v>99</v>
      </c>
      <c r="N2684" s="2" t="s">
        <v>109</v>
      </c>
      <c r="O2684" s="2" t="s">
        <v>96</v>
      </c>
      <c r="P2684" s="2" t="str">
        <f>"2170528043                    "</f>
        <v xml:space="preserve">2170528043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3.32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1.4</v>
      </c>
      <c r="BJ2684" s="2">
        <v>0.2</v>
      </c>
      <c r="BK2684" s="2">
        <v>1.5</v>
      </c>
      <c r="BL2684" s="2">
        <v>40.76</v>
      </c>
      <c r="BM2684" s="2">
        <v>5.71</v>
      </c>
      <c r="BN2684" s="2">
        <v>46.47</v>
      </c>
      <c r="BO2684" s="2">
        <v>46.47</v>
      </c>
      <c r="BP2684" s="2"/>
      <c r="BQ2684" s="2" t="s">
        <v>110</v>
      </c>
      <c r="BR2684" s="2" t="s">
        <v>83</v>
      </c>
      <c r="BS2684" s="3">
        <v>42671</v>
      </c>
      <c r="BT2684" s="4">
        <v>0.37847222222222227</v>
      </c>
      <c r="BU2684" s="2" t="s">
        <v>2327</v>
      </c>
      <c r="BV2684" s="2" t="s">
        <v>85</v>
      </c>
      <c r="BW2684" s="2"/>
      <c r="BX2684" s="2"/>
      <c r="BY2684" s="2">
        <v>1200</v>
      </c>
      <c r="BZ2684" s="2" t="s">
        <v>27</v>
      </c>
      <c r="CA2684" s="2"/>
      <c r="CB2684" s="2"/>
      <c r="CC2684" s="2" t="s">
        <v>99</v>
      </c>
      <c r="CD2684" s="2">
        <v>6001</v>
      </c>
      <c r="CE2684" s="2" t="s">
        <v>108</v>
      </c>
      <c r="CF2684" s="5">
        <v>42674</v>
      </c>
      <c r="CG2684" s="2"/>
      <c r="CH2684" s="2"/>
      <c r="CI2684" s="2">
        <v>1</v>
      </c>
      <c r="CJ2684" s="2">
        <v>1</v>
      </c>
      <c r="CK2684" s="2">
        <v>21</v>
      </c>
      <c r="CL2684" s="2" t="s">
        <v>88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"FES1162509796"</f>
        <v>FES1162509796</v>
      </c>
      <c r="F2685" s="3">
        <v>42670</v>
      </c>
      <c r="G2685" s="2">
        <v>201704</v>
      </c>
      <c r="H2685" s="2" t="s">
        <v>74</v>
      </c>
      <c r="I2685" s="2" t="s">
        <v>75</v>
      </c>
      <c r="J2685" s="2" t="s">
        <v>76</v>
      </c>
      <c r="K2685" s="2" t="s">
        <v>77</v>
      </c>
      <c r="L2685" s="2" t="s">
        <v>143</v>
      </c>
      <c r="M2685" s="2" t="s">
        <v>144</v>
      </c>
      <c r="N2685" s="2" t="s">
        <v>239</v>
      </c>
      <c r="O2685" s="2" t="s">
        <v>96</v>
      </c>
      <c r="P2685" s="2" t="str">
        <f>"2170530808                    "</f>
        <v xml:space="preserve">2170530808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3.32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1</v>
      </c>
      <c r="BJ2685" s="2">
        <v>0.2</v>
      </c>
      <c r="BK2685" s="2">
        <v>1</v>
      </c>
      <c r="BL2685" s="2">
        <v>40.76</v>
      </c>
      <c r="BM2685" s="2">
        <v>5.71</v>
      </c>
      <c r="BN2685" s="2">
        <v>46.47</v>
      </c>
      <c r="BO2685" s="2">
        <v>46.47</v>
      </c>
      <c r="BP2685" s="2"/>
      <c r="BQ2685" s="2" t="s">
        <v>168</v>
      </c>
      <c r="BR2685" s="2" t="s">
        <v>83</v>
      </c>
      <c r="BS2685" s="3">
        <v>42671</v>
      </c>
      <c r="BT2685" s="4">
        <v>0.4375</v>
      </c>
      <c r="BU2685" s="2" t="s">
        <v>2062</v>
      </c>
      <c r="BV2685" s="2"/>
      <c r="BW2685" s="2"/>
      <c r="BX2685" s="2"/>
      <c r="BY2685" s="2">
        <v>1200</v>
      </c>
      <c r="BZ2685" s="2" t="s">
        <v>27</v>
      </c>
      <c r="CA2685" s="2"/>
      <c r="CB2685" s="2"/>
      <c r="CC2685" s="2" t="s">
        <v>144</v>
      </c>
      <c r="CD2685" s="2">
        <v>5201</v>
      </c>
      <c r="CE2685" s="2" t="s">
        <v>108</v>
      </c>
      <c r="CF2685" s="5">
        <v>42675</v>
      </c>
      <c r="CG2685" s="2"/>
      <c r="CH2685" s="2"/>
      <c r="CI2685" s="2">
        <v>0</v>
      </c>
      <c r="CJ2685" s="2">
        <v>0</v>
      </c>
      <c r="CK2685" s="2">
        <v>21</v>
      </c>
      <c r="CL2685" s="2" t="s">
        <v>88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"FES1162509770"</f>
        <v>FES1162509770</v>
      </c>
      <c r="F2686" s="3">
        <v>42670</v>
      </c>
      <c r="G2686" s="2">
        <v>201704</v>
      </c>
      <c r="H2686" s="2" t="s">
        <v>74</v>
      </c>
      <c r="I2686" s="2" t="s">
        <v>75</v>
      </c>
      <c r="J2686" s="2" t="s">
        <v>76</v>
      </c>
      <c r="K2686" s="2" t="s">
        <v>77</v>
      </c>
      <c r="L2686" s="2" t="s">
        <v>269</v>
      </c>
      <c r="M2686" s="2" t="s">
        <v>270</v>
      </c>
      <c r="N2686" s="2" t="s">
        <v>2467</v>
      </c>
      <c r="O2686" s="2" t="s">
        <v>96</v>
      </c>
      <c r="P2686" s="2" t="str">
        <f>"2170532924                    "</f>
        <v xml:space="preserve">2170532924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3.32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</v>
      </c>
      <c r="BJ2686" s="2">
        <v>0.2</v>
      </c>
      <c r="BK2686" s="2">
        <v>1</v>
      </c>
      <c r="BL2686" s="2">
        <v>40.76</v>
      </c>
      <c r="BM2686" s="2">
        <v>5.71</v>
      </c>
      <c r="BN2686" s="2">
        <v>46.47</v>
      </c>
      <c r="BO2686" s="2">
        <v>46.47</v>
      </c>
      <c r="BP2686" s="2"/>
      <c r="BQ2686" s="2"/>
      <c r="BR2686" s="2" t="s">
        <v>83</v>
      </c>
      <c r="BS2686" s="3">
        <v>42671</v>
      </c>
      <c r="BT2686" s="4">
        <v>0.41666666666666669</v>
      </c>
      <c r="BU2686" s="2" t="s">
        <v>2468</v>
      </c>
      <c r="BV2686" s="2" t="s">
        <v>85</v>
      </c>
      <c r="BW2686" s="2"/>
      <c r="BX2686" s="2"/>
      <c r="BY2686" s="2">
        <v>1200</v>
      </c>
      <c r="BZ2686" s="2" t="s">
        <v>27</v>
      </c>
      <c r="CA2686" s="2"/>
      <c r="CB2686" s="2"/>
      <c r="CC2686" s="2" t="s">
        <v>270</v>
      </c>
      <c r="CD2686" s="2">
        <v>3610</v>
      </c>
      <c r="CE2686" s="2" t="s">
        <v>108</v>
      </c>
      <c r="CF2686" s="5">
        <v>42675</v>
      </c>
      <c r="CG2686" s="2"/>
      <c r="CH2686" s="2"/>
      <c r="CI2686" s="2">
        <v>1</v>
      </c>
      <c r="CJ2686" s="2">
        <v>1</v>
      </c>
      <c r="CK2686" s="2">
        <v>21</v>
      </c>
      <c r="CL2686" s="2" t="s">
        <v>88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"FES1162509639"</f>
        <v>FES1162509639</v>
      </c>
      <c r="F2687" s="3">
        <v>42670</v>
      </c>
      <c r="G2687" s="2">
        <v>201704</v>
      </c>
      <c r="H2687" s="2" t="s">
        <v>74</v>
      </c>
      <c r="I2687" s="2" t="s">
        <v>75</v>
      </c>
      <c r="J2687" s="2" t="s">
        <v>76</v>
      </c>
      <c r="K2687" s="2" t="s">
        <v>77</v>
      </c>
      <c r="L2687" s="2" t="s">
        <v>253</v>
      </c>
      <c r="M2687" s="2" t="s">
        <v>254</v>
      </c>
      <c r="N2687" s="2" t="s">
        <v>255</v>
      </c>
      <c r="O2687" s="2" t="s">
        <v>96</v>
      </c>
      <c r="P2687" s="2" t="str">
        <f>"2170529474                    "</f>
        <v xml:space="preserve">2170529474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6.43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1</v>
      </c>
      <c r="BJ2687" s="2">
        <v>0.2</v>
      </c>
      <c r="BK2687" s="2">
        <v>1</v>
      </c>
      <c r="BL2687" s="2">
        <v>78.97</v>
      </c>
      <c r="BM2687" s="2">
        <v>11.06</v>
      </c>
      <c r="BN2687" s="2">
        <v>90.03</v>
      </c>
      <c r="BO2687" s="2">
        <v>90.03</v>
      </c>
      <c r="BP2687" s="2"/>
      <c r="BQ2687" s="2" t="s">
        <v>117</v>
      </c>
      <c r="BR2687" s="2" t="s">
        <v>83</v>
      </c>
      <c r="BS2687" s="3">
        <v>42671</v>
      </c>
      <c r="BT2687" s="4">
        <v>0.58333333333333337</v>
      </c>
      <c r="BU2687" s="2" t="s">
        <v>974</v>
      </c>
      <c r="BV2687" s="2" t="s">
        <v>85</v>
      </c>
      <c r="BW2687" s="2"/>
      <c r="BX2687" s="2"/>
      <c r="BY2687" s="2">
        <v>1200</v>
      </c>
      <c r="BZ2687" s="2" t="s">
        <v>27</v>
      </c>
      <c r="CA2687" s="2"/>
      <c r="CB2687" s="2"/>
      <c r="CC2687" s="2" t="s">
        <v>254</v>
      </c>
      <c r="CD2687" s="2">
        <v>3370</v>
      </c>
      <c r="CE2687" s="2" t="s">
        <v>108</v>
      </c>
      <c r="CF2687" s="5">
        <v>42676</v>
      </c>
      <c r="CG2687" s="2"/>
      <c r="CH2687" s="2"/>
      <c r="CI2687" s="2">
        <v>3</v>
      </c>
      <c r="CJ2687" s="2">
        <v>1</v>
      </c>
      <c r="CK2687" s="2">
        <v>23</v>
      </c>
      <c r="CL2687" s="2" t="s">
        <v>88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"FES1162509758"</f>
        <v>FES1162509758</v>
      </c>
      <c r="F2688" s="3">
        <v>42670</v>
      </c>
      <c r="G2688" s="2">
        <v>201704</v>
      </c>
      <c r="H2688" s="2" t="s">
        <v>74</v>
      </c>
      <c r="I2688" s="2" t="s">
        <v>75</v>
      </c>
      <c r="J2688" s="2" t="s">
        <v>76</v>
      </c>
      <c r="K2688" s="2" t="s">
        <v>77</v>
      </c>
      <c r="L2688" s="2" t="s">
        <v>148</v>
      </c>
      <c r="M2688" s="2" t="s">
        <v>149</v>
      </c>
      <c r="N2688" s="2" t="s">
        <v>762</v>
      </c>
      <c r="O2688" s="2" t="s">
        <v>96</v>
      </c>
      <c r="P2688" s="2" t="str">
        <f>"2170528517                    "</f>
        <v xml:space="preserve">2170528517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3.32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1</v>
      </c>
      <c r="BJ2688" s="2">
        <v>0.2</v>
      </c>
      <c r="BK2688" s="2">
        <v>1</v>
      </c>
      <c r="BL2688" s="2">
        <v>40.76</v>
      </c>
      <c r="BM2688" s="2">
        <v>5.71</v>
      </c>
      <c r="BN2688" s="2">
        <v>46.47</v>
      </c>
      <c r="BO2688" s="2">
        <v>46.47</v>
      </c>
      <c r="BP2688" s="2"/>
      <c r="BQ2688" s="2" t="s">
        <v>91</v>
      </c>
      <c r="BR2688" s="2" t="s">
        <v>83</v>
      </c>
      <c r="BS2688" s="3">
        <v>42671</v>
      </c>
      <c r="BT2688" s="4">
        <v>0.375</v>
      </c>
      <c r="BU2688" s="2" t="s">
        <v>2504</v>
      </c>
      <c r="BV2688" s="2" t="s">
        <v>85</v>
      </c>
      <c r="BW2688" s="2"/>
      <c r="BX2688" s="2"/>
      <c r="BY2688" s="2">
        <v>1200</v>
      </c>
      <c r="BZ2688" s="2" t="s">
        <v>27</v>
      </c>
      <c r="CA2688" s="2" t="s">
        <v>129</v>
      </c>
      <c r="CB2688" s="2"/>
      <c r="CC2688" s="2" t="s">
        <v>149</v>
      </c>
      <c r="CD2688" s="2">
        <v>4068</v>
      </c>
      <c r="CE2688" s="2" t="s">
        <v>108</v>
      </c>
      <c r="CF2688" s="5">
        <v>42675</v>
      </c>
      <c r="CG2688" s="2"/>
      <c r="CH2688" s="2"/>
      <c r="CI2688" s="2">
        <v>1</v>
      </c>
      <c r="CJ2688" s="2">
        <v>1</v>
      </c>
      <c r="CK2688" s="2">
        <v>21</v>
      </c>
      <c r="CL2688" s="2" t="s">
        <v>88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"FES1162509811"</f>
        <v>FES1162509811</v>
      </c>
      <c r="F2689" s="3">
        <v>42670</v>
      </c>
      <c r="G2689" s="2">
        <v>201704</v>
      </c>
      <c r="H2689" s="2" t="s">
        <v>74</v>
      </c>
      <c r="I2689" s="2" t="s">
        <v>75</v>
      </c>
      <c r="J2689" s="2" t="s">
        <v>76</v>
      </c>
      <c r="K2689" s="2" t="s">
        <v>77</v>
      </c>
      <c r="L2689" s="2" t="s">
        <v>98</v>
      </c>
      <c r="M2689" s="2" t="s">
        <v>99</v>
      </c>
      <c r="N2689" s="2" t="s">
        <v>109</v>
      </c>
      <c r="O2689" s="2" t="s">
        <v>96</v>
      </c>
      <c r="P2689" s="2" t="str">
        <f>"2170531105                    "</f>
        <v xml:space="preserve">2170531105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4.1500000000000004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2.5</v>
      </c>
      <c r="BJ2689" s="2">
        <v>0.2</v>
      </c>
      <c r="BK2689" s="2">
        <v>2.5</v>
      </c>
      <c r="BL2689" s="2">
        <v>50.95</v>
      </c>
      <c r="BM2689" s="2">
        <v>7.13</v>
      </c>
      <c r="BN2689" s="2">
        <v>58.08</v>
      </c>
      <c r="BO2689" s="2">
        <v>58.08</v>
      </c>
      <c r="BP2689" s="2"/>
      <c r="BQ2689" s="2" t="s">
        <v>110</v>
      </c>
      <c r="BR2689" s="2" t="s">
        <v>83</v>
      </c>
      <c r="BS2689" s="3">
        <v>42671</v>
      </c>
      <c r="BT2689" s="4">
        <v>0.37847222222222227</v>
      </c>
      <c r="BU2689" s="2" t="s">
        <v>110</v>
      </c>
      <c r="BV2689" s="2" t="s">
        <v>85</v>
      </c>
      <c r="BW2689" s="2"/>
      <c r="BX2689" s="2"/>
      <c r="BY2689" s="2">
        <v>1200</v>
      </c>
      <c r="BZ2689" s="2" t="s">
        <v>27</v>
      </c>
      <c r="CA2689" s="2"/>
      <c r="CB2689" s="2"/>
      <c r="CC2689" s="2" t="s">
        <v>99</v>
      </c>
      <c r="CD2689" s="2">
        <v>6001</v>
      </c>
      <c r="CE2689" s="2" t="s">
        <v>108</v>
      </c>
      <c r="CF2689" s="5">
        <v>42674</v>
      </c>
      <c r="CG2689" s="2"/>
      <c r="CH2689" s="2"/>
      <c r="CI2689" s="2">
        <v>1</v>
      </c>
      <c r="CJ2689" s="2">
        <v>1</v>
      </c>
      <c r="CK2689" s="2">
        <v>21</v>
      </c>
      <c r="CL2689" s="2" t="s">
        <v>88</v>
      </c>
      <c r="CM2689" s="2"/>
    </row>
    <row r="2690" spans="1:91">
      <c r="A2690" s="2" t="s">
        <v>71</v>
      </c>
      <c r="B2690" s="2" t="s">
        <v>72</v>
      </c>
      <c r="C2690" s="2" t="s">
        <v>73</v>
      </c>
      <c r="D2690" s="2"/>
      <c r="E2690" s="2" t="str">
        <f>"FES1162509804"</f>
        <v>FES1162509804</v>
      </c>
      <c r="F2690" s="3">
        <v>42670</v>
      </c>
      <c r="G2690" s="2">
        <v>201704</v>
      </c>
      <c r="H2690" s="2" t="s">
        <v>74</v>
      </c>
      <c r="I2690" s="2" t="s">
        <v>75</v>
      </c>
      <c r="J2690" s="2" t="s">
        <v>76</v>
      </c>
      <c r="K2690" s="2" t="s">
        <v>77</v>
      </c>
      <c r="L2690" s="2" t="s">
        <v>98</v>
      </c>
      <c r="M2690" s="2" t="s">
        <v>99</v>
      </c>
      <c r="N2690" s="2" t="s">
        <v>133</v>
      </c>
      <c r="O2690" s="2" t="s">
        <v>96</v>
      </c>
      <c r="P2690" s="2" t="str">
        <f>"2170532971                    "</f>
        <v xml:space="preserve">2170532971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3.32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1</v>
      </c>
      <c r="BJ2690" s="2">
        <v>0.2</v>
      </c>
      <c r="BK2690" s="2">
        <v>1</v>
      </c>
      <c r="BL2690" s="2">
        <v>40.76</v>
      </c>
      <c r="BM2690" s="2">
        <v>5.71</v>
      </c>
      <c r="BN2690" s="2">
        <v>46.47</v>
      </c>
      <c r="BO2690" s="2">
        <v>46.47</v>
      </c>
      <c r="BP2690" s="2"/>
      <c r="BQ2690" s="2" t="s">
        <v>134</v>
      </c>
      <c r="BR2690" s="2" t="s">
        <v>83</v>
      </c>
      <c r="BS2690" s="3">
        <v>42671</v>
      </c>
      <c r="BT2690" s="4">
        <v>0.35416666666666669</v>
      </c>
      <c r="BU2690" s="2" t="s">
        <v>1325</v>
      </c>
      <c r="BV2690" s="2" t="s">
        <v>85</v>
      </c>
      <c r="BW2690" s="2"/>
      <c r="BX2690" s="2"/>
      <c r="BY2690" s="2">
        <v>1200</v>
      </c>
      <c r="BZ2690" s="2" t="s">
        <v>27</v>
      </c>
      <c r="CA2690" s="2" t="s">
        <v>129</v>
      </c>
      <c r="CB2690" s="2"/>
      <c r="CC2690" s="2" t="s">
        <v>99</v>
      </c>
      <c r="CD2690" s="2">
        <v>6001</v>
      </c>
      <c r="CE2690" s="2" t="s">
        <v>108</v>
      </c>
      <c r="CF2690" s="5">
        <v>42674</v>
      </c>
      <c r="CG2690" s="2"/>
      <c r="CH2690" s="2"/>
      <c r="CI2690" s="2">
        <v>1</v>
      </c>
      <c r="CJ2690" s="2">
        <v>1</v>
      </c>
      <c r="CK2690" s="2">
        <v>21</v>
      </c>
      <c r="CL2690" s="2" t="s">
        <v>88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"FES1162509824"</f>
        <v>FES1162509824</v>
      </c>
      <c r="F2691" s="3">
        <v>42670</v>
      </c>
      <c r="G2691" s="2">
        <v>201704</v>
      </c>
      <c r="H2691" s="2" t="s">
        <v>74</v>
      </c>
      <c r="I2691" s="2" t="s">
        <v>75</v>
      </c>
      <c r="J2691" s="2" t="s">
        <v>76</v>
      </c>
      <c r="K2691" s="2" t="s">
        <v>77</v>
      </c>
      <c r="L2691" s="2" t="s">
        <v>98</v>
      </c>
      <c r="M2691" s="2" t="s">
        <v>99</v>
      </c>
      <c r="N2691" s="2" t="s">
        <v>133</v>
      </c>
      <c r="O2691" s="2" t="s">
        <v>96</v>
      </c>
      <c r="P2691" s="2" t="str">
        <f>"2170532985                    "</f>
        <v xml:space="preserve">2170532985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3.32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</v>
      </c>
      <c r="BJ2691" s="2">
        <v>0.2</v>
      </c>
      <c r="BK2691" s="2">
        <v>1</v>
      </c>
      <c r="BL2691" s="2">
        <v>40.76</v>
      </c>
      <c r="BM2691" s="2">
        <v>5.71</v>
      </c>
      <c r="BN2691" s="2">
        <v>46.47</v>
      </c>
      <c r="BO2691" s="2">
        <v>46.47</v>
      </c>
      <c r="BP2691" s="2"/>
      <c r="BQ2691" s="2" t="s">
        <v>134</v>
      </c>
      <c r="BR2691" s="2" t="s">
        <v>83</v>
      </c>
      <c r="BS2691" s="3">
        <v>42671</v>
      </c>
      <c r="BT2691" s="4">
        <v>0.35416666666666669</v>
      </c>
      <c r="BU2691" s="2" t="s">
        <v>2469</v>
      </c>
      <c r="BV2691" s="2" t="s">
        <v>85</v>
      </c>
      <c r="BW2691" s="2"/>
      <c r="BX2691" s="2"/>
      <c r="BY2691" s="2">
        <v>1200</v>
      </c>
      <c r="BZ2691" s="2" t="s">
        <v>27</v>
      </c>
      <c r="CA2691" s="2" t="s">
        <v>136</v>
      </c>
      <c r="CB2691" s="2"/>
      <c r="CC2691" s="2" t="s">
        <v>99</v>
      </c>
      <c r="CD2691" s="2">
        <v>6001</v>
      </c>
      <c r="CE2691" s="2" t="s">
        <v>108</v>
      </c>
      <c r="CF2691" s="5">
        <v>42671</v>
      </c>
      <c r="CG2691" s="2"/>
      <c r="CH2691" s="2"/>
      <c r="CI2691" s="2">
        <v>1</v>
      </c>
      <c r="CJ2691" s="2">
        <v>1</v>
      </c>
      <c r="CK2691" s="2">
        <v>21</v>
      </c>
      <c r="CL2691" s="2" t="s">
        <v>88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"FES1162509821"</f>
        <v>FES1162509821</v>
      </c>
      <c r="F2692" s="3">
        <v>42670</v>
      </c>
      <c r="G2692" s="2">
        <v>201704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98</v>
      </c>
      <c r="M2692" s="2" t="s">
        <v>99</v>
      </c>
      <c r="N2692" s="2" t="s">
        <v>109</v>
      </c>
      <c r="O2692" s="2" t="s">
        <v>96</v>
      </c>
      <c r="P2692" s="2" t="str">
        <f>"2170532981                    "</f>
        <v xml:space="preserve">2170532981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3.32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1</v>
      </c>
      <c r="BJ2692" s="2">
        <v>0.2</v>
      </c>
      <c r="BK2692" s="2">
        <v>1</v>
      </c>
      <c r="BL2692" s="2">
        <v>40.76</v>
      </c>
      <c r="BM2692" s="2">
        <v>5.71</v>
      </c>
      <c r="BN2692" s="2">
        <v>46.47</v>
      </c>
      <c r="BO2692" s="2">
        <v>46.47</v>
      </c>
      <c r="BP2692" s="2"/>
      <c r="BQ2692" s="2" t="s">
        <v>110</v>
      </c>
      <c r="BR2692" s="2" t="s">
        <v>83</v>
      </c>
      <c r="BS2692" s="3">
        <v>42671</v>
      </c>
      <c r="BT2692" s="4">
        <v>0.37847222222222227</v>
      </c>
      <c r="BU2692" s="2" t="s">
        <v>110</v>
      </c>
      <c r="BV2692" s="2" t="s">
        <v>85</v>
      </c>
      <c r="BW2692" s="2"/>
      <c r="BX2692" s="2"/>
      <c r="BY2692" s="2">
        <v>1200</v>
      </c>
      <c r="BZ2692" s="2" t="s">
        <v>27</v>
      </c>
      <c r="CA2692" s="2"/>
      <c r="CB2692" s="2"/>
      <c r="CC2692" s="2" t="s">
        <v>99</v>
      </c>
      <c r="CD2692" s="2">
        <v>6001</v>
      </c>
      <c r="CE2692" s="2" t="s">
        <v>108</v>
      </c>
      <c r="CF2692" s="5">
        <v>42674</v>
      </c>
      <c r="CG2692" s="2"/>
      <c r="CH2692" s="2"/>
      <c r="CI2692" s="2">
        <v>1</v>
      </c>
      <c r="CJ2692" s="2">
        <v>1</v>
      </c>
      <c r="CK2692" s="2">
        <v>21</v>
      </c>
      <c r="CL2692" s="2" t="s">
        <v>88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"FES1162499610"</f>
        <v>FES1162499610</v>
      </c>
      <c r="F2693" s="3">
        <v>42670</v>
      </c>
      <c r="G2693" s="2">
        <v>201704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269</v>
      </c>
      <c r="M2693" s="2" t="s">
        <v>270</v>
      </c>
      <c r="N2693" s="2" t="s">
        <v>2165</v>
      </c>
      <c r="O2693" s="2" t="s">
        <v>96</v>
      </c>
      <c r="P2693" s="2" t="str">
        <f>"2170523729                    "</f>
        <v xml:space="preserve">2170523729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3.32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1</v>
      </c>
      <c r="BJ2693" s="2">
        <v>0.2</v>
      </c>
      <c r="BK2693" s="2">
        <v>1</v>
      </c>
      <c r="BL2693" s="2">
        <v>40.76</v>
      </c>
      <c r="BM2693" s="2">
        <v>5.71</v>
      </c>
      <c r="BN2693" s="2">
        <v>46.47</v>
      </c>
      <c r="BO2693" s="2">
        <v>46.47</v>
      </c>
      <c r="BP2693" s="2"/>
      <c r="BQ2693" s="2" t="s">
        <v>91</v>
      </c>
      <c r="BR2693" s="2" t="s">
        <v>83</v>
      </c>
      <c r="BS2693" s="3">
        <v>42671</v>
      </c>
      <c r="BT2693" s="4">
        <v>0.42777777777777781</v>
      </c>
      <c r="BU2693" s="2" t="s">
        <v>2505</v>
      </c>
      <c r="BV2693" s="2" t="s">
        <v>85</v>
      </c>
      <c r="BW2693" s="2"/>
      <c r="BX2693" s="2"/>
      <c r="BY2693" s="2">
        <v>1200</v>
      </c>
      <c r="BZ2693" s="2" t="s">
        <v>27</v>
      </c>
      <c r="CA2693" s="2"/>
      <c r="CB2693" s="2"/>
      <c r="CC2693" s="2" t="s">
        <v>270</v>
      </c>
      <c r="CD2693" s="2">
        <v>3610</v>
      </c>
      <c r="CE2693" s="2" t="s">
        <v>108</v>
      </c>
      <c r="CF2693" s="5">
        <v>42675</v>
      </c>
      <c r="CG2693" s="2"/>
      <c r="CH2693" s="2"/>
      <c r="CI2693" s="2">
        <v>1</v>
      </c>
      <c r="CJ2693" s="2">
        <v>1</v>
      </c>
      <c r="CK2693" s="2">
        <v>21</v>
      </c>
      <c r="CL2693" s="2" t="s">
        <v>88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"FES1162509895"</f>
        <v>FES1162509895</v>
      </c>
      <c r="F2694" s="3">
        <v>42670</v>
      </c>
      <c r="G2694" s="2">
        <v>201704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98</v>
      </c>
      <c r="M2694" s="2" t="s">
        <v>99</v>
      </c>
      <c r="N2694" s="2" t="s">
        <v>340</v>
      </c>
      <c r="O2694" s="2" t="s">
        <v>96</v>
      </c>
      <c r="P2694" s="2" t="str">
        <f>"2170533050                    "</f>
        <v xml:space="preserve">2170533050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3.32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40.76</v>
      </c>
      <c r="BM2694" s="2">
        <v>5.71</v>
      </c>
      <c r="BN2694" s="2">
        <v>46.47</v>
      </c>
      <c r="BO2694" s="2">
        <v>46.47</v>
      </c>
      <c r="BP2694" s="2"/>
      <c r="BQ2694" s="2" t="s">
        <v>341</v>
      </c>
      <c r="BR2694" s="2" t="s">
        <v>83</v>
      </c>
      <c r="BS2694" s="3">
        <v>42671</v>
      </c>
      <c r="BT2694" s="4">
        <v>0.43263888888888885</v>
      </c>
      <c r="BU2694" s="2" t="s">
        <v>2506</v>
      </c>
      <c r="BV2694" s="2" t="s">
        <v>85</v>
      </c>
      <c r="BW2694" s="2"/>
      <c r="BX2694" s="2"/>
      <c r="BY2694" s="2">
        <v>1200</v>
      </c>
      <c r="BZ2694" s="2" t="s">
        <v>27</v>
      </c>
      <c r="CA2694" s="2"/>
      <c r="CB2694" s="2"/>
      <c r="CC2694" s="2" t="s">
        <v>99</v>
      </c>
      <c r="CD2694" s="2">
        <v>6012</v>
      </c>
      <c r="CE2694" s="2" t="s">
        <v>108</v>
      </c>
      <c r="CF2694" s="5">
        <v>42674</v>
      </c>
      <c r="CG2694" s="2"/>
      <c r="CH2694" s="2"/>
      <c r="CI2694" s="2">
        <v>1</v>
      </c>
      <c r="CJ2694" s="2">
        <v>1</v>
      </c>
      <c r="CK2694" s="2">
        <v>21</v>
      </c>
      <c r="CL2694" s="2" t="s">
        <v>88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"FES1162509842"</f>
        <v>FES1162509842</v>
      </c>
      <c r="F2695" s="3">
        <v>42670</v>
      </c>
      <c r="G2695" s="2">
        <v>201704</v>
      </c>
      <c r="H2695" s="2" t="s">
        <v>74</v>
      </c>
      <c r="I2695" s="2" t="s">
        <v>75</v>
      </c>
      <c r="J2695" s="2" t="s">
        <v>76</v>
      </c>
      <c r="K2695" s="2" t="s">
        <v>77</v>
      </c>
      <c r="L2695" s="2" t="s">
        <v>93</v>
      </c>
      <c r="M2695" s="2" t="s">
        <v>94</v>
      </c>
      <c r="N2695" s="2" t="s">
        <v>536</v>
      </c>
      <c r="O2695" s="2" t="s">
        <v>96</v>
      </c>
      <c r="P2695" s="2" t="str">
        <f>"2170532994                    "</f>
        <v xml:space="preserve">2170532994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3.32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</v>
      </c>
      <c r="BJ2695" s="2">
        <v>0.2</v>
      </c>
      <c r="BK2695" s="2">
        <v>1</v>
      </c>
      <c r="BL2695" s="2">
        <v>40.76</v>
      </c>
      <c r="BM2695" s="2">
        <v>5.71</v>
      </c>
      <c r="BN2695" s="2">
        <v>46.47</v>
      </c>
      <c r="BO2695" s="2">
        <v>46.47</v>
      </c>
      <c r="BP2695" s="2"/>
      <c r="BQ2695" s="2" t="s">
        <v>537</v>
      </c>
      <c r="BR2695" s="2" t="s">
        <v>83</v>
      </c>
      <c r="BS2695" s="3">
        <v>42671</v>
      </c>
      <c r="BT2695" s="4">
        <v>0.4548611111111111</v>
      </c>
      <c r="BU2695" s="2" t="s">
        <v>2501</v>
      </c>
      <c r="BV2695" s="2" t="s">
        <v>85</v>
      </c>
      <c r="BW2695" s="2"/>
      <c r="BX2695" s="2"/>
      <c r="BY2695" s="2">
        <v>1200</v>
      </c>
      <c r="BZ2695" s="2" t="s">
        <v>27</v>
      </c>
      <c r="CA2695" s="2" t="s">
        <v>129</v>
      </c>
      <c r="CB2695" s="2"/>
      <c r="CC2695" s="2" t="s">
        <v>94</v>
      </c>
      <c r="CD2695" s="2">
        <v>4300</v>
      </c>
      <c r="CE2695" s="2" t="s">
        <v>108</v>
      </c>
      <c r="CF2695" s="5">
        <v>42675</v>
      </c>
      <c r="CG2695" s="2"/>
      <c r="CH2695" s="2"/>
      <c r="CI2695" s="2">
        <v>1</v>
      </c>
      <c r="CJ2695" s="2">
        <v>1</v>
      </c>
      <c r="CK2695" s="2">
        <v>21</v>
      </c>
      <c r="CL2695" s="2" t="s">
        <v>88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"FES1162509707"</f>
        <v>FES1162509707</v>
      </c>
      <c r="F2696" s="3">
        <v>42670</v>
      </c>
      <c r="G2696" s="2">
        <v>201704</v>
      </c>
      <c r="H2696" s="2" t="s">
        <v>74</v>
      </c>
      <c r="I2696" s="2" t="s">
        <v>75</v>
      </c>
      <c r="J2696" s="2" t="s">
        <v>76</v>
      </c>
      <c r="K2696" s="2" t="s">
        <v>77</v>
      </c>
      <c r="L2696" s="2" t="s">
        <v>153</v>
      </c>
      <c r="M2696" s="2" t="s">
        <v>153</v>
      </c>
      <c r="N2696" s="2" t="s">
        <v>343</v>
      </c>
      <c r="O2696" s="2" t="s">
        <v>96</v>
      </c>
      <c r="P2696" s="2" t="str">
        <f>"2170532853                    "</f>
        <v xml:space="preserve">2170532853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10.78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6.5</v>
      </c>
      <c r="BJ2696" s="2">
        <v>5.5</v>
      </c>
      <c r="BK2696" s="2">
        <v>6.5</v>
      </c>
      <c r="BL2696" s="2">
        <v>132.46</v>
      </c>
      <c r="BM2696" s="2">
        <v>18.54</v>
      </c>
      <c r="BN2696" s="2">
        <v>151</v>
      </c>
      <c r="BO2696" s="2">
        <v>151</v>
      </c>
      <c r="BP2696" s="2"/>
      <c r="BQ2696" s="2" t="s">
        <v>344</v>
      </c>
      <c r="BR2696" s="2" t="s">
        <v>83</v>
      </c>
      <c r="BS2696" s="3">
        <v>42671</v>
      </c>
      <c r="BT2696" s="4">
        <v>0.52777777777777779</v>
      </c>
      <c r="BU2696" s="2" t="s">
        <v>720</v>
      </c>
      <c r="BV2696" s="2" t="s">
        <v>85</v>
      </c>
      <c r="BW2696" s="2"/>
      <c r="BX2696" s="2"/>
      <c r="BY2696" s="2">
        <v>27257.96</v>
      </c>
      <c r="BZ2696" s="2" t="s">
        <v>27</v>
      </c>
      <c r="CA2696" s="2"/>
      <c r="CB2696" s="2"/>
      <c r="CC2696" s="2" t="s">
        <v>153</v>
      </c>
      <c r="CD2696" s="2">
        <v>7646</v>
      </c>
      <c r="CE2696" s="2" t="s">
        <v>86</v>
      </c>
      <c r="CF2696" s="5">
        <v>42674</v>
      </c>
      <c r="CG2696" s="2"/>
      <c r="CH2696" s="2"/>
      <c r="CI2696" s="2">
        <v>1</v>
      </c>
      <c r="CJ2696" s="2">
        <v>1</v>
      </c>
      <c r="CK2696" s="2">
        <v>21</v>
      </c>
      <c r="CL2696" s="2" t="s">
        <v>88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"FES1162509871"</f>
        <v>FES1162509871</v>
      </c>
      <c r="F2697" s="3">
        <v>42670</v>
      </c>
      <c r="G2697" s="2">
        <v>201704</v>
      </c>
      <c r="H2697" s="2" t="s">
        <v>74</v>
      </c>
      <c r="I2697" s="2" t="s">
        <v>75</v>
      </c>
      <c r="J2697" s="2" t="s">
        <v>76</v>
      </c>
      <c r="K2697" s="2" t="s">
        <v>77</v>
      </c>
      <c r="L2697" s="2" t="s">
        <v>160</v>
      </c>
      <c r="M2697" s="2" t="s">
        <v>161</v>
      </c>
      <c r="N2697" s="2" t="s">
        <v>1334</v>
      </c>
      <c r="O2697" s="2" t="s">
        <v>96</v>
      </c>
      <c r="P2697" s="2" t="str">
        <f>"2170531150                    "</f>
        <v xml:space="preserve">2170531150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25.71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10.8</v>
      </c>
      <c r="BJ2697" s="2">
        <v>15.3</v>
      </c>
      <c r="BK2697" s="2">
        <v>15.5</v>
      </c>
      <c r="BL2697" s="2">
        <v>315.87</v>
      </c>
      <c r="BM2697" s="2">
        <v>44.22</v>
      </c>
      <c r="BN2697" s="2">
        <v>360.09</v>
      </c>
      <c r="BO2697" s="2">
        <v>360.09</v>
      </c>
      <c r="BP2697" s="2"/>
      <c r="BQ2697" s="2" t="s">
        <v>1335</v>
      </c>
      <c r="BR2697" s="2" t="s">
        <v>83</v>
      </c>
      <c r="BS2697" s="3">
        <v>42671</v>
      </c>
      <c r="BT2697" s="4">
        <v>0.40902777777777777</v>
      </c>
      <c r="BU2697" s="2" t="s">
        <v>2507</v>
      </c>
      <c r="BV2697" s="2" t="s">
        <v>85</v>
      </c>
      <c r="BW2697" s="2"/>
      <c r="BX2697" s="2"/>
      <c r="BY2697" s="2">
        <v>76269.990000000005</v>
      </c>
      <c r="BZ2697" s="2" t="s">
        <v>27</v>
      </c>
      <c r="CA2697" s="2"/>
      <c r="CB2697" s="2"/>
      <c r="CC2697" s="2" t="s">
        <v>161</v>
      </c>
      <c r="CD2697" s="2">
        <v>7560</v>
      </c>
      <c r="CE2697" s="2" t="s">
        <v>86</v>
      </c>
      <c r="CF2697" s="5">
        <v>42674</v>
      </c>
      <c r="CG2697" s="2"/>
      <c r="CH2697" s="2"/>
      <c r="CI2697" s="2">
        <v>1</v>
      </c>
      <c r="CJ2697" s="2">
        <v>1</v>
      </c>
      <c r="CK2697" s="2">
        <v>21</v>
      </c>
      <c r="CL2697" s="2" t="s">
        <v>88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"FES1162509916"</f>
        <v>FES1162509916</v>
      </c>
      <c r="F2698" s="3">
        <v>42670</v>
      </c>
      <c r="G2698" s="2">
        <v>201704</v>
      </c>
      <c r="H2698" s="2" t="s">
        <v>74</v>
      </c>
      <c r="I2698" s="2" t="s">
        <v>75</v>
      </c>
      <c r="J2698" s="2" t="s">
        <v>76</v>
      </c>
      <c r="K2698" s="2" t="s">
        <v>77</v>
      </c>
      <c r="L2698" s="2" t="s">
        <v>98</v>
      </c>
      <c r="M2698" s="2" t="s">
        <v>99</v>
      </c>
      <c r="N2698" s="2" t="s">
        <v>133</v>
      </c>
      <c r="O2698" s="2" t="s">
        <v>96</v>
      </c>
      <c r="P2698" s="2" t="str">
        <f>"2170532963                    "</f>
        <v xml:space="preserve">2170532963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15.76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9.5</v>
      </c>
      <c r="BJ2698" s="2">
        <v>3.3</v>
      </c>
      <c r="BK2698" s="2">
        <v>9.5</v>
      </c>
      <c r="BL2698" s="2">
        <v>193.6</v>
      </c>
      <c r="BM2698" s="2">
        <v>27.1</v>
      </c>
      <c r="BN2698" s="2">
        <v>220.7</v>
      </c>
      <c r="BO2698" s="2">
        <v>220.7</v>
      </c>
      <c r="BP2698" s="2"/>
      <c r="BQ2698" s="2" t="s">
        <v>134</v>
      </c>
      <c r="BR2698" s="2" t="s">
        <v>83</v>
      </c>
      <c r="BS2698" s="3">
        <v>42677</v>
      </c>
      <c r="BT2698" s="4">
        <v>0.55555555555555558</v>
      </c>
      <c r="BU2698" s="2" t="s">
        <v>2508</v>
      </c>
      <c r="BV2698" s="2" t="s">
        <v>88</v>
      </c>
      <c r="BW2698" s="2" t="s">
        <v>222</v>
      </c>
      <c r="BX2698" s="2" t="s">
        <v>2509</v>
      </c>
      <c r="BY2698" s="2">
        <v>16471.060000000001</v>
      </c>
      <c r="BZ2698" s="2" t="s">
        <v>27</v>
      </c>
      <c r="CA2698" s="2"/>
      <c r="CB2698" s="2"/>
      <c r="CC2698" s="2" t="s">
        <v>99</v>
      </c>
      <c r="CD2698" s="2">
        <v>6001</v>
      </c>
      <c r="CE2698" s="2" t="s">
        <v>86</v>
      </c>
      <c r="CF2698" s="2"/>
      <c r="CG2698" s="2"/>
      <c r="CH2698" s="2"/>
      <c r="CI2698" s="2">
        <v>1</v>
      </c>
      <c r="CJ2698" s="2">
        <v>5</v>
      </c>
      <c r="CK2698" s="2">
        <v>21</v>
      </c>
      <c r="CL2698" s="2" t="s">
        <v>88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"FES1162509806"</f>
        <v>FES1162509806</v>
      </c>
      <c r="F2699" s="3">
        <v>42670</v>
      </c>
      <c r="G2699" s="2">
        <v>201704</v>
      </c>
      <c r="H2699" s="2" t="s">
        <v>74</v>
      </c>
      <c r="I2699" s="2" t="s">
        <v>75</v>
      </c>
      <c r="J2699" s="2" t="s">
        <v>76</v>
      </c>
      <c r="K2699" s="2" t="s">
        <v>77</v>
      </c>
      <c r="L2699" s="2" t="s">
        <v>269</v>
      </c>
      <c r="M2699" s="2" t="s">
        <v>270</v>
      </c>
      <c r="N2699" s="2" t="s">
        <v>1720</v>
      </c>
      <c r="O2699" s="2" t="s">
        <v>96</v>
      </c>
      <c r="P2699" s="2" t="str">
        <f>"2170532950                    "</f>
        <v xml:space="preserve">2170532950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3.32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2</v>
      </c>
      <c r="BJ2699" s="2">
        <v>0.2</v>
      </c>
      <c r="BK2699" s="2">
        <v>2</v>
      </c>
      <c r="BL2699" s="2">
        <v>40.76</v>
      </c>
      <c r="BM2699" s="2">
        <v>5.71</v>
      </c>
      <c r="BN2699" s="2">
        <v>46.47</v>
      </c>
      <c r="BO2699" s="2">
        <v>46.47</v>
      </c>
      <c r="BP2699" s="2"/>
      <c r="BQ2699" s="2" t="s">
        <v>91</v>
      </c>
      <c r="BR2699" s="2" t="s">
        <v>83</v>
      </c>
      <c r="BS2699" s="3">
        <v>42671</v>
      </c>
      <c r="BT2699" s="4">
        <v>0.41666666666666669</v>
      </c>
      <c r="BU2699" s="2" t="s">
        <v>1786</v>
      </c>
      <c r="BV2699" s="2" t="s">
        <v>85</v>
      </c>
      <c r="BW2699" s="2"/>
      <c r="BX2699" s="2"/>
      <c r="BY2699" s="2">
        <v>1200</v>
      </c>
      <c r="BZ2699" s="2" t="s">
        <v>27</v>
      </c>
      <c r="CA2699" s="2"/>
      <c r="CB2699" s="2"/>
      <c r="CC2699" s="2" t="s">
        <v>270</v>
      </c>
      <c r="CD2699" s="2">
        <v>3610</v>
      </c>
      <c r="CE2699" s="2" t="s">
        <v>108</v>
      </c>
      <c r="CF2699" s="5">
        <v>42675</v>
      </c>
      <c r="CG2699" s="2"/>
      <c r="CH2699" s="2"/>
      <c r="CI2699" s="2">
        <v>1</v>
      </c>
      <c r="CJ2699" s="2">
        <v>1</v>
      </c>
      <c r="CK2699" s="2">
        <v>21</v>
      </c>
      <c r="CL2699" s="2" t="s">
        <v>88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"FES1162509908"</f>
        <v>FES1162509908</v>
      </c>
      <c r="F2700" s="3">
        <v>42670</v>
      </c>
      <c r="G2700" s="2">
        <v>201704</v>
      </c>
      <c r="H2700" s="2" t="s">
        <v>74</v>
      </c>
      <c r="I2700" s="2" t="s">
        <v>75</v>
      </c>
      <c r="J2700" s="2" t="s">
        <v>76</v>
      </c>
      <c r="K2700" s="2" t="s">
        <v>77</v>
      </c>
      <c r="L2700" s="2" t="s">
        <v>98</v>
      </c>
      <c r="M2700" s="2" t="s">
        <v>99</v>
      </c>
      <c r="N2700" s="2" t="s">
        <v>340</v>
      </c>
      <c r="O2700" s="2" t="s">
        <v>96</v>
      </c>
      <c r="P2700" s="2" t="str">
        <f>"2170533067                    "</f>
        <v xml:space="preserve">2170533067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5.81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1.9</v>
      </c>
      <c r="BJ2700" s="2">
        <v>3.3</v>
      </c>
      <c r="BK2700" s="2">
        <v>3.5</v>
      </c>
      <c r="BL2700" s="2">
        <v>71.33</v>
      </c>
      <c r="BM2700" s="2">
        <v>9.99</v>
      </c>
      <c r="BN2700" s="2">
        <v>81.319999999999993</v>
      </c>
      <c r="BO2700" s="2">
        <v>81.319999999999993</v>
      </c>
      <c r="BP2700" s="2"/>
      <c r="BQ2700" s="2" t="s">
        <v>341</v>
      </c>
      <c r="BR2700" s="2" t="s">
        <v>83</v>
      </c>
      <c r="BS2700" s="3">
        <v>42671</v>
      </c>
      <c r="BT2700" s="4">
        <v>0.43263888888888885</v>
      </c>
      <c r="BU2700" s="2" t="s">
        <v>2506</v>
      </c>
      <c r="BV2700" s="2" t="s">
        <v>85</v>
      </c>
      <c r="BW2700" s="2"/>
      <c r="BX2700" s="2"/>
      <c r="BY2700" s="2">
        <v>16321.36</v>
      </c>
      <c r="BZ2700" s="2" t="s">
        <v>27</v>
      </c>
      <c r="CA2700" s="2"/>
      <c r="CB2700" s="2"/>
      <c r="CC2700" s="2" t="s">
        <v>99</v>
      </c>
      <c r="CD2700" s="2">
        <v>6012</v>
      </c>
      <c r="CE2700" s="2" t="s">
        <v>86</v>
      </c>
      <c r="CF2700" s="5">
        <v>42674</v>
      </c>
      <c r="CG2700" s="2"/>
      <c r="CH2700" s="2"/>
      <c r="CI2700" s="2">
        <v>1</v>
      </c>
      <c r="CJ2700" s="2">
        <v>1</v>
      </c>
      <c r="CK2700" s="2">
        <v>21</v>
      </c>
      <c r="CL2700" s="2" t="s">
        <v>88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"FES1162509779"</f>
        <v>FES1162509779</v>
      </c>
      <c r="F2701" s="3">
        <v>42670</v>
      </c>
      <c r="G2701" s="2">
        <v>201704</v>
      </c>
      <c r="H2701" s="2" t="s">
        <v>74</v>
      </c>
      <c r="I2701" s="2" t="s">
        <v>75</v>
      </c>
      <c r="J2701" s="2" t="s">
        <v>76</v>
      </c>
      <c r="K2701" s="2" t="s">
        <v>77</v>
      </c>
      <c r="L2701" s="2" t="s">
        <v>269</v>
      </c>
      <c r="M2701" s="2" t="s">
        <v>270</v>
      </c>
      <c r="N2701" s="2" t="s">
        <v>299</v>
      </c>
      <c r="O2701" s="2" t="s">
        <v>96</v>
      </c>
      <c r="P2701" s="2" t="str">
        <f>"2170532939                    "</f>
        <v xml:space="preserve">2170532939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3.32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2</v>
      </c>
      <c r="BJ2701" s="2">
        <v>0.2</v>
      </c>
      <c r="BK2701" s="2">
        <v>2</v>
      </c>
      <c r="BL2701" s="2">
        <v>40.76</v>
      </c>
      <c r="BM2701" s="2">
        <v>5.71</v>
      </c>
      <c r="BN2701" s="2">
        <v>46.47</v>
      </c>
      <c r="BO2701" s="2">
        <v>46.47</v>
      </c>
      <c r="BP2701" s="2"/>
      <c r="BQ2701" s="2" t="s">
        <v>300</v>
      </c>
      <c r="BR2701" s="2" t="s">
        <v>83</v>
      </c>
      <c r="BS2701" s="3">
        <v>42671</v>
      </c>
      <c r="BT2701" s="4">
        <v>0.33333333333333331</v>
      </c>
      <c r="BU2701" s="2" t="s">
        <v>2510</v>
      </c>
      <c r="BV2701" s="2" t="s">
        <v>85</v>
      </c>
      <c r="BW2701" s="2"/>
      <c r="BX2701" s="2"/>
      <c r="BY2701" s="2">
        <v>1200</v>
      </c>
      <c r="BZ2701" s="2" t="s">
        <v>27</v>
      </c>
      <c r="CA2701" s="2"/>
      <c r="CB2701" s="2"/>
      <c r="CC2701" s="2" t="s">
        <v>270</v>
      </c>
      <c r="CD2701" s="2">
        <v>3610</v>
      </c>
      <c r="CE2701" s="2" t="s">
        <v>108</v>
      </c>
      <c r="CF2701" s="5">
        <v>42675</v>
      </c>
      <c r="CG2701" s="2"/>
      <c r="CH2701" s="2"/>
      <c r="CI2701" s="2">
        <v>1</v>
      </c>
      <c r="CJ2701" s="2">
        <v>1</v>
      </c>
      <c r="CK2701" s="2">
        <v>21</v>
      </c>
      <c r="CL2701" s="2" t="s">
        <v>88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"FES1162509838"</f>
        <v>FES1162509838</v>
      </c>
      <c r="F2702" s="3">
        <v>42670</v>
      </c>
      <c r="G2702" s="2">
        <v>201704</v>
      </c>
      <c r="H2702" s="2" t="s">
        <v>74</v>
      </c>
      <c r="I2702" s="2" t="s">
        <v>75</v>
      </c>
      <c r="J2702" s="2" t="s">
        <v>76</v>
      </c>
      <c r="K2702" s="2" t="s">
        <v>77</v>
      </c>
      <c r="L2702" s="2" t="s">
        <v>143</v>
      </c>
      <c r="M2702" s="2" t="s">
        <v>144</v>
      </c>
      <c r="N2702" s="2" t="s">
        <v>317</v>
      </c>
      <c r="O2702" s="2" t="s">
        <v>96</v>
      </c>
      <c r="P2702" s="2" t="str">
        <f>"2170530994                    "</f>
        <v xml:space="preserve">2170530994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5.81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3.2</v>
      </c>
      <c r="BJ2702" s="2">
        <v>3.4</v>
      </c>
      <c r="BK2702" s="2">
        <v>3.5</v>
      </c>
      <c r="BL2702" s="2">
        <v>71.33</v>
      </c>
      <c r="BM2702" s="2">
        <v>9.99</v>
      </c>
      <c r="BN2702" s="2">
        <v>81.319999999999993</v>
      </c>
      <c r="BO2702" s="2">
        <v>81.319999999999993</v>
      </c>
      <c r="BP2702" s="2"/>
      <c r="BQ2702" s="2" t="s">
        <v>318</v>
      </c>
      <c r="BR2702" s="2" t="s">
        <v>83</v>
      </c>
      <c r="BS2702" s="3">
        <v>42671</v>
      </c>
      <c r="BT2702" s="4">
        <v>0.41666666666666669</v>
      </c>
      <c r="BU2702" s="2" t="s">
        <v>1801</v>
      </c>
      <c r="BV2702" s="2"/>
      <c r="BW2702" s="2"/>
      <c r="BX2702" s="2"/>
      <c r="BY2702" s="2">
        <v>16999.080000000002</v>
      </c>
      <c r="BZ2702" s="2" t="s">
        <v>27</v>
      </c>
      <c r="CA2702" s="2"/>
      <c r="CB2702" s="2"/>
      <c r="CC2702" s="2" t="s">
        <v>144</v>
      </c>
      <c r="CD2702" s="2">
        <v>5200</v>
      </c>
      <c r="CE2702" s="2" t="s">
        <v>86</v>
      </c>
      <c r="CF2702" s="5">
        <v>42675</v>
      </c>
      <c r="CG2702" s="2"/>
      <c r="CH2702" s="2"/>
      <c r="CI2702" s="2">
        <v>0</v>
      </c>
      <c r="CJ2702" s="2">
        <v>0</v>
      </c>
      <c r="CK2702" s="2">
        <v>21</v>
      </c>
      <c r="CL2702" s="2" t="s">
        <v>88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"FES1162509896"</f>
        <v>FES1162509896</v>
      </c>
      <c r="F2703" s="3">
        <v>42670</v>
      </c>
      <c r="G2703" s="2">
        <v>201704</v>
      </c>
      <c r="H2703" s="2" t="s">
        <v>74</v>
      </c>
      <c r="I2703" s="2" t="s">
        <v>75</v>
      </c>
      <c r="J2703" s="2" t="s">
        <v>76</v>
      </c>
      <c r="K2703" s="2" t="s">
        <v>77</v>
      </c>
      <c r="L2703" s="2" t="s">
        <v>148</v>
      </c>
      <c r="M2703" s="2" t="s">
        <v>149</v>
      </c>
      <c r="N2703" s="2" t="s">
        <v>1541</v>
      </c>
      <c r="O2703" s="2" t="s">
        <v>96</v>
      </c>
      <c r="P2703" s="2" t="str">
        <f>"2170533051                    "</f>
        <v xml:space="preserve">2170533051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3.32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1</v>
      </c>
      <c r="BJ2703" s="2">
        <v>0.2</v>
      </c>
      <c r="BK2703" s="2">
        <v>1</v>
      </c>
      <c r="BL2703" s="2">
        <v>40.76</v>
      </c>
      <c r="BM2703" s="2">
        <v>5.71</v>
      </c>
      <c r="BN2703" s="2">
        <v>46.47</v>
      </c>
      <c r="BO2703" s="2">
        <v>46.47</v>
      </c>
      <c r="BP2703" s="2"/>
      <c r="BQ2703" s="2" t="s">
        <v>91</v>
      </c>
      <c r="BR2703" s="2" t="s">
        <v>83</v>
      </c>
      <c r="BS2703" s="3">
        <v>42671</v>
      </c>
      <c r="BT2703" s="4">
        <v>0.41666666666666669</v>
      </c>
      <c r="BU2703" s="2" t="s">
        <v>2511</v>
      </c>
      <c r="BV2703" s="2" t="s">
        <v>85</v>
      </c>
      <c r="BW2703" s="2"/>
      <c r="BX2703" s="2"/>
      <c r="BY2703" s="2">
        <v>1200</v>
      </c>
      <c r="BZ2703" s="2" t="s">
        <v>27</v>
      </c>
      <c r="CA2703" s="2" t="s">
        <v>129</v>
      </c>
      <c r="CB2703" s="2"/>
      <c r="CC2703" s="2" t="s">
        <v>149</v>
      </c>
      <c r="CD2703" s="2">
        <v>4052</v>
      </c>
      <c r="CE2703" s="2" t="s">
        <v>108</v>
      </c>
      <c r="CF2703" s="5">
        <v>42675</v>
      </c>
      <c r="CG2703" s="2"/>
      <c r="CH2703" s="2"/>
      <c r="CI2703" s="2">
        <v>1</v>
      </c>
      <c r="CJ2703" s="2">
        <v>1</v>
      </c>
      <c r="CK2703" s="2">
        <v>21</v>
      </c>
      <c r="CL2703" s="2" t="s">
        <v>88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"FES1162509853"</f>
        <v>FES1162509853</v>
      </c>
      <c r="F2704" s="3">
        <v>42670</v>
      </c>
      <c r="G2704" s="2">
        <v>201704</v>
      </c>
      <c r="H2704" s="2" t="s">
        <v>74</v>
      </c>
      <c r="I2704" s="2" t="s">
        <v>75</v>
      </c>
      <c r="J2704" s="2" t="s">
        <v>76</v>
      </c>
      <c r="K2704" s="2" t="s">
        <v>77</v>
      </c>
      <c r="L2704" s="2" t="s">
        <v>119</v>
      </c>
      <c r="M2704" s="2" t="s">
        <v>120</v>
      </c>
      <c r="N2704" s="2" t="s">
        <v>1258</v>
      </c>
      <c r="O2704" s="2" t="s">
        <v>96</v>
      </c>
      <c r="P2704" s="2" t="str">
        <f>"2170531149                    "</f>
        <v xml:space="preserve">2170531149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3.32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</v>
      </c>
      <c r="BJ2704" s="2">
        <v>0.2</v>
      </c>
      <c r="BK2704" s="2">
        <v>1</v>
      </c>
      <c r="BL2704" s="2">
        <v>40.76</v>
      </c>
      <c r="BM2704" s="2">
        <v>5.71</v>
      </c>
      <c r="BN2704" s="2">
        <v>46.47</v>
      </c>
      <c r="BO2704" s="2">
        <v>46.47</v>
      </c>
      <c r="BP2704" s="2"/>
      <c r="BQ2704" s="2" t="s">
        <v>1259</v>
      </c>
      <c r="BR2704" s="2" t="s">
        <v>83</v>
      </c>
      <c r="BS2704" s="3">
        <v>42671</v>
      </c>
      <c r="BT2704" s="4">
        <v>0.39930555555555558</v>
      </c>
      <c r="BU2704" s="2" t="s">
        <v>2512</v>
      </c>
      <c r="BV2704" s="2" t="s">
        <v>85</v>
      </c>
      <c r="BW2704" s="2"/>
      <c r="BX2704" s="2"/>
      <c r="BY2704" s="2">
        <v>1200</v>
      </c>
      <c r="BZ2704" s="2" t="s">
        <v>27</v>
      </c>
      <c r="CA2704" s="2"/>
      <c r="CB2704" s="2"/>
      <c r="CC2704" s="2" t="s">
        <v>120</v>
      </c>
      <c r="CD2704" s="2">
        <v>6229</v>
      </c>
      <c r="CE2704" s="2" t="s">
        <v>108</v>
      </c>
      <c r="CF2704" s="5">
        <v>42674</v>
      </c>
      <c r="CG2704" s="2"/>
      <c r="CH2704" s="2"/>
      <c r="CI2704" s="2">
        <v>1</v>
      </c>
      <c r="CJ2704" s="2">
        <v>1</v>
      </c>
      <c r="CK2704" s="2">
        <v>21</v>
      </c>
      <c r="CL2704" s="2" t="s">
        <v>88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"FES1162509865"</f>
        <v>FES1162509865</v>
      </c>
      <c r="F2705" s="3">
        <v>42670</v>
      </c>
      <c r="G2705" s="2">
        <v>201704</v>
      </c>
      <c r="H2705" s="2" t="s">
        <v>74</v>
      </c>
      <c r="I2705" s="2" t="s">
        <v>75</v>
      </c>
      <c r="J2705" s="2" t="s">
        <v>76</v>
      </c>
      <c r="K2705" s="2" t="s">
        <v>77</v>
      </c>
      <c r="L2705" s="2" t="s">
        <v>614</v>
      </c>
      <c r="M2705" s="2" t="s">
        <v>615</v>
      </c>
      <c r="N2705" s="2" t="s">
        <v>1946</v>
      </c>
      <c r="O2705" s="2" t="s">
        <v>96</v>
      </c>
      <c r="P2705" s="2" t="str">
        <f>"2170533023                    "</f>
        <v xml:space="preserve">2170533023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3.32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</v>
      </c>
      <c r="BJ2705" s="2">
        <v>0.2</v>
      </c>
      <c r="BK2705" s="2">
        <v>1</v>
      </c>
      <c r="BL2705" s="2">
        <v>40.76</v>
      </c>
      <c r="BM2705" s="2">
        <v>5.71</v>
      </c>
      <c r="BN2705" s="2">
        <v>46.47</v>
      </c>
      <c r="BO2705" s="2">
        <v>46.47</v>
      </c>
      <c r="BP2705" s="2"/>
      <c r="BQ2705" s="2" t="s">
        <v>1947</v>
      </c>
      <c r="BR2705" s="2" t="s">
        <v>83</v>
      </c>
      <c r="BS2705" s="3">
        <v>42671</v>
      </c>
      <c r="BT2705" s="4">
        <v>0.41666666666666669</v>
      </c>
      <c r="BU2705" s="2" t="s">
        <v>2513</v>
      </c>
      <c r="BV2705" s="2" t="s">
        <v>85</v>
      </c>
      <c r="BW2705" s="2"/>
      <c r="BX2705" s="2"/>
      <c r="BY2705" s="2">
        <v>1200</v>
      </c>
      <c r="BZ2705" s="2" t="s">
        <v>27</v>
      </c>
      <c r="CA2705" s="2"/>
      <c r="CB2705" s="2"/>
      <c r="CC2705" s="2" t="s">
        <v>615</v>
      </c>
      <c r="CD2705" s="2">
        <v>4026</v>
      </c>
      <c r="CE2705" s="2" t="s">
        <v>108</v>
      </c>
      <c r="CF2705" s="5">
        <v>42675</v>
      </c>
      <c r="CG2705" s="2"/>
      <c r="CH2705" s="2"/>
      <c r="CI2705" s="2">
        <v>1</v>
      </c>
      <c r="CJ2705" s="2">
        <v>1</v>
      </c>
      <c r="CK2705" s="2">
        <v>21</v>
      </c>
      <c r="CL2705" s="2" t="s">
        <v>88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"FES1162509831"</f>
        <v>FES1162509831</v>
      </c>
      <c r="F2706" s="3">
        <v>42670</v>
      </c>
      <c r="G2706" s="2">
        <v>201704</v>
      </c>
      <c r="H2706" s="2" t="s">
        <v>74</v>
      </c>
      <c r="I2706" s="2" t="s">
        <v>75</v>
      </c>
      <c r="J2706" s="2" t="s">
        <v>76</v>
      </c>
      <c r="K2706" s="2" t="s">
        <v>77</v>
      </c>
      <c r="L2706" s="2" t="s">
        <v>148</v>
      </c>
      <c r="M2706" s="2" t="s">
        <v>149</v>
      </c>
      <c r="N2706" s="2" t="s">
        <v>2244</v>
      </c>
      <c r="O2706" s="2" t="s">
        <v>96</v>
      </c>
      <c r="P2706" s="2" t="str">
        <f>"2170532970                    "</f>
        <v xml:space="preserve">2170532970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3.32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0.9</v>
      </c>
      <c r="BJ2706" s="2">
        <v>0.9</v>
      </c>
      <c r="BK2706" s="2">
        <v>1</v>
      </c>
      <c r="BL2706" s="2">
        <v>40.76</v>
      </c>
      <c r="BM2706" s="2">
        <v>5.71</v>
      </c>
      <c r="BN2706" s="2">
        <v>46.47</v>
      </c>
      <c r="BO2706" s="2">
        <v>46.47</v>
      </c>
      <c r="BP2706" s="2"/>
      <c r="BQ2706" s="2" t="s">
        <v>91</v>
      </c>
      <c r="BR2706" s="2" t="s">
        <v>83</v>
      </c>
      <c r="BS2706" s="3">
        <v>42671</v>
      </c>
      <c r="BT2706" s="4">
        <v>0.42708333333333331</v>
      </c>
      <c r="BU2706" s="2" t="s">
        <v>2514</v>
      </c>
      <c r="BV2706" s="2" t="s">
        <v>85</v>
      </c>
      <c r="BW2706" s="2"/>
      <c r="BX2706" s="2"/>
      <c r="BY2706" s="2">
        <v>4528.1899999999996</v>
      </c>
      <c r="BZ2706" s="2" t="s">
        <v>27</v>
      </c>
      <c r="CA2706" s="2"/>
      <c r="CB2706" s="2"/>
      <c r="CC2706" s="2" t="s">
        <v>149</v>
      </c>
      <c r="CD2706" s="2">
        <v>4064</v>
      </c>
      <c r="CE2706" s="2" t="s">
        <v>86</v>
      </c>
      <c r="CF2706" s="5">
        <v>42675</v>
      </c>
      <c r="CG2706" s="2"/>
      <c r="CH2706" s="2"/>
      <c r="CI2706" s="2">
        <v>1</v>
      </c>
      <c r="CJ2706" s="2">
        <v>1</v>
      </c>
      <c r="CK2706" s="2">
        <v>21</v>
      </c>
      <c r="CL2706" s="2" t="s">
        <v>88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"FES1162509829"</f>
        <v>FES1162509829</v>
      </c>
      <c r="F2707" s="3">
        <v>42670</v>
      </c>
      <c r="G2707" s="2">
        <v>201704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143</v>
      </c>
      <c r="M2707" s="2" t="s">
        <v>144</v>
      </c>
      <c r="N2707" s="2" t="s">
        <v>273</v>
      </c>
      <c r="O2707" s="2" t="s">
        <v>96</v>
      </c>
      <c r="P2707" s="2" t="str">
        <f>"2170530831                    "</f>
        <v xml:space="preserve">2170530831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3.32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</v>
      </c>
      <c r="BJ2707" s="2">
        <v>0.2</v>
      </c>
      <c r="BK2707" s="2">
        <v>1</v>
      </c>
      <c r="BL2707" s="2">
        <v>40.76</v>
      </c>
      <c r="BM2707" s="2">
        <v>5.71</v>
      </c>
      <c r="BN2707" s="2">
        <v>46.47</v>
      </c>
      <c r="BO2707" s="2">
        <v>46.47</v>
      </c>
      <c r="BP2707" s="2"/>
      <c r="BQ2707" s="2" t="s">
        <v>274</v>
      </c>
      <c r="BR2707" s="2" t="s">
        <v>83</v>
      </c>
      <c r="BS2707" s="3">
        <v>42671</v>
      </c>
      <c r="BT2707" s="4">
        <v>0.41666666666666669</v>
      </c>
      <c r="BU2707" s="2" t="s">
        <v>2481</v>
      </c>
      <c r="BV2707" s="2" t="s">
        <v>85</v>
      </c>
      <c r="BW2707" s="2"/>
      <c r="BX2707" s="2"/>
      <c r="BY2707" s="2">
        <v>1200</v>
      </c>
      <c r="BZ2707" s="2" t="s">
        <v>27</v>
      </c>
      <c r="CA2707" s="2"/>
      <c r="CB2707" s="2"/>
      <c r="CC2707" s="2" t="s">
        <v>144</v>
      </c>
      <c r="CD2707" s="2">
        <v>5201</v>
      </c>
      <c r="CE2707" s="2" t="s">
        <v>108</v>
      </c>
      <c r="CF2707" s="5">
        <v>42675</v>
      </c>
      <c r="CG2707" s="2"/>
      <c r="CH2707" s="2"/>
      <c r="CI2707" s="2">
        <v>1</v>
      </c>
      <c r="CJ2707" s="2">
        <v>1</v>
      </c>
      <c r="CK2707" s="2">
        <v>21</v>
      </c>
      <c r="CL2707" s="2" t="s">
        <v>88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"FES1162509814"</f>
        <v>FES1162509814</v>
      </c>
      <c r="F2708" s="3">
        <v>42670</v>
      </c>
      <c r="G2708" s="2">
        <v>201704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98</v>
      </c>
      <c r="M2708" s="2" t="s">
        <v>99</v>
      </c>
      <c r="N2708" s="2" t="s">
        <v>109</v>
      </c>
      <c r="O2708" s="2" t="s">
        <v>96</v>
      </c>
      <c r="P2708" s="2" t="str">
        <f>"2170531066                    "</f>
        <v xml:space="preserve">2170531066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29.03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17.100000000000001</v>
      </c>
      <c r="BJ2708" s="2">
        <v>3.8</v>
      </c>
      <c r="BK2708" s="2">
        <v>17.5</v>
      </c>
      <c r="BL2708" s="2">
        <v>356.63</v>
      </c>
      <c r="BM2708" s="2">
        <v>49.93</v>
      </c>
      <c r="BN2708" s="2">
        <v>406.56</v>
      </c>
      <c r="BO2708" s="2">
        <v>406.56</v>
      </c>
      <c r="BP2708" s="2"/>
      <c r="BQ2708" s="2" t="s">
        <v>110</v>
      </c>
      <c r="BR2708" s="2" t="s">
        <v>83</v>
      </c>
      <c r="BS2708" s="3">
        <v>42671</v>
      </c>
      <c r="BT2708" s="4">
        <v>0.37847222222222227</v>
      </c>
      <c r="BU2708" s="2" t="s">
        <v>2327</v>
      </c>
      <c r="BV2708" s="2" t="s">
        <v>85</v>
      </c>
      <c r="BW2708" s="2"/>
      <c r="BX2708" s="2"/>
      <c r="BY2708" s="2">
        <v>18902.900000000001</v>
      </c>
      <c r="BZ2708" s="2" t="s">
        <v>27</v>
      </c>
      <c r="CA2708" s="2"/>
      <c r="CB2708" s="2"/>
      <c r="CC2708" s="2" t="s">
        <v>99</v>
      </c>
      <c r="CD2708" s="2">
        <v>6001</v>
      </c>
      <c r="CE2708" s="2" t="s">
        <v>86</v>
      </c>
      <c r="CF2708" s="5">
        <v>42674</v>
      </c>
      <c r="CG2708" s="2"/>
      <c r="CH2708" s="2"/>
      <c r="CI2708" s="2">
        <v>1</v>
      </c>
      <c r="CJ2708" s="2">
        <v>1</v>
      </c>
      <c r="CK2708" s="2">
        <v>21</v>
      </c>
      <c r="CL2708" s="2" t="s">
        <v>88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"FES1162509798"</f>
        <v>FES1162509798</v>
      </c>
      <c r="F2709" s="3">
        <v>42670</v>
      </c>
      <c r="G2709" s="2">
        <v>201704</v>
      </c>
      <c r="H2709" s="2" t="s">
        <v>74</v>
      </c>
      <c r="I2709" s="2" t="s">
        <v>75</v>
      </c>
      <c r="J2709" s="2" t="s">
        <v>76</v>
      </c>
      <c r="K2709" s="2" t="s">
        <v>77</v>
      </c>
      <c r="L2709" s="2" t="s">
        <v>148</v>
      </c>
      <c r="M2709" s="2" t="s">
        <v>149</v>
      </c>
      <c r="N2709" s="2" t="s">
        <v>296</v>
      </c>
      <c r="O2709" s="2" t="s">
        <v>96</v>
      </c>
      <c r="P2709" s="2" t="str">
        <f>"2170532944                    "</f>
        <v xml:space="preserve">2170532944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15.76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4.7</v>
      </c>
      <c r="BJ2709" s="2">
        <v>9.3000000000000007</v>
      </c>
      <c r="BK2709" s="2">
        <v>9.5</v>
      </c>
      <c r="BL2709" s="2">
        <v>193.6</v>
      </c>
      <c r="BM2709" s="2">
        <v>27.1</v>
      </c>
      <c r="BN2709" s="2">
        <v>220.7</v>
      </c>
      <c r="BO2709" s="2">
        <v>220.7</v>
      </c>
      <c r="BP2709" s="2"/>
      <c r="BQ2709" s="2" t="s">
        <v>168</v>
      </c>
      <c r="BR2709" s="2" t="s">
        <v>83</v>
      </c>
      <c r="BS2709" s="3">
        <v>42671</v>
      </c>
      <c r="BT2709" s="4">
        <v>0.39583333333333331</v>
      </c>
      <c r="BU2709" s="2" t="s">
        <v>431</v>
      </c>
      <c r="BV2709" s="2" t="s">
        <v>85</v>
      </c>
      <c r="BW2709" s="2"/>
      <c r="BX2709" s="2"/>
      <c r="BY2709" s="2">
        <v>46324.01</v>
      </c>
      <c r="BZ2709" s="2" t="s">
        <v>27</v>
      </c>
      <c r="CA2709" s="2"/>
      <c r="CB2709" s="2"/>
      <c r="CC2709" s="2" t="s">
        <v>149</v>
      </c>
      <c r="CD2709" s="2">
        <v>4001</v>
      </c>
      <c r="CE2709" s="2" t="s">
        <v>86</v>
      </c>
      <c r="CF2709" s="5">
        <v>42675</v>
      </c>
      <c r="CG2709" s="2"/>
      <c r="CH2709" s="2"/>
      <c r="CI2709" s="2">
        <v>1</v>
      </c>
      <c r="CJ2709" s="2">
        <v>1</v>
      </c>
      <c r="CK2709" s="2">
        <v>21</v>
      </c>
      <c r="CL2709" s="2" t="s">
        <v>88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"FES1162509745"</f>
        <v>FES1162509745</v>
      </c>
      <c r="F2710" s="3">
        <v>42670</v>
      </c>
      <c r="G2710" s="2">
        <v>201704</v>
      </c>
      <c r="H2710" s="2" t="s">
        <v>74</v>
      </c>
      <c r="I2710" s="2" t="s">
        <v>75</v>
      </c>
      <c r="J2710" s="2" t="s">
        <v>76</v>
      </c>
      <c r="K2710" s="2" t="s">
        <v>77</v>
      </c>
      <c r="L2710" s="2" t="s">
        <v>286</v>
      </c>
      <c r="M2710" s="2" t="s">
        <v>287</v>
      </c>
      <c r="N2710" s="2" t="s">
        <v>1475</v>
      </c>
      <c r="O2710" s="2" t="s">
        <v>81</v>
      </c>
      <c r="P2710" s="2" t="str">
        <f>"2170532882                    "</f>
        <v xml:space="preserve">2170532882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6.22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7</v>
      </c>
      <c r="BJ2710" s="2">
        <v>2.2999999999999998</v>
      </c>
      <c r="BK2710" s="2">
        <v>7</v>
      </c>
      <c r="BL2710" s="2">
        <v>81.42</v>
      </c>
      <c r="BM2710" s="2">
        <v>11.4</v>
      </c>
      <c r="BN2710" s="2">
        <v>92.82</v>
      </c>
      <c r="BO2710" s="2">
        <v>92.82</v>
      </c>
      <c r="BP2710" s="2"/>
      <c r="BQ2710" s="2" t="s">
        <v>91</v>
      </c>
      <c r="BR2710" s="2" t="s">
        <v>83</v>
      </c>
      <c r="BS2710" s="3">
        <v>42671</v>
      </c>
      <c r="BT2710" s="4">
        <v>0.41666666666666669</v>
      </c>
      <c r="BU2710" s="2" t="s">
        <v>1999</v>
      </c>
      <c r="BV2710" s="2" t="s">
        <v>85</v>
      </c>
      <c r="BW2710" s="2"/>
      <c r="BX2710" s="2"/>
      <c r="BY2710" s="2">
        <v>11505</v>
      </c>
      <c r="BZ2710" s="2"/>
      <c r="CA2710" s="2"/>
      <c r="CB2710" s="2"/>
      <c r="CC2710" s="2" t="s">
        <v>287</v>
      </c>
      <c r="CD2710" s="2">
        <v>1947</v>
      </c>
      <c r="CE2710" s="2" t="s">
        <v>86</v>
      </c>
      <c r="CF2710" s="5">
        <v>42675</v>
      </c>
      <c r="CG2710" s="2"/>
      <c r="CH2710" s="2"/>
      <c r="CI2710" s="2">
        <v>1</v>
      </c>
      <c r="CJ2710" s="2">
        <v>1</v>
      </c>
      <c r="CK2710" s="2" t="s">
        <v>366</v>
      </c>
      <c r="CL2710" s="2" t="s">
        <v>88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"FES1162509715"</f>
        <v>FES1162509715</v>
      </c>
      <c r="F2711" s="3">
        <v>42670</v>
      </c>
      <c r="G2711" s="2">
        <v>201704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377</v>
      </c>
      <c r="M2711" s="2" t="s">
        <v>378</v>
      </c>
      <c r="N2711" s="2" t="s">
        <v>379</v>
      </c>
      <c r="O2711" s="2" t="s">
        <v>81</v>
      </c>
      <c r="P2711" s="2" t="str">
        <f>"2170532863                    "</f>
        <v xml:space="preserve">2170532863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10.47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20</v>
      </c>
      <c r="BJ2711" s="2">
        <v>11.9</v>
      </c>
      <c r="BK2711" s="2">
        <v>20</v>
      </c>
      <c r="BL2711" s="2">
        <v>133.63</v>
      </c>
      <c r="BM2711" s="2">
        <v>18.71</v>
      </c>
      <c r="BN2711" s="2">
        <v>152.34</v>
      </c>
      <c r="BO2711" s="2">
        <v>152.34</v>
      </c>
      <c r="BP2711" s="2" t="s">
        <v>90</v>
      </c>
      <c r="BQ2711" s="2" t="s">
        <v>382</v>
      </c>
      <c r="BR2711" s="2" t="s">
        <v>83</v>
      </c>
      <c r="BS2711" s="3">
        <v>42674</v>
      </c>
      <c r="BT2711" s="4">
        <v>0.41666666666666669</v>
      </c>
      <c r="BU2711" s="2" t="s">
        <v>382</v>
      </c>
      <c r="BV2711" s="2"/>
      <c r="BW2711" s="2"/>
      <c r="BX2711" s="2"/>
      <c r="BY2711" s="2">
        <v>59508</v>
      </c>
      <c r="BZ2711" s="2"/>
      <c r="CA2711" s="2"/>
      <c r="CB2711" s="2"/>
      <c r="CC2711" s="2" t="s">
        <v>378</v>
      </c>
      <c r="CD2711" s="2">
        <v>6536</v>
      </c>
      <c r="CE2711" s="2" t="s">
        <v>86</v>
      </c>
      <c r="CF2711" s="5">
        <v>42677</v>
      </c>
      <c r="CG2711" s="2"/>
      <c r="CH2711" s="2"/>
      <c r="CI2711" s="2">
        <v>0</v>
      </c>
      <c r="CJ2711" s="2">
        <v>0</v>
      </c>
      <c r="CK2711" s="2" t="s">
        <v>1289</v>
      </c>
      <c r="CL2711" s="2" t="s">
        <v>88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"FES1162509904"</f>
        <v>FES1162509904</v>
      </c>
      <c r="F2712" s="3">
        <v>42670</v>
      </c>
      <c r="G2712" s="2">
        <v>201704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1122</v>
      </c>
      <c r="M2712" s="2" t="s">
        <v>1123</v>
      </c>
      <c r="N2712" s="2" t="s">
        <v>422</v>
      </c>
      <c r="O2712" s="2" t="s">
        <v>81</v>
      </c>
      <c r="P2712" s="2" t="str">
        <f>"2170533001                    "</f>
        <v xml:space="preserve">2170533001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5.7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13</v>
      </c>
      <c r="BJ2712" s="2">
        <v>11.4</v>
      </c>
      <c r="BK2712" s="2">
        <v>13</v>
      </c>
      <c r="BL2712" s="2">
        <v>75.05</v>
      </c>
      <c r="BM2712" s="2">
        <v>10.51</v>
      </c>
      <c r="BN2712" s="2">
        <v>85.56</v>
      </c>
      <c r="BO2712" s="2">
        <v>85.56</v>
      </c>
      <c r="BP2712" s="2"/>
      <c r="BQ2712" s="2" t="s">
        <v>91</v>
      </c>
      <c r="BR2712" s="2" t="s">
        <v>83</v>
      </c>
      <c r="BS2712" s="3">
        <v>42671</v>
      </c>
      <c r="BT2712" s="4">
        <v>0.41666666666666669</v>
      </c>
      <c r="BU2712" s="2" t="s">
        <v>1999</v>
      </c>
      <c r="BV2712" s="2" t="s">
        <v>85</v>
      </c>
      <c r="BW2712" s="2"/>
      <c r="BX2712" s="2"/>
      <c r="BY2712" s="2">
        <v>57072</v>
      </c>
      <c r="BZ2712" s="2"/>
      <c r="CA2712" s="2"/>
      <c r="CB2712" s="2"/>
      <c r="CC2712" s="2" t="s">
        <v>1123</v>
      </c>
      <c r="CD2712" s="2">
        <v>1911</v>
      </c>
      <c r="CE2712" s="2" t="s">
        <v>86</v>
      </c>
      <c r="CF2712" s="5">
        <v>42675</v>
      </c>
      <c r="CG2712" s="2"/>
      <c r="CH2712" s="2"/>
      <c r="CI2712" s="2">
        <v>1</v>
      </c>
      <c r="CJ2712" s="2">
        <v>1</v>
      </c>
      <c r="CK2712" s="2" t="s">
        <v>87</v>
      </c>
      <c r="CL2712" s="2" t="s">
        <v>88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"FES1162509866"</f>
        <v>FES1162509866</v>
      </c>
      <c r="F2713" s="3">
        <v>42670</v>
      </c>
      <c r="G2713" s="2">
        <v>201704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148</v>
      </c>
      <c r="M2713" s="2" t="s">
        <v>149</v>
      </c>
      <c r="N2713" s="2" t="s">
        <v>293</v>
      </c>
      <c r="O2713" s="2" t="s">
        <v>81</v>
      </c>
      <c r="P2713" s="2" t="str">
        <f>"2170533026                    "</f>
        <v xml:space="preserve">2170533026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33.19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10</v>
      </c>
      <c r="BI2713" s="2">
        <v>159.19999999999999</v>
      </c>
      <c r="BJ2713" s="2">
        <v>84.3</v>
      </c>
      <c r="BK2713" s="2">
        <v>160</v>
      </c>
      <c r="BL2713" s="2">
        <v>412.74</v>
      </c>
      <c r="BM2713" s="2">
        <v>57.78</v>
      </c>
      <c r="BN2713" s="2">
        <v>470.52</v>
      </c>
      <c r="BO2713" s="2">
        <v>470.52</v>
      </c>
      <c r="BP2713" s="2"/>
      <c r="BQ2713" s="2" t="s">
        <v>1352</v>
      </c>
      <c r="BR2713" s="2" t="s">
        <v>83</v>
      </c>
      <c r="BS2713" s="3">
        <v>42671</v>
      </c>
      <c r="BT2713" s="4">
        <v>0.58680555555555558</v>
      </c>
      <c r="BU2713" s="2" t="s">
        <v>2515</v>
      </c>
      <c r="BV2713" s="2" t="s">
        <v>85</v>
      </c>
      <c r="BW2713" s="2"/>
      <c r="BX2713" s="2"/>
      <c r="BY2713" s="2">
        <v>421485.3</v>
      </c>
      <c r="BZ2713" s="2"/>
      <c r="CA2713" s="2"/>
      <c r="CB2713" s="2"/>
      <c r="CC2713" s="2" t="s">
        <v>149</v>
      </c>
      <c r="CD2713" s="2">
        <v>4051</v>
      </c>
      <c r="CE2713" s="2" t="s">
        <v>368</v>
      </c>
      <c r="CF2713" s="5">
        <v>42675</v>
      </c>
      <c r="CG2713" s="2"/>
      <c r="CH2713" s="2"/>
      <c r="CI2713" s="2">
        <v>1</v>
      </c>
      <c r="CJ2713" s="2">
        <v>1</v>
      </c>
      <c r="CK2713" s="2" t="s">
        <v>1059</v>
      </c>
      <c r="CL2713" s="2" t="s">
        <v>88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"FES1162509771"</f>
        <v>FES1162509771</v>
      </c>
      <c r="F2714" s="3">
        <v>42670</v>
      </c>
      <c r="G2714" s="2">
        <v>201704</v>
      </c>
      <c r="H2714" s="2" t="s">
        <v>74</v>
      </c>
      <c r="I2714" s="2" t="s">
        <v>75</v>
      </c>
      <c r="J2714" s="2" t="s">
        <v>76</v>
      </c>
      <c r="K2714" s="2" t="s">
        <v>77</v>
      </c>
      <c r="L2714" s="2" t="s">
        <v>260</v>
      </c>
      <c r="M2714" s="2" t="s">
        <v>261</v>
      </c>
      <c r="N2714" s="2" t="s">
        <v>347</v>
      </c>
      <c r="O2714" s="2" t="s">
        <v>81</v>
      </c>
      <c r="P2714" s="2" t="str">
        <f>"2170532925                    "</f>
        <v xml:space="preserve">2170532925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15.71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2</v>
      </c>
      <c r="BI2714" s="2">
        <v>30.3</v>
      </c>
      <c r="BJ2714" s="2">
        <v>17.899999999999999</v>
      </c>
      <c r="BK2714" s="2">
        <v>31</v>
      </c>
      <c r="BL2714" s="2">
        <v>198.05</v>
      </c>
      <c r="BM2714" s="2">
        <v>27.73</v>
      </c>
      <c r="BN2714" s="2">
        <v>225.78</v>
      </c>
      <c r="BO2714" s="2">
        <v>225.78</v>
      </c>
      <c r="BP2714" s="2" t="s">
        <v>1836</v>
      </c>
      <c r="BQ2714" s="2"/>
      <c r="BR2714" s="2" t="s">
        <v>83</v>
      </c>
      <c r="BS2714" s="3">
        <v>42675</v>
      </c>
      <c r="BT2714" s="4">
        <v>0.35416666666666669</v>
      </c>
      <c r="BU2714" s="2" t="s">
        <v>2123</v>
      </c>
      <c r="BV2714" s="2" t="s">
        <v>85</v>
      </c>
      <c r="BW2714" s="2"/>
      <c r="BX2714" s="2"/>
      <c r="BY2714" s="2">
        <v>89358.05</v>
      </c>
      <c r="BZ2714" s="2"/>
      <c r="CA2714" s="2" t="s">
        <v>1537</v>
      </c>
      <c r="CB2714" s="2"/>
      <c r="CC2714" s="2" t="s">
        <v>261</v>
      </c>
      <c r="CD2714" s="2">
        <v>6850</v>
      </c>
      <c r="CE2714" s="2" t="s">
        <v>86</v>
      </c>
      <c r="CF2714" s="5">
        <v>42675</v>
      </c>
      <c r="CG2714" s="2"/>
      <c r="CH2714" s="2"/>
      <c r="CI2714" s="2">
        <v>4</v>
      </c>
      <c r="CJ2714" s="2">
        <v>3</v>
      </c>
      <c r="CK2714" s="2" t="s">
        <v>1289</v>
      </c>
      <c r="CL2714" s="2" t="s">
        <v>88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"FES1162509857"</f>
        <v>FES1162509857</v>
      </c>
      <c r="F2715" s="3">
        <v>42670</v>
      </c>
      <c r="G2715" s="2">
        <v>201704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143</v>
      </c>
      <c r="M2715" s="2" t="s">
        <v>144</v>
      </c>
      <c r="N2715" s="2" t="s">
        <v>820</v>
      </c>
      <c r="O2715" s="2" t="s">
        <v>81</v>
      </c>
      <c r="P2715" s="2" t="str">
        <f>"2170533017                    "</f>
        <v xml:space="preserve">2170533017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42.83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7</v>
      </c>
      <c r="BI2715" s="2">
        <v>139</v>
      </c>
      <c r="BJ2715" s="2">
        <v>86.8</v>
      </c>
      <c r="BK2715" s="2">
        <v>139</v>
      </c>
      <c r="BL2715" s="2">
        <v>531.19000000000005</v>
      </c>
      <c r="BM2715" s="2">
        <v>74.37</v>
      </c>
      <c r="BN2715" s="2">
        <v>605.55999999999995</v>
      </c>
      <c r="BO2715" s="2">
        <v>605.55999999999995</v>
      </c>
      <c r="BP2715" s="2"/>
      <c r="BQ2715" s="2" t="s">
        <v>576</v>
      </c>
      <c r="BR2715" s="2" t="s">
        <v>83</v>
      </c>
      <c r="BS2715" s="3">
        <v>42674</v>
      </c>
      <c r="BT2715" s="4">
        <v>0.41666666666666669</v>
      </c>
      <c r="BU2715" s="2" t="s">
        <v>285</v>
      </c>
      <c r="BV2715" s="2" t="s">
        <v>85</v>
      </c>
      <c r="BW2715" s="2"/>
      <c r="BX2715" s="2"/>
      <c r="BY2715" s="2">
        <v>434032</v>
      </c>
      <c r="BZ2715" s="2"/>
      <c r="CA2715" s="2"/>
      <c r="CB2715" s="2"/>
      <c r="CC2715" s="2" t="s">
        <v>144</v>
      </c>
      <c r="CD2715" s="2">
        <v>5210</v>
      </c>
      <c r="CE2715" s="2" t="s">
        <v>368</v>
      </c>
      <c r="CF2715" s="5">
        <v>42676</v>
      </c>
      <c r="CG2715" s="2"/>
      <c r="CH2715" s="2"/>
      <c r="CI2715" s="2">
        <v>2</v>
      </c>
      <c r="CJ2715" s="2">
        <v>2</v>
      </c>
      <c r="CK2715" s="2" t="s">
        <v>1061</v>
      </c>
      <c r="CL2715" s="2" t="s">
        <v>88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"FES1162509627"</f>
        <v>FES1162509627</v>
      </c>
      <c r="F2716" s="3">
        <v>42670</v>
      </c>
      <c r="G2716" s="2">
        <v>201704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153</v>
      </c>
      <c r="M2716" s="2" t="s">
        <v>153</v>
      </c>
      <c r="N2716" s="2" t="s">
        <v>2516</v>
      </c>
      <c r="O2716" s="2" t="s">
        <v>96</v>
      </c>
      <c r="P2716" s="2" t="str">
        <f>"2170532823                    "</f>
        <v xml:space="preserve">2170532823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3.32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1</v>
      </c>
      <c r="BJ2716" s="2">
        <v>0.2</v>
      </c>
      <c r="BK2716" s="2">
        <v>1</v>
      </c>
      <c r="BL2716" s="2">
        <v>40.76</v>
      </c>
      <c r="BM2716" s="2">
        <v>5.71</v>
      </c>
      <c r="BN2716" s="2">
        <v>46.47</v>
      </c>
      <c r="BO2716" s="2">
        <v>46.47</v>
      </c>
      <c r="BP2716" s="2"/>
      <c r="BQ2716" s="2" t="s">
        <v>2517</v>
      </c>
      <c r="BR2716" s="2" t="s">
        <v>83</v>
      </c>
      <c r="BS2716" s="3">
        <v>42671</v>
      </c>
      <c r="BT2716" s="4">
        <v>0.44097222222222227</v>
      </c>
      <c r="BU2716" s="2" t="s">
        <v>238</v>
      </c>
      <c r="BV2716" s="2" t="s">
        <v>85</v>
      </c>
      <c r="BW2716" s="2"/>
      <c r="BX2716" s="2"/>
      <c r="BY2716" s="2">
        <v>1200</v>
      </c>
      <c r="BZ2716" s="2"/>
      <c r="CA2716" s="2"/>
      <c r="CB2716" s="2"/>
      <c r="CC2716" s="2" t="s">
        <v>153</v>
      </c>
      <c r="CD2716" s="2">
        <v>7646</v>
      </c>
      <c r="CE2716" s="2" t="s">
        <v>108</v>
      </c>
      <c r="CF2716" s="5">
        <v>42674</v>
      </c>
      <c r="CG2716" s="2"/>
      <c r="CH2716" s="2"/>
      <c r="CI2716" s="2">
        <v>1</v>
      </c>
      <c r="CJ2716" s="2">
        <v>1</v>
      </c>
      <c r="CK2716" s="2">
        <v>21</v>
      </c>
      <c r="CL2716" s="2" t="s">
        <v>88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"FES1162509622"</f>
        <v>FES1162509622</v>
      </c>
      <c r="F2717" s="3">
        <v>42670</v>
      </c>
      <c r="G2717" s="2">
        <v>201704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160</v>
      </c>
      <c r="M2717" s="2" t="s">
        <v>161</v>
      </c>
      <c r="N2717" s="2" t="s">
        <v>2518</v>
      </c>
      <c r="O2717" s="2" t="s">
        <v>96</v>
      </c>
      <c r="P2717" s="2" t="str">
        <f>"2170532816                    "</f>
        <v xml:space="preserve">2170532816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3.32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1</v>
      </c>
      <c r="BJ2717" s="2">
        <v>0.2</v>
      </c>
      <c r="BK2717" s="2">
        <v>1</v>
      </c>
      <c r="BL2717" s="2">
        <v>40.76</v>
      </c>
      <c r="BM2717" s="2">
        <v>5.71</v>
      </c>
      <c r="BN2717" s="2">
        <v>46.47</v>
      </c>
      <c r="BO2717" s="2">
        <v>46.47</v>
      </c>
      <c r="BP2717" s="2"/>
      <c r="BQ2717" s="2" t="s">
        <v>2519</v>
      </c>
      <c r="BR2717" s="2" t="s">
        <v>83</v>
      </c>
      <c r="BS2717" s="3">
        <v>42671</v>
      </c>
      <c r="BT2717" s="4">
        <v>0.41805555555555557</v>
      </c>
      <c r="BU2717" s="2" t="s">
        <v>2520</v>
      </c>
      <c r="BV2717" s="2" t="s">
        <v>85</v>
      </c>
      <c r="BW2717" s="2"/>
      <c r="BX2717" s="2"/>
      <c r="BY2717" s="2">
        <v>1200</v>
      </c>
      <c r="BZ2717" s="2"/>
      <c r="CA2717" s="2"/>
      <c r="CB2717" s="2"/>
      <c r="CC2717" s="2" t="s">
        <v>161</v>
      </c>
      <c r="CD2717" s="2">
        <v>7530</v>
      </c>
      <c r="CE2717" s="2" t="s">
        <v>108</v>
      </c>
      <c r="CF2717" s="5">
        <v>42671</v>
      </c>
      <c r="CG2717" s="2"/>
      <c r="CH2717" s="2"/>
      <c r="CI2717" s="2">
        <v>1</v>
      </c>
      <c r="CJ2717" s="2">
        <v>1</v>
      </c>
      <c r="CK2717" s="2">
        <v>21</v>
      </c>
      <c r="CL2717" s="2" t="s">
        <v>88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"FES1162509949"</f>
        <v>FES1162509949</v>
      </c>
      <c r="F2718" s="3">
        <v>42670</v>
      </c>
      <c r="G2718" s="2">
        <v>201704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153</v>
      </c>
      <c r="M2718" s="2" t="s">
        <v>153</v>
      </c>
      <c r="N2718" s="2" t="s">
        <v>343</v>
      </c>
      <c r="O2718" s="2" t="s">
        <v>96</v>
      </c>
      <c r="P2718" s="2" t="str">
        <f>"2170533112                    "</f>
        <v xml:space="preserve">2170533112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3.32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1</v>
      </c>
      <c r="BJ2718" s="2">
        <v>0.2</v>
      </c>
      <c r="BK2718" s="2">
        <v>1</v>
      </c>
      <c r="BL2718" s="2">
        <v>40.76</v>
      </c>
      <c r="BM2718" s="2">
        <v>5.71</v>
      </c>
      <c r="BN2718" s="2">
        <v>46.47</v>
      </c>
      <c r="BO2718" s="2">
        <v>46.47</v>
      </c>
      <c r="BP2718" s="2"/>
      <c r="BQ2718" s="2" t="s">
        <v>344</v>
      </c>
      <c r="BR2718" s="2" t="s">
        <v>83</v>
      </c>
      <c r="BS2718" s="3">
        <v>42671</v>
      </c>
      <c r="BT2718" s="4">
        <v>0.52777777777777779</v>
      </c>
      <c r="BU2718" s="2" t="s">
        <v>2521</v>
      </c>
      <c r="BV2718" s="2" t="s">
        <v>85</v>
      </c>
      <c r="BW2718" s="2"/>
      <c r="BX2718" s="2"/>
      <c r="BY2718" s="2">
        <v>1200</v>
      </c>
      <c r="BZ2718" s="2"/>
      <c r="CA2718" s="2"/>
      <c r="CB2718" s="2"/>
      <c r="CC2718" s="2" t="s">
        <v>153</v>
      </c>
      <c r="CD2718" s="2">
        <v>7646</v>
      </c>
      <c r="CE2718" s="2" t="s">
        <v>108</v>
      </c>
      <c r="CF2718" s="5">
        <v>42674</v>
      </c>
      <c r="CG2718" s="2"/>
      <c r="CH2718" s="2"/>
      <c r="CI2718" s="2">
        <v>1</v>
      </c>
      <c r="CJ2718" s="2">
        <v>1</v>
      </c>
      <c r="CK2718" s="2">
        <v>21</v>
      </c>
      <c r="CL2718" s="2" t="s">
        <v>88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"FES1162509778"</f>
        <v>FES1162509778</v>
      </c>
      <c r="F2719" s="3">
        <v>42670</v>
      </c>
      <c r="G2719" s="2">
        <v>201704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160</v>
      </c>
      <c r="M2719" s="2" t="s">
        <v>161</v>
      </c>
      <c r="N2719" s="2" t="s">
        <v>176</v>
      </c>
      <c r="O2719" s="2" t="s">
        <v>96</v>
      </c>
      <c r="P2719" s="2" t="str">
        <f>"2170532937                    "</f>
        <v xml:space="preserve">2170532937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3.32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</v>
      </c>
      <c r="BJ2719" s="2">
        <v>0.2</v>
      </c>
      <c r="BK2719" s="2">
        <v>1</v>
      </c>
      <c r="BL2719" s="2">
        <v>40.76</v>
      </c>
      <c r="BM2719" s="2">
        <v>5.71</v>
      </c>
      <c r="BN2719" s="2">
        <v>46.47</v>
      </c>
      <c r="BO2719" s="2">
        <v>46.47</v>
      </c>
      <c r="BP2719" s="2"/>
      <c r="BQ2719" s="2" t="s">
        <v>258</v>
      </c>
      <c r="BR2719" s="2" t="s">
        <v>83</v>
      </c>
      <c r="BS2719" s="3">
        <v>42671</v>
      </c>
      <c r="BT2719" s="4">
        <v>0.41666666666666669</v>
      </c>
      <c r="BU2719" s="2" t="s">
        <v>725</v>
      </c>
      <c r="BV2719" s="2" t="s">
        <v>85</v>
      </c>
      <c r="BW2719" s="2"/>
      <c r="BX2719" s="2"/>
      <c r="BY2719" s="2">
        <v>1200</v>
      </c>
      <c r="BZ2719" s="2"/>
      <c r="CA2719" s="2" t="s">
        <v>129</v>
      </c>
      <c r="CB2719" s="2"/>
      <c r="CC2719" s="2" t="s">
        <v>161</v>
      </c>
      <c r="CD2719" s="2">
        <v>7405</v>
      </c>
      <c r="CE2719" s="2" t="s">
        <v>108</v>
      </c>
      <c r="CF2719" s="5">
        <v>42674</v>
      </c>
      <c r="CG2719" s="2"/>
      <c r="CH2719" s="2"/>
      <c r="CI2719" s="2">
        <v>1</v>
      </c>
      <c r="CJ2719" s="2">
        <v>1</v>
      </c>
      <c r="CK2719" s="2">
        <v>21</v>
      </c>
      <c r="CL2719" s="2" t="s">
        <v>88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"FES1162509948"</f>
        <v>FES1162509948</v>
      </c>
      <c r="F2720" s="3">
        <v>42670</v>
      </c>
      <c r="G2720" s="2">
        <v>201704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160</v>
      </c>
      <c r="M2720" s="2" t="s">
        <v>161</v>
      </c>
      <c r="N2720" s="2" t="s">
        <v>710</v>
      </c>
      <c r="O2720" s="2" t="s">
        <v>96</v>
      </c>
      <c r="P2720" s="2" t="str">
        <f>"2170533111                    "</f>
        <v xml:space="preserve">2170533111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4.9800000000000004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2.6</v>
      </c>
      <c r="BJ2720" s="2">
        <v>1</v>
      </c>
      <c r="BK2720" s="2">
        <v>3</v>
      </c>
      <c r="BL2720" s="2">
        <v>61.14</v>
      </c>
      <c r="BM2720" s="2">
        <v>8.56</v>
      </c>
      <c r="BN2720" s="2">
        <v>69.7</v>
      </c>
      <c r="BO2720" s="2">
        <v>69.7</v>
      </c>
      <c r="BP2720" s="2"/>
      <c r="BQ2720" s="2" t="s">
        <v>711</v>
      </c>
      <c r="BR2720" s="2" t="s">
        <v>83</v>
      </c>
      <c r="BS2720" s="3">
        <v>42671</v>
      </c>
      <c r="BT2720" s="4">
        <v>0.41666666666666669</v>
      </c>
      <c r="BU2720" s="2" t="s">
        <v>711</v>
      </c>
      <c r="BV2720" s="2" t="s">
        <v>85</v>
      </c>
      <c r="BW2720" s="2"/>
      <c r="BX2720" s="2"/>
      <c r="BY2720" s="2">
        <v>5016</v>
      </c>
      <c r="BZ2720" s="2"/>
      <c r="CA2720" s="2"/>
      <c r="CB2720" s="2"/>
      <c r="CC2720" s="2" t="s">
        <v>161</v>
      </c>
      <c r="CD2720" s="2">
        <v>7441</v>
      </c>
      <c r="CE2720" s="2" t="s">
        <v>86</v>
      </c>
      <c r="CF2720" s="5">
        <v>42674</v>
      </c>
      <c r="CG2720" s="2"/>
      <c r="CH2720" s="2"/>
      <c r="CI2720" s="2">
        <v>1</v>
      </c>
      <c r="CJ2720" s="2">
        <v>1</v>
      </c>
      <c r="CK2720" s="2">
        <v>21</v>
      </c>
      <c r="CL2720" s="2" t="s">
        <v>88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"FES1162509860"</f>
        <v>FES1162509860</v>
      </c>
      <c r="F2721" s="3">
        <v>42670</v>
      </c>
      <c r="G2721" s="2">
        <v>201704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160</v>
      </c>
      <c r="M2721" s="2" t="s">
        <v>161</v>
      </c>
      <c r="N2721" s="2" t="s">
        <v>176</v>
      </c>
      <c r="O2721" s="2" t="s">
        <v>96</v>
      </c>
      <c r="P2721" s="2" t="str">
        <f>"2170533012                    "</f>
        <v xml:space="preserve">2170533012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3.32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40.76</v>
      </c>
      <c r="BM2721" s="2">
        <v>5.71</v>
      </c>
      <c r="BN2721" s="2">
        <v>46.47</v>
      </c>
      <c r="BO2721" s="2">
        <v>46.47</v>
      </c>
      <c r="BP2721" s="2"/>
      <c r="BQ2721" s="2" t="s">
        <v>177</v>
      </c>
      <c r="BR2721" s="2" t="s">
        <v>83</v>
      </c>
      <c r="BS2721" s="3">
        <v>42671</v>
      </c>
      <c r="BT2721" s="4">
        <v>0.41666666666666669</v>
      </c>
      <c r="BU2721" s="2" t="s">
        <v>2419</v>
      </c>
      <c r="BV2721" s="2" t="s">
        <v>85</v>
      </c>
      <c r="BW2721" s="2"/>
      <c r="BX2721" s="2"/>
      <c r="BY2721" s="2">
        <v>1200</v>
      </c>
      <c r="BZ2721" s="2"/>
      <c r="CA2721" s="2"/>
      <c r="CB2721" s="2"/>
      <c r="CC2721" s="2" t="s">
        <v>161</v>
      </c>
      <c r="CD2721" s="2">
        <v>7530</v>
      </c>
      <c r="CE2721" s="2" t="s">
        <v>108</v>
      </c>
      <c r="CF2721" s="5">
        <v>42674</v>
      </c>
      <c r="CG2721" s="2"/>
      <c r="CH2721" s="2"/>
      <c r="CI2721" s="2">
        <v>1</v>
      </c>
      <c r="CJ2721" s="2">
        <v>1</v>
      </c>
      <c r="CK2721" s="2">
        <v>21</v>
      </c>
      <c r="CL2721" s="2" t="s">
        <v>88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"FES1162509729"</f>
        <v>FES1162509729</v>
      </c>
      <c r="F2722" s="3">
        <v>42670</v>
      </c>
      <c r="G2722" s="2">
        <v>201704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137</v>
      </c>
      <c r="M2722" s="2" t="s">
        <v>138</v>
      </c>
      <c r="N2722" s="2" t="s">
        <v>203</v>
      </c>
      <c r="O2722" s="2" t="s">
        <v>96</v>
      </c>
      <c r="P2722" s="2" t="str">
        <f>"2170532880                    "</f>
        <v xml:space="preserve">2170532880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4.1500000000000004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2.2999999999999998</v>
      </c>
      <c r="BJ2722" s="2">
        <v>1</v>
      </c>
      <c r="BK2722" s="2">
        <v>2.5</v>
      </c>
      <c r="BL2722" s="2">
        <v>50.95</v>
      </c>
      <c r="BM2722" s="2">
        <v>7.13</v>
      </c>
      <c r="BN2722" s="2">
        <v>58.08</v>
      </c>
      <c r="BO2722" s="2">
        <v>58.08</v>
      </c>
      <c r="BP2722" s="2"/>
      <c r="BQ2722" s="2" t="s">
        <v>168</v>
      </c>
      <c r="BR2722" s="2" t="s">
        <v>83</v>
      </c>
      <c r="BS2722" s="3">
        <v>42671</v>
      </c>
      <c r="BT2722" s="4">
        <v>0.4368055555555555</v>
      </c>
      <c r="BU2722" s="2" t="s">
        <v>768</v>
      </c>
      <c r="BV2722" s="2"/>
      <c r="BW2722" s="2"/>
      <c r="BX2722" s="2"/>
      <c r="BY2722" s="2">
        <v>4935.9799999999996</v>
      </c>
      <c r="BZ2722" s="2"/>
      <c r="CA2722" s="2" t="s">
        <v>613</v>
      </c>
      <c r="CB2722" s="2"/>
      <c r="CC2722" s="2" t="s">
        <v>138</v>
      </c>
      <c r="CD2722" s="2">
        <v>3201</v>
      </c>
      <c r="CE2722" s="2" t="s">
        <v>86</v>
      </c>
      <c r="CF2722" s="5">
        <v>42671</v>
      </c>
      <c r="CG2722" s="2"/>
      <c r="CH2722" s="2"/>
      <c r="CI2722" s="2">
        <v>0</v>
      </c>
      <c r="CJ2722" s="2">
        <v>0</v>
      </c>
      <c r="CK2722" s="2">
        <v>21</v>
      </c>
      <c r="CL2722" s="2" t="s">
        <v>88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"FES1162509785"</f>
        <v>FES1162509785</v>
      </c>
      <c r="F2723" s="3">
        <v>42670</v>
      </c>
      <c r="G2723" s="2">
        <v>201704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160</v>
      </c>
      <c r="M2723" s="2" t="s">
        <v>161</v>
      </c>
      <c r="N2723" s="2" t="s">
        <v>622</v>
      </c>
      <c r="O2723" s="2" t="s">
        <v>96</v>
      </c>
      <c r="P2723" s="2" t="str">
        <f>"2170527054                    "</f>
        <v xml:space="preserve">2170527054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3.32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1</v>
      </c>
      <c r="BJ2723" s="2">
        <v>0.2</v>
      </c>
      <c r="BK2723" s="2">
        <v>1</v>
      </c>
      <c r="BL2723" s="2">
        <v>40.76</v>
      </c>
      <c r="BM2723" s="2">
        <v>5.71</v>
      </c>
      <c r="BN2723" s="2">
        <v>46.47</v>
      </c>
      <c r="BO2723" s="2">
        <v>46.47</v>
      </c>
      <c r="BP2723" s="2"/>
      <c r="BQ2723" s="2" t="s">
        <v>623</v>
      </c>
      <c r="BR2723" s="2" t="s">
        <v>83</v>
      </c>
      <c r="BS2723" s="3">
        <v>42671</v>
      </c>
      <c r="BT2723" s="4">
        <v>0.43472222222222223</v>
      </c>
      <c r="BU2723" s="2" t="s">
        <v>624</v>
      </c>
      <c r="BV2723" s="2" t="s">
        <v>85</v>
      </c>
      <c r="BW2723" s="2"/>
      <c r="BX2723" s="2"/>
      <c r="BY2723" s="2">
        <v>1200</v>
      </c>
      <c r="BZ2723" s="2"/>
      <c r="CA2723" s="2" t="s">
        <v>1193</v>
      </c>
      <c r="CB2723" s="2"/>
      <c r="CC2723" s="2" t="s">
        <v>161</v>
      </c>
      <c r="CD2723" s="2">
        <v>7490</v>
      </c>
      <c r="CE2723" s="2" t="s">
        <v>108</v>
      </c>
      <c r="CF2723" s="5">
        <v>42671</v>
      </c>
      <c r="CG2723" s="2"/>
      <c r="CH2723" s="2"/>
      <c r="CI2723" s="2">
        <v>1</v>
      </c>
      <c r="CJ2723" s="2">
        <v>1</v>
      </c>
      <c r="CK2723" s="2">
        <v>21</v>
      </c>
      <c r="CL2723" s="2" t="s">
        <v>88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"FES1162509937"</f>
        <v>FES1162509937</v>
      </c>
      <c r="F2724" s="3">
        <v>42670</v>
      </c>
      <c r="G2724" s="2">
        <v>201704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137</v>
      </c>
      <c r="M2724" s="2" t="s">
        <v>138</v>
      </c>
      <c r="N2724" s="2" t="s">
        <v>396</v>
      </c>
      <c r="O2724" s="2" t="s">
        <v>96</v>
      </c>
      <c r="P2724" s="2" t="str">
        <f>"2170533101                    "</f>
        <v xml:space="preserve">2170533101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11.61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2</v>
      </c>
      <c r="BI2724" s="2">
        <v>3.9</v>
      </c>
      <c r="BJ2724" s="2">
        <v>6.8</v>
      </c>
      <c r="BK2724" s="2">
        <v>7</v>
      </c>
      <c r="BL2724" s="2">
        <v>142.65</v>
      </c>
      <c r="BM2724" s="2">
        <v>19.97</v>
      </c>
      <c r="BN2724" s="2">
        <v>162.62</v>
      </c>
      <c r="BO2724" s="2">
        <v>162.62</v>
      </c>
      <c r="BP2724" s="2"/>
      <c r="BQ2724" s="2" t="s">
        <v>82</v>
      </c>
      <c r="BR2724" s="2" t="s">
        <v>83</v>
      </c>
      <c r="BS2724" s="3">
        <v>42671</v>
      </c>
      <c r="BT2724" s="4">
        <v>0.37152777777777773</v>
      </c>
      <c r="BU2724" s="2" t="s">
        <v>1562</v>
      </c>
      <c r="BV2724" s="2" t="s">
        <v>85</v>
      </c>
      <c r="BW2724" s="2"/>
      <c r="BX2724" s="2"/>
      <c r="BY2724" s="2">
        <v>33914.21</v>
      </c>
      <c r="BZ2724" s="2"/>
      <c r="CA2724" s="2" t="s">
        <v>170</v>
      </c>
      <c r="CB2724" s="2"/>
      <c r="CC2724" s="2" t="s">
        <v>138</v>
      </c>
      <c r="CD2724" s="2">
        <v>3201</v>
      </c>
      <c r="CE2724" s="2" t="s">
        <v>86</v>
      </c>
      <c r="CF2724" s="5">
        <v>42671</v>
      </c>
      <c r="CG2724" s="2"/>
      <c r="CH2724" s="2"/>
      <c r="CI2724" s="2">
        <v>1</v>
      </c>
      <c r="CJ2724" s="2">
        <v>1</v>
      </c>
      <c r="CK2724" s="2">
        <v>21</v>
      </c>
      <c r="CL2724" s="2" t="s">
        <v>88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"FES1162509654"</f>
        <v>FES1162509654</v>
      </c>
      <c r="F2725" s="3">
        <v>42670</v>
      </c>
      <c r="G2725" s="2">
        <v>201704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160</v>
      </c>
      <c r="M2725" s="2" t="s">
        <v>161</v>
      </c>
      <c r="N2725" s="2" t="s">
        <v>1219</v>
      </c>
      <c r="O2725" s="2" t="s">
        <v>96</v>
      </c>
      <c r="P2725" s="2" t="str">
        <f>"2170530616                    "</f>
        <v xml:space="preserve">2170530616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3.32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40.76</v>
      </c>
      <c r="BM2725" s="2">
        <v>5.71</v>
      </c>
      <c r="BN2725" s="2">
        <v>46.47</v>
      </c>
      <c r="BO2725" s="2">
        <v>46.47</v>
      </c>
      <c r="BP2725" s="2"/>
      <c r="BQ2725" s="2" t="s">
        <v>91</v>
      </c>
      <c r="BR2725" s="2" t="s">
        <v>83</v>
      </c>
      <c r="BS2725" s="3">
        <v>42671</v>
      </c>
      <c r="BT2725" s="4">
        <v>0.41666666666666669</v>
      </c>
      <c r="BU2725" s="2" t="s">
        <v>431</v>
      </c>
      <c r="BV2725" s="2" t="s">
        <v>85</v>
      </c>
      <c r="BW2725" s="2"/>
      <c r="BX2725" s="2"/>
      <c r="BY2725" s="2">
        <v>1200</v>
      </c>
      <c r="BZ2725" s="2"/>
      <c r="CA2725" s="2"/>
      <c r="CB2725" s="2"/>
      <c r="CC2725" s="2" t="s">
        <v>161</v>
      </c>
      <c r="CD2725" s="2">
        <v>7441</v>
      </c>
      <c r="CE2725" s="2" t="s">
        <v>108</v>
      </c>
      <c r="CF2725" s="5">
        <v>42674</v>
      </c>
      <c r="CG2725" s="2"/>
      <c r="CH2725" s="2"/>
      <c r="CI2725" s="2">
        <v>1</v>
      </c>
      <c r="CJ2725" s="2">
        <v>1</v>
      </c>
      <c r="CK2725" s="2">
        <v>21</v>
      </c>
      <c r="CL2725" s="2" t="s">
        <v>88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"FES1162509777"</f>
        <v>FES1162509777</v>
      </c>
      <c r="F2726" s="3">
        <v>42670</v>
      </c>
      <c r="G2726" s="2">
        <v>201704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218</v>
      </c>
      <c r="M2726" s="2" t="s">
        <v>219</v>
      </c>
      <c r="N2726" s="2" t="s">
        <v>2522</v>
      </c>
      <c r="O2726" s="2" t="s">
        <v>96</v>
      </c>
      <c r="P2726" s="2" t="str">
        <f>"2170532936                    "</f>
        <v xml:space="preserve">2170532936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3.32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0.5</v>
      </c>
      <c r="BJ2726" s="2">
        <v>0.2</v>
      </c>
      <c r="BK2726" s="2">
        <v>0.5</v>
      </c>
      <c r="BL2726" s="2">
        <v>40.76</v>
      </c>
      <c r="BM2726" s="2">
        <v>5.71</v>
      </c>
      <c r="BN2726" s="2">
        <v>46.47</v>
      </c>
      <c r="BO2726" s="2">
        <v>46.47</v>
      </c>
      <c r="BP2726" s="2"/>
      <c r="BQ2726" s="2" t="s">
        <v>2523</v>
      </c>
      <c r="BR2726" s="2" t="s">
        <v>83</v>
      </c>
      <c r="BS2726" s="3">
        <v>42671</v>
      </c>
      <c r="BT2726" s="4">
        <v>0.43333333333333335</v>
      </c>
      <c r="BU2726" s="2" t="s">
        <v>926</v>
      </c>
      <c r="BV2726" s="2" t="s">
        <v>85</v>
      </c>
      <c r="BW2726" s="2"/>
      <c r="BX2726" s="2"/>
      <c r="BY2726" s="2">
        <v>1200</v>
      </c>
      <c r="BZ2726" s="2"/>
      <c r="CA2726" s="2"/>
      <c r="CB2726" s="2"/>
      <c r="CC2726" s="2" t="s">
        <v>219</v>
      </c>
      <c r="CD2726" s="2">
        <v>7600</v>
      </c>
      <c r="CE2726" s="2" t="s">
        <v>108</v>
      </c>
      <c r="CF2726" s="5">
        <v>42674</v>
      </c>
      <c r="CG2726" s="2"/>
      <c r="CH2726" s="2"/>
      <c r="CI2726" s="2">
        <v>1</v>
      </c>
      <c r="CJ2726" s="2">
        <v>1</v>
      </c>
      <c r="CK2726" s="2">
        <v>21</v>
      </c>
      <c r="CL2726" s="2" t="s">
        <v>88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"FES1162509672"</f>
        <v>FES1162509672</v>
      </c>
      <c r="F2727" s="3">
        <v>42670</v>
      </c>
      <c r="G2727" s="2">
        <v>201704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503</v>
      </c>
      <c r="M2727" s="2" t="s">
        <v>504</v>
      </c>
      <c r="N2727" s="2" t="s">
        <v>505</v>
      </c>
      <c r="O2727" s="2" t="s">
        <v>96</v>
      </c>
      <c r="P2727" s="2" t="str">
        <f>"2170531158                    "</f>
        <v xml:space="preserve">2170531158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6.43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1</v>
      </c>
      <c r="BJ2727" s="2">
        <v>0.2</v>
      </c>
      <c r="BK2727" s="2">
        <v>1</v>
      </c>
      <c r="BL2727" s="2">
        <v>78.97</v>
      </c>
      <c r="BM2727" s="2">
        <v>11.06</v>
      </c>
      <c r="BN2727" s="2">
        <v>90.03</v>
      </c>
      <c r="BO2727" s="2">
        <v>90.03</v>
      </c>
      <c r="BP2727" s="2"/>
      <c r="BQ2727" s="2" t="s">
        <v>91</v>
      </c>
      <c r="BR2727" s="2" t="s">
        <v>83</v>
      </c>
      <c r="BS2727" s="3">
        <v>42675</v>
      </c>
      <c r="BT2727" s="4">
        <v>0.41666666666666669</v>
      </c>
      <c r="BU2727" s="2" t="s">
        <v>2524</v>
      </c>
      <c r="BV2727" s="2" t="s">
        <v>88</v>
      </c>
      <c r="BW2727" s="2" t="s">
        <v>222</v>
      </c>
      <c r="BX2727" s="2" t="s">
        <v>903</v>
      </c>
      <c r="BY2727" s="2">
        <v>1200</v>
      </c>
      <c r="BZ2727" s="2"/>
      <c r="CA2727" s="2"/>
      <c r="CB2727" s="2"/>
      <c r="CC2727" s="2" t="s">
        <v>504</v>
      </c>
      <c r="CD2727" s="2">
        <v>7349</v>
      </c>
      <c r="CE2727" s="2" t="s">
        <v>108</v>
      </c>
      <c r="CF2727" s="5">
        <v>42676</v>
      </c>
      <c r="CG2727" s="2"/>
      <c r="CH2727" s="2"/>
      <c r="CI2727" s="2">
        <v>1</v>
      </c>
      <c r="CJ2727" s="2">
        <v>3</v>
      </c>
      <c r="CK2727" s="2">
        <v>23</v>
      </c>
      <c r="CL2727" s="2" t="s">
        <v>88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"FES1162509800"</f>
        <v>FES1162509800</v>
      </c>
      <c r="F2728" s="3">
        <v>42670</v>
      </c>
      <c r="G2728" s="2">
        <v>201704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260</v>
      </c>
      <c r="M2728" s="2" t="s">
        <v>261</v>
      </c>
      <c r="N2728" s="2" t="s">
        <v>262</v>
      </c>
      <c r="O2728" s="2" t="s">
        <v>96</v>
      </c>
      <c r="P2728" s="2" t="str">
        <f>"2170532961                    "</f>
        <v xml:space="preserve">2170532961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3.32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0.5</v>
      </c>
      <c r="BJ2728" s="2">
        <v>0.2</v>
      </c>
      <c r="BK2728" s="2">
        <v>0.5</v>
      </c>
      <c r="BL2728" s="2">
        <v>40.76</v>
      </c>
      <c r="BM2728" s="2">
        <v>5.71</v>
      </c>
      <c r="BN2728" s="2">
        <v>46.47</v>
      </c>
      <c r="BO2728" s="2">
        <v>46.47</v>
      </c>
      <c r="BP2728" s="2"/>
      <c r="BQ2728" s="2" t="s">
        <v>91</v>
      </c>
      <c r="BR2728" s="2" t="s">
        <v>83</v>
      </c>
      <c r="BS2728" s="3">
        <v>42671</v>
      </c>
      <c r="BT2728" s="4">
        <v>0.41666666666666669</v>
      </c>
      <c r="BU2728" s="2" t="s">
        <v>1745</v>
      </c>
      <c r="BV2728" s="2" t="s">
        <v>85</v>
      </c>
      <c r="BW2728" s="2"/>
      <c r="BX2728" s="2"/>
      <c r="BY2728" s="2">
        <v>1200</v>
      </c>
      <c r="BZ2728" s="2"/>
      <c r="CA2728" s="2" t="s">
        <v>451</v>
      </c>
      <c r="CB2728" s="2"/>
      <c r="CC2728" s="2" t="s">
        <v>261</v>
      </c>
      <c r="CD2728" s="2">
        <v>6850</v>
      </c>
      <c r="CE2728" s="2" t="s">
        <v>108</v>
      </c>
      <c r="CF2728" s="5">
        <v>42671</v>
      </c>
      <c r="CG2728" s="2"/>
      <c r="CH2728" s="2"/>
      <c r="CI2728" s="2">
        <v>3</v>
      </c>
      <c r="CJ2728" s="2">
        <v>1</v>
      </c>
      <c r="CK2728" s="2">
        <v>21</v>
      </c>
      <c r="CL2728" s="2" t="s">
        <v>88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"FES1162509841"</f>
        <v>FES1162509841</v>
      </c>
      <c r="F2729" s="3">
        <v>42670</v>
      </c>
      <c r="G2729" s="2">
        <v>201704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218</v>
      </c>
      <c r="M2729" s="2" t="s">
        <v>219</v>
      </c>
      <c r="N2729" s="2" t="s">
        <v>2525</v>
      </c>
      <c r="O2729" s="2" t="s">
        <v>96</v>
      </c>
      <c r="P2729" s="2" t="str">
        <f>"2170531084                    "</f>
        <v xml:space="preserve">2170531084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3.32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1</v>
      </c>
      <c r="BJ2729" s="2">
        <v>0.2</v>
      </c>
      <c r="BK2729" s="2">
        <v>1</v>
      </c>
      <c r="BL2729" s="2">
        <v>40.76</v>
      </c>
      <c r="BM2729" s="2">
        <v>5.71</v>
      </c>
      <c r="BN2729" s="2">
        <v>46.47</v>
      </c>
      <c r="BO2729" s="2">
        <v>46.47</v>
      </c>
      <c r="BP2729" s="2"/>
      <c r="BQ2729" s="2" t="s">
        <v>91</v>
      </c>
      <c r="BR2729" s="2" t="s">
        <v>83</v>
      </c>
      <c r="BS2729" s="3">
        <v>42671</v>
      </c>
      <c r="BT2729" s="4">
        <v>0.4777777777777778</v>
      </c>
      <c r="BU2729" s="2" t="s">
        <v>2526</v>
      </c>
      <c r="BV2729" s="2" t="s">
        <v>85</v>
      </c>
      <c r="BW2729" s="2"/>
      <c r="BX2729" s="2"/>
      <c r="BY2729" s="2">
        <v>1200</v>
      </c>
      <c r="BZ2729" s="2"/>
      <c r="CA2729" s="2"/>
      <c r="CB2729" s="2"/>
      <c r="CC2729" s="2" t="s">
        <v>219</v>
      </c>
      <c r="CD2729" s="2">
        <v>7600</v>
      </c>
      <c r="CE2729" s="2" t="s">
        <v>108</v>
      </c>
      <c r="CF2729" s="5">
        <v>42674</v>
      </c>
      <c r="CG2729" s="2"/>
      <c r="CH2729" s="2"/>
      <c r="CI2729" s="2">
        <v>1</v>
      </c>
      <c r="CJ2729" s="2">
        <v>1</v>
      </c>
      <c r="CK2729" s="2">
        <v>21</v>
      </c>
      <c r="CL2729" s="2" t="s">
        <v>88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"009935662283"</f>
        <v>009935662283</v>
      </c>
      <c r="F2730" s="3">
        <v>42670</v>
      </c>
      <c r="G2730" s="2">
        <v>201704</v>
      </c>
      <c r="H2730" s="2" t="s">
        <v>78</v>
      </c>
      <c r="I2730" s="2" t="s">
        <v>79</v>
      </c>
      <c r="J2730" s="2" t="s">
        <v>189</v>
      </c>
      <c r="K2730" s="2" t="s">
        <v>77</v>
      </c>
      <c r="L2730" s="2" t="s">
        <v>2527</v>
      </c>
      <c r="M2730" s="2" t="s">
        <v>2528</v>
      </c>
      <c r="N2730" s="2" t="s">
        <v>2529</v>
      </c>
      <c r="O2730" s="2" t="s">
        <v>96</v>
      </c>
      <c r="P2730" s="2" t="str">
        <f>"FES1162509238                 "</f>
        <v xml:space="preserve">FES1162509238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6.43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0.8</v>
      </c>
      <c r="BJ2730" s="2">
        <v>1.8</v>
      </c>
      <c r="BK2730" s="2">
        <v>2</v>
      </c>
      <c r="BL2730" s="2">
        <v>78.97</v>
      </c>
      <c r="BM2730" s="2">
        <v>11.06</v>
      </c>
      <c r="BN2730" s="2">
        <v>90.03</v>
      </c>
      <c r="BO2730" s="2">
        <v>90.03</v>
      </c>
      <c r="BP2730" s="2"/>
      <c r="BQ2730" s="2"/>
      <c r="BR2730" s="2" t="s">
        <v>2530</v>
      </c>
      <c r="BS2730" s="3">
        <v>42675</v>
      </c>
      <c r="BT2730" s="4">
        <v>0.41666666666666669</v>
      </c>
      <c r="BU2730" s="2" t="s">
        <v>2531</v>
      </c>
      <c r="BV2730" s="2" t="s">
        <v>88</v>
      </c>
      <c r="BW2730" s="2" t="s">
        <v>165</v>
      </c>
      <c r="BX2730" s="2" t="s">
        <v>2532</v>
      </c>
      <c r="BY2730" s="2">
        <v>8782.02</v>
      </c>
      <c r="BZ2730" s="2" t="s">
        <v>27</v>
      </c>
      <c r="CA2730" s="2"/>
      <c r="CB2730" s="2"/>
      <c r="CC2730" s="2" t="s">
        <v>2528</v>
      </c>
      <c r="CD2730" s="2">
        <v>2940</v>
      </c>
      <c r="CE2730" s="2" t="s">
        <v>86</v>
      </c>
      <c r="CF2730" s="5">
        <v>42677</v>
      </c>
      <c r="CG2730" s="2"/>
      <c r="CH2730" s="2"/>
      <c r="CI2730" s="2">
        <v>1</v>
      </c>
      <c r="CJ2730" s="2">
        <v>3</v>
      </c>
      <c r="CK2730" s="2">
        <v>23</v>
      </c>
      <c r="CL2730" s="2" t="s">
        <v>88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"FES1162509910"</f>
        <v>FES1162509910</v>
      </c>
      <c r="F2731" s="3">
        <v>42670</v>
      </c>
      <c r="G2731" s="2">
        <v>201704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698</v>
      </c>
      <c r="M2731" s="2" t="s">
        <v>699</v>
      </c>
      <c r="N2731" s="2" t="s">
        <v>2533</v>
      </c>
      <c r="O2731" s="2" t="s">
        <v>96</v>
      </c>
      <c r="P2731" s="2" t="str">
        <f>"2170533071                    "</f>
        <v xml:space="preserve">2170533071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4.66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0.2</v>
      </c>
      <c r="BJ2731" s="2">
        <v>1.4</v>
      </c>
      <c r="BK2731" s="2">
        <v>1.5</v>
      </c>
      <c r="BL2731" s="2">
        <v>57.31</v>
      </c>
      <c r="BM2731" s="2">
        <v>8.02</v>
      </c>
      <c r="BN2731" s="2">
        <v>65.33</v>
      </c>
      <c r="BO2731" s="2">
        <v>65.33</v>
      </c>
      <c r="BP2731" s="2"/>
      <c r="BQ2731" s="2" t="s">
        <v>91</v>
      </c>
      <c r="BR2731" s="2" t="s">
        <v>83</v>
      </c>
      <c r="BS2731" s="3">
        <v>42671</v>
      </c>
      <c r="BT2731" s="4">
        <v>0.54166666666666663</v>
      </c>
      <c r="BU2731" s="2" t="s">
        <v>2534</v>
      </c>
      <c r="BV2731" s="2" t="s">
        <v>85</v>
      </c>
      <c r="BW2731" s="2"/>
      <c r="BX2731" s="2"/>
      <c r="BY2731" s="2">
        <v>6895.15</v>
      </c>
      <c r="BZ2731" s="2"/>
      <c r="CA2731" s="2"/>
      <c r="CB2731" s="2"/>
      <c r="CC2731" s="2" t="s">
        <v>699</v>
      </c>
      <c r="CD2731" s="2">
        <v>1760</v>
      </c>
      <c r="CE2731" s="2" t="s">
        <v>108</v>
      </c>
      <c r="CF2731" s="5">
        <v>42674</v>
      </c>
      <c r="CG2731" s="2"/>
      <c r="CH2731" s="2"/>
      <c r="CI2731" s="2">
        <v>1</v>
      </c>
      <c r="CJ2731" s="2">
        <v>1</v>
      </c>
      <c r="CK2731" s="2">
        <v>24</v>
      </c>
      <c r="CL2731" s="2" t="s">
        <v>88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"FES1162509911"</f>
        <v>FES1162509911</v>
      </c>
      <c r="F2732" s="3">
        <v>42670</v>
      </c>
      <c r="G2732" s="2">
        <v>201704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160</v>
      </c>
      <c r="M2732" s="2" t="s">
        <v>161</v>
      </c>
      <c r="N2732" s="2" t="s">
        <v>710</v>
      </c>
      <c r="O2732" s="2" t="s">
        <v>96</v>
      </c>
      <c r="P2732" s="2" t="str">
        <f>"2170533072                    "</f>
        <v xml:space="preserve">2170533072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4.9800000000000004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3</v>
      </c>
      <c r="BJ2732" s="2">
        <v>1.7</v>
      </c>
      <c r="BK2732" s="2">
        <v>3</v>
      </c>
      <c r="BL2732" s="2">
        <v>61.14</v>
      </c>
      <c r="BM2732" s="2">
        <v>8.56</v>
      </c>
      <c r="BN2732" s="2">
        <v>69.7</v>
      </c>
      <c r="BO2732" s="2">
        <v>69.7</v>
      </c>
      <c r="BP2732" s="2"/>
      <c r="BQ2732" s="2" t="s">
        <v>711</v>
      </c>
      <c r="BR2732" s="2" t="s">
        <v>83</v>
      </c>
      <c r="BS2732" s="3">
        <v>42671</v>
      </c>
      <c r="BT2732" s="4">
        <v>0.41666666666666669</v>
      </c>
      <c r="BU2732" s="2" t="s">
        <v>711</v>
      </c>
      <c r="BV2732" s="2" t="s">
        <v>85</v>
      </c>
      <c r="BW2732" s="2"/>
      <c r="BX2732" s="2"/>
      <c r="BY2732" s="2">
        <v>8328.84</v>
      </c>
      <c r="BZ2732" s="2"/>
      <c r="CA2732" s="2"/>
      <c r="CB2732" s="2"/>
      <c r="CC2732" s="2" t="s">
        <v>161</v>
      </c>
      <c r="CD2732" s="2">
        <v>7441</v>
      </c>
      <c r="CE2732" s="2" t="s">
        <v>86</v>
      </c>
      <c r="CF2732" s="5">
        <v>42674</v>
      </c>
      <c r="CG2732" s="2"/>
      <c r="CH2732" s="2"/>
      <c r="CI2732" s="2">
        <v>1</v>
      </c>
      <c r="CJ2732" s="2">
        <v>1</v>
      </c>
      <c r="CK2732" s="2">
        <v>21</v>
      </c>
      <c r="CL2732" s="2" t="s">
        <v>88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"FES1162509918"</f>
        <v>FES1162509918</v>
      </c>
      <c r="F2733" s="3">
        <v>42670</v>
      </c>
      <c r="G2733" s="2">
        <v>201704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137</v>
      </c>
      <c r="M2733" s="2" t="s">
        <v>138</v>
      </c>
      <c r="N2733" s="2" t="s">
        <v>964</v>
      </c>
      <c r="O2733" s="2" t="s">
        <v>96</v>
      </c>
      <c r="P2733" s="2" t="str">
        <f>"2170533073                    "</f>
        <v xml:space="preserve">2170533073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3.32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0.5</v>
      </c>
      <c r="BJ2733" s="2">
        <v>0.2</v>
      </c>
      <c r="BK2733" s="2">
        <v>0.5</v>
      </c>
      <c r="BL2733" s="2">
        <v>40.76</v>
      </c>
      <c r="BM2733" s="2">
        <v>5.71</v>
      </c>
      <c r="BN2733" s="2">
        <v>46.47</v>
      </c>
      <c r="BO2733" s="2">
        <v>46.47</v>
      </c>
      <c r="BP2733" s="2"/>
      <c r="BQ2733" s="2" t="s">
        <v>965</v>
      </c>
      <c r="BR2733" s="2" t="s">
        <v>83</v>
      </c>
      <c r="BS2733" s="3">
        <v>42671</v>
      </c>
      <c r="BT2733" s="4">
        <v>0.35416666666666669</v>
      </c>
      <c r="BU2733" s="2" t="s">
        <v>2535</v>
      </c>
      <c r="BV2733" s="2"/>
      <c r="BW2733" s="2"/>
      <c r="BX2733" s="2"/>
      <c r="BY2733" s="2">
        <v>1200</v>
      </c>
      <c r="BZ2733" s="2"/>
      <c r="CA2733" s="2" t="s">
        <v>170</v>
      </c>
      <c r="CB2733" s="2"/>
      <c r="CC2733" s="2" t="s">
        <v>138</v>
      </c>
      <c r="CD2733" s="2">
        <v>3201</v>
      </c>
      <c r="CE2733" s="2" t="s">
        <v>108</v>
      </c>
      <c r="CF2733" s="5">
        <v>42671</v>
      </c>
      <c r="CG2733" s="2"/>
      <c r="CH2733" s="2"/>
      <c r="CI2733" s="2">
        <v>0</v>
      </c>
      <c r="CJ2733" s="2">
        <v>0</v>
      </c>
      <c r="CK2733" s="2">
        <v>21</v>
      </c>
      <c r="CL2733" s="2" t="s">
        <v>88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"FES1162509938"</f>
        <v>FES1162509938</v>
      </c>
      <c r="F2734" s="3">
        <v>42670</v>
      </c>
      <c r="G2734" s="2">
        <v>201704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148</v>
      </c>
      <c r="M2734" s="2" t="s">
        <v>149</v>
      </c>
      <c r="N2734" s="2" t="s">
        <v>1541</v>
      </c>
      <c r="O2734" s="2" t="s">
        <v>96</v>
      </c>
      <c r="P2734" s="2" t="str">
        <f>"2170533106                    "</f>
        <v xml:space="preserve">2170533106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3.32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0.5</v>
      </c>
      <c r="BJ2734" s="2">
        <v>0.2</v>
      </c>
      <c r="BK2734" s="2">
        <v>0.5</v>
      </c>
      <c r="BL2734" s="2">
        <v>40.76</v>
      </c>
      <c r="BM2734" s="2">
        <v>5.71</v>
      </c>
      <c r="BN2734" s="2">
        <v>46.47</v>
      </c>
      <c r="BO2734" s="2">
        <v>46.47</v>
      </c>
      <c r="BP2734" s="2"/>
      <c r="BQ2734" s="2" t="s">
        <v>91</v>
      </c>
      <c r="BR2734" s="2" t="s">
        <v>83</v>
      </c>
      <c r="BS2734" s="3">
        <v>42671</v>
      </c>
      <c r="BT2734" s="4">
        <v>0.41666666666666669</v>
      </c>
      <c r="BU2734" s="2" t="s">
        <v>2511</v>
      </c>
      <c r="BV2734" s="2" t="s">
        <v>85</v>
      </c>
      <c r="BW2734" s="2"/>
      <c r="BX2734" s="2"/>
      <c r="BY2734" s="2">
        <v>1200</v>
      </c>
      <c r="BZ2734" s="2"/>
      <c r="CA2734" s="2" t="s">
        <v>129</v>
      </c>
      <c r="CB2734" s="2"/>
      <c r="CC2734" s="2" t="s">
        <v>149</v>
      </c>
      <c r="CD2734" s="2">
        <v>4052</v>
      </c>
      <c r="CE2734" s="2" t="s">
        <v>108</v>
      </c>
      <c r="CF2734" s="5">
        <v>42675</v>
      </c>
      <c r="CG2734" s="2"/>
      <c r="CH2734" s="2"/>
      <c r="CI2734" s="2">
        <v>1</v>
      </c>
      <c r="CJ2734" s="2">
        <v>1</v>
      </c>
      <c r="CK2734" s="2">
        <v>21</v>
      </c>
      <c r="CL2734" s="2" t="s">
        <v>88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"FES1162509933"</f>
        <v>FES1162509933</v>
      </c>
      <c r="F2735" s="3">
        <v>42670</v>
      </c>
      <c r="G2735" s="2">
        <v>201704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148</v>
      </c>
      <c r="M2735" s="2" t="s">
        <v>149</v>
      </c>
      <c r="N2735" s="2" t="s">
        <v>575</v>
      </c>
      <c r="O2735" s="2" t="s">
        <v>96</v>
      </c>
      <c r="P2735" s="2" t="str">
        <f>"2170533094                    "</f>
        <v xml:space="preserve">2170533094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3.32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0.5</v>
      </c>
      <c r="BJ2735" s="2">
        <v>0.2</v>
      </c>
      <c r="BK2735" s="2">
        <v>0.5</v>
      </c>
      <c r="BL2735" s="2">
        <v>40.76</v>
      </c>
      <c r="BM2735" s="2">
        <v>5.71</v>
      </c>
      <c r="BN2735" s="2">
        <v>46.47</v>
      </c>
      <c r="BO2735" s="2">
        <v>46.47</v>
      </c>
      <c r="BP2735" s="2"/>
      <c r="BQ2735" s="2" t="s">
        <v>117</v>
      </c>
      <c r="BR2735" s="2" t="s">
        <v>83</v>
      </c>
      <c r="BS2735" s="3">
        <v>42671</v>
      </c>
      <c r="BT2735" s="4">
        <v>0.41597222222222219</v>
      </c>
      <c r="BU2735" s="2" t="s">
        <v>2536</v>
      </c>
      <c r="BV2735" s="2" t="s">
        <v>85</v>
      </c>
      <c r="BW2735" s="2"/>
      <c r="BX2735" s="2"/>
      <c r="BY2735" s="2">
        <v>1200</v>
      </c>
      <c r="BZ2735" s="2"/>
      <c r="CA2735" s="2"/>
      <c r="CB2735" s="2"/>
      <c r="CC2735" s="2" t="s">
        <v>149</v>
      </c>
      <c r="CD2735" s="2">
        <v>3629</v>
      </c>
      <c r="CE2735" s="2" t="s">
        <v>108</v>
      </c>
      <c r="CF2735" s="5">
        <v>42675</v>
      </c>
      <c r="CG2735" s="2"/>
      <c r="CH2735" s="2"/>
      <c r="CI2735" s="2">
        <v>1</v>
      </c>
      <c r="CJ2735" s="2">
        <v>1</v>
      </c>
      <c r="CK2735" s="2">
        <v>21</v>
      </c>
      <c r="CL2735" s="2" t="s">
        <v>88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"FES1162509836"</f>
        <v>FES1162509836</v>
      </c>
      <c r="F2736" s="3">
        <v>42670</v>
      </c>
      <c r="G2736" s="2">
        <v>201704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160</v>
      </c>
      <c r="M2736" s="2" t="s">
        <v>161</v>
      </c>
      <c r="N2736" s="2" t="s">
        <v>754</v>
      </c>
      <c r="O2736" s="2" t="s">
        <v>96</v>
      </c>
      <c r="P2736" s="2" t="str">
        <f>"2170532642                    "</f>
        <v xml:space="preserve">2170532642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3.32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0.5</v>
      </c>
      <c r="BJ2736" s="2">
        <v>0.2</v>
      </c>
      <c r="BK2736" s="2">
        <v>0.5</v>
      </c>
      <c r="BL2736" s="2">
        <v>40.76</v>
      </c>
      <c r="BM2736" s="2">
        <v>5.71</v>
      </c>
      <c r="BN2736" s="2">
        <v>46.47</v>
      </c>
      <c r="BO2736" s="2">
        <v>46.47</v>
      </c>
      <c r="BP2736" s="2"/>
      <c r="BQ2736" s="2" t="s">
        <v>755</v>
      </c>
      <c r="BR2736" s="2" t="s">
        <v>83</v>
      </c>
      <c r="BS2736" s="3">
        <v>42671</v>
      </c>
      <c r="BT2736" s="4">
        <v>0.42083333333333334</v>
      </c>
      <c r="BU2736" s="2" t="s">
        <v>388</v>
      </c>
      <c r="BV2736" s="2" t="s">
        <v>85</v>
      </c>
      <c r="BW2736" s="2"/>
      <c r="BX2736" s="2"/>
      <c r="BY2736" s="2">
        <v>1200</v>
      </c>
      <c r="BZ2736" s="2"/>
      <c r="CA2736" s="2"/>
      <c r="CB2736" s="2"/>
      <c r="CC2736" s="2" t="s">
        <v>161</v>
      </c>
      <c r="CD2736" s="2">
        <v>7441</v>
      </c>
      <c r="CE2736" s="2" t="s">
        <v>108</v>
      </c>
      <c r="CF2736" s="5">
        <v>42674</v>
      </c>
      <c r="CG2736" s="2"/>
      <c r="CH2736" s="2"/>
      <c r="CI2736" s="2">
        <v>1</v>
      </c>
      <c r="CJ2736" s="2">
        <v>1</v>
      </c>
      <c r="CK2736" s="2">
        <v>21</v>
      </c>
      <c r="CL2736" s="2" t="s">
        <v>88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"FES1162509642"</f>
        <v>FES1162509642</v>
      </c>
      <c r="F2737" s="3">
        <v>42670</v>
      </c>
      <c r="G2737" s="2">
        <v>201704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286</v>
      </c>
      <c r="M2737" s="2" t="s">
        <v>287</v>
      </c>
      <c r="N2737" s="2" t="s">
        <v>2537</v>
      </c>
      <c r="O2737" s="2" t="s">
        <v>96</v>
      </c>
      <c r="P2737" s="2" t="str">
        <f>"2170530358                    "</f>
        <v xml:space="preserve">2170530358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3.32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1</v>
      </c>
      <c r="BI2737" s="2">
        <v>0.5</v>
      </c>
      <c r="BJ2737" s="2">
        <v>0.2</v>
      </c>
      <c r="BK2737" s="2">
        <v>0.5</v>
      </c>
      <c r="BL2737" s="2">
        <v>40.76</v>
      </c>
      <c r="BM2737" s="2">
        <v>5.71</v>
      </c>
      <c r="BN2737" s="2">
        <v>46.47</v>
      </c>
      <c r="BO2737" s="2">
        <v>46.47</v>
      </c>
      <c r="BP2737" s="2"/>
      <c r="BQ2737" s="2" t="s">
        <v>117</v>
      </c>
      <c r="BR2737" s="2" t="s">
        <v>83</v>
      </c>
      <c r="BS2737" s="3">
        <v>42671</v>
      </c>
      <c r="BT2737" s="4">
        <v>0.41666666666666669</v>
      </c>
      <c r="BU2737" s="2" t="s">
        <v>1999</v>
      </c>
      <c r="BV2737" s="2" t="s">
        <v>85</v>
      </c>
      <c r="BW2737" s="2"/>
      <c r="BX2737" s="2"/>
      <c r="BY2737" s="2">
        <v>1200</v>
      </c>
      <c r="BZ2737" s="2"/>
      <c r="CA2737" s="2"/>
      <c r="CB2737" s="2"/>
      <c r="CC2737" s="2" t="s">
        <v>287</v>
      </c>
      <c r="CD2737" s="2">
        <v>1947</v>
      </c>
      <c r="CE2737" s="2" t="s">
        <v>108</v>
      </c>
      <c r="CF2737" s="5">
        <v>42675</v>
      </c>
      <c r="CG2737" s="2"/>
      <c r="CH2737" s="2"/>
      <c r="CI2737" s="2">
        <v>1</v>
      </c>
      <c r="CJ2737" s="2">
        <v>1</v>
      </c>
      <c r="CK2737" s="2">
        <v>21</v>
      </c>
      <c r="CL2737" s="2" t="s">
        <v>88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"FES1162509950"</f>
        <v>FES1162509950</v>
      </c>
      <c r="F2738" s="3">
        <v>42670</v>
      </c>
      <c r="G2738" s="2">
        <v>201704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510</v>
      </c>
      <c r="M2738" s="2" t="s">
        <v>511</v>
      </c>
      <c r="N2738" s="2" t="s">
        <v>982</v>
      </c>
      <c r="O2738" s="2" t="s">
        <v>96</v>
      </c>
      <c r="P2738" s="2" t="str">
        <f>"2170533114                    "</f>
        <v xml:space="preserve">2170533114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3.32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1</v>
      </c>
      <c r="BI2738" s="2">
        <v>0.5</v>
      </c>
      <c r="BJ2738" s="2">
        <v>0.2</v>
      </c>
      <c r="BK2738" s="2">
        <v>0.5</v>
      </c>
      <c r="BL2738" s="2">
        <v>40.76</v>
      </c>
      <c r="BM2738" s="2">
        <v>5.71</v>
      </c>
      <c r="BN2738" s="2">
        <v>46.47</v>
      </c>
      <c r="BO2738" s="2">
        <v>46.47</v>
      </c>
      <c r="BP2738" s="2"/>
      <c r="BQ2738" s="2" t="s">
        <v>983</v>
      </c>
      <c r="BR2738" s="2" t="s">
        <v>83</v>
      </c>
      <c r="BS2738" s="3">
        <v>42671</v>
      </c>
      <c r="BT2738" s="4">
        <v>0.4152777777777778</v>
      </c>
      <c r="BU2738" s="2" t="s">
        <v>1639</v>
      </c>
      <c r="BV2738" s="2" t="s">
        <v>85</v>
      </c>
      <c r="BW2738" s="2"/>
      <c r="BX2738" s="2"/>
      <c r="BY2738" s="2">
        <v>1200</v>
      </c>
      <c r="BZ2738" s="2"/>
      <c r="CA2738" s="2"/>
      <c r="CB2738" s="2"/>
      <c r="CC2738" s="2" t="s">
        <v>511</v>
      </c>
      <c r="CD2738" s="2">
        <v>3290</v>
      </c>
      <c r="CE2738" s="2" t="s">
        <v>108</v>
      </c>
      <c r="CF2738" s="5">
        <v>42674</v>
      </c>
      <c r="CG2738" s="2"/>
      <c r="CH2738" s="2"/>
      <c r="CI2738" s="2">
        <v>1</v>
      </c>
      <c r="CJ2738" s="2">
        <v>1</v>
      </c>
      <c r="CK2738" s="2">
        <v>21</v>
      </c>
      <c r="CL2738" s="2" t="s">
        <v>88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"FES1162509905"</f>
        <v>FES1162509905</v>
      </c>
      <c r="F2739" s="3">
        <v>42670</v>
      </c>
      <c r="G2739" s="2">
        <v>201704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1122</v>
      </c>
      <c r="M2739" s="2" t="s">
        <v>1123</v>
      </c>
      <c r="N2739" s="2" t="s">
        <v>422</v>
      </c>
      <c r="O2739" s="2" t="s">
        <v>96</v>
      </c>
      <c r="P2739" s="2" t="str">
        <f>"2170533002                    "</f>
        <v xml:space="preserve">2170533002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3.32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1</v>
      </c>
      <c r="BI2739" s="2">
        <v>0.5</v>
      </c>
      <c r="BJ2739" s="2">
        <v>0.2</v>
      </c>
      <c r="BK2739" s="2">
        <v>0.5</v>
      </c>
      <c r="BL2739" s="2">
        <v>40.76</v>
      </c>
      <c r="BM2739" s="2">
        <v>5.71</v>
      </c>
      <c r="BN2739" s="2">
        <v>46.47</v>
      </c>
      <c r="BO2739" s="2">
        <v>46.47</v>
      </c>
      <c r="BP2739" s="2"/>
      <c r="BQ2739" s="2" t="s">
        <v>91</v>
      </c>
      <c r="BR2739" s="2" t="s">
        <v>83</v>
      </c>
      <c r="BS2739" s="3">
        <v>42671</v>
      </c>
      <c r="BT2739" s="4">
        <v>0.41666666666666669</v>
      </c>
      <c r="BU2739" s="2" t="s">
        <v>1999</v>
      </c>
      <c r="BV2739" s="2" t="s">
        <v>85</v>
      </c>
      <c r="BW2739" s="2"/>
      <c r="BX2739" s="2"/>
      <c r="BY2739" s="2">
        <v>1200</v>
      </c>
      <c r="BZ2739" s="2"/>
      <c r="CA2739" s="2"/>
      <c r="CB2739" s="2"/>
      <c r="CC2739" s="2" t="s">
        <v>1123</v>
      </c>
      <c r="CD2739" s="2">
        <v>1911</v>
      </c>
      <c r="CE2739" s="2" t="s">
        <v>108</v>
      </c>
      <c r="CF2739" s="5">
        <v>42675</v>
      </c>
      <c r="CG2739" s="2"/>
      <c r="CH2739" s="2"/>
      <c r="CI2739" s="2">
        <v>1</v>
      </c>
      <c r="CJ2739" s="2">
        <v>1</v>
      </c>
      <c r="CK2739" s="2">
        <v>21</v>
      </c>
      <c r="CL2739" s="2" t="s">
        <v>88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"FES1162509645"</f>
        <v>FES1162509645</v>
      </c>
      <c r="F2740" s="3">
        <v>42670</v>
      </c>
      <c r="G2740" s="2">
        <v>201704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160</v>
      </c>
      <c r="M2740" s="2" t="s">
        <v>161</v>
      </c>
      <c r="N2740" s="2" t="s">
        <v>1858</v>
      </c>
      <c r="O2740" s="2" t="s">
        <v>96</v>
      </c>
      <c r="P2740" s="2" t="str">
        <f>"2170530505                    "</f>
        <v xml:space="preserve">2170530505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3.32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0.5</v>
      </c>
      <c r="BJ2740" s="2">
        <v>0.2</v>
      </c>
      <c r="BK2740" s="2">
        <v>0.5</v>
      </c>
      <c r="BL2740" s="2">
        <v>40.76</v>
      </c>
      <c r="BM2740" s="2">
        <v>5.71</v>
      </c>
      <c r="BN2740" s="2">
        <v>46.47</v>
      </c>
      <c r="BO2740" s="2">
        <v>46.47</v>
      </c>
      <c r="BP2740" s="2"/>
      <c r="BQ2740" s="2"/>
      <c r="BR2740" s="2" t="s">
        <v>83</v>
      </c>
      <c r="BS2740" s="3">
        <v>42671</v>
      </c>
      <c r="BT2740" s="4">
        <v>0.41666666666666669</v>
      </c>
      <c r="BU2740" s="2" t="s">
        <v>2538</v>
      </c>
      <c r="BV2740" s="2" t="s">
        <v>85</v>
      </c>
      <c r="BW2740" s="2"/>
      <c r="BX2740" s="2"/>
      <c r="BY2740" s="2">
        <v>1200</v>
      </c>
      <c r="BZ2740" s="2"/>
      <c r="CA2740" s="2" t="s">
        <v>129</v>
      </c>
      <c r="CB2740" s="2"/>
      <c r="CC2740" s="2" t="s">
        <v>161</v>
      </c>
      <c r="CD2740" s="2">
        <v>7405</v>
      </c>
      <c r="CE2740" s="2" t="s">
        <v>108</v>
      </c>
      <c r="CF2740" s="5">
        <v>42674</v>
      </c>
      <c r="CG2740" s="2"/>
      <c r="CH2740" s="2"/>
      <c r="CI2740" s="2">
        <v>1</v>
      </c>
      <c r="CJ2740" s="2">
        <v>1</v>
      </c>
      <c r="CK2740" s="2">
        <v>21</v>
      </c>
      <c r="CL2740" s="2" t="s">
        <v>88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"FES1162509636"</f>
        <v>FES1162509636</v>
      </c>
      <c r="F2741" s="3">
        <v>42670</v>
      </c>
      <c r="G2741" s="2">
        <v>201704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160</v>
      </c>
      <c r="M2741" s="2" t="s">
        <v>161</v>
      </c>
      <c r="N2741" s="2" t="s">
        <v>972</v>
      </c>
      <c r="O2741" s="2" t="s">
        <v>96</v>
      </c>
      <c r="P2741" s="2" t="str">
        <f>"2170528063                    "</f>
        <v xml:space="preserve">2170528063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3.32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0.5</v>
      </c>
      <c r="BJ2741" s="2">
        <v>0.2</v>
      </c>
      <c r="BK2741" s="2">
        <v>0.5</v>
      </c>
      <c r="BL2741" s="2">
        <v>40.76</v>
      </c>
      <c r="BM2741" s="2">
        <v>5.71</v>
      </c>
      <c r="BN2741" s="2">
        <v>46.47</v>
      </c>
      <c r="BO2741" s="2">
        <v>46.47</v>
      </c>
      <c r="BP2741" s="2"/>
      <c r="BQ2741" s="2" t="s">
        <v>91</v>
      </c>
      <c r="BR2741" s="2" t="s">
        <v>83</v>
      </c>
      <c r="BS2741" s="3">
        <v>42671</v>
      </c>
      <c r="BT2741" s="4">
        <v>0.41666666666666669</v>
      </c>
      <c r="BU2741" s="2" t="s">
        <v>2539</v>
      </c>
      <c r="BV2741" s="2"/>
      <c r="BW2741" s="2"/>
      <c r="BX2741" s="2"/>
      <c r="BY2741" s="2">
        <v>1200</v>
      </c>
      <c r="BZ2741" s="2"/>
      <c r="CA2741" s="2"/>
      <c r="CB2741" s="2"/>
      <c r="CC2741" s="2" t="s">
        <v>161</v>
      </c>
      <c r="CD2741" s="2">
        <v>8001</v>
      </c>
      <c r="CE2741" s="2" t="s">
        <v>108</v>
      </c>
      <c r="CF2741" s="5">
        <v>42674</v>
      </c>
      <c r="CG2741" s="2"/>
      <c r="CH2741" s="2"/>
      <c r="CI2741" s="2">
        <v>0</v>
      </c>
      <c r="CJ2741" s="2">
        <v>0</v>
      </c>
      <c r="CK2741" s="2">
        <v>21</v>
      </c>
      <c r="CL2741" s="2" t="s">
        <v>88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"FES1162509819"</f>
        <v>FES1162509819</v>
      </c>
      <c r="F2742" s="3">
        <v>42670</v>
      </c>
      <c r="G2742" s="2">
        <v>201704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361</v>
      </c>
      <c r="M2742" s="2" t="s">
        <v>362</v>
      </c>
      <c r="N2742" s="2" t="s">
        <v>363</v>
      </c>
      <c r="O2742" s="2" t="s">
        <v>96</v>
      </c>
      <c r="P2742" s="2" t="str">
        <f>"2170532979                    "</f>
        <v xml:space="preserve">2170532979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4.66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0.5</v>
      </c>
      <c r="BJ2742" s="2">
        <v>0.2</v>
      </c>
      <c r="BK2742" s="2">
        <v>0.5</v>
      </c>
      <c r="BL2742" s="2">
        <v>57.31</v>
      </c>
      <c r="BM2742" s="2">
        <v>8.02</v>
      </c>
      <c r="BN2742" s="2">
        <v>65.33</v>
      </c>
      <c r="BO2742" s="2">
        <v>65.33</v>
      </c>
      <c r="BP2742" s="2"/>
      <c r="BQ2742" s="2" t="s">
        <v>364</v>
      </c>
      <c r="BR2742" s="2" t="s">
        <v>83</v>
      </c>
      <c r="BS2742" s="3">
        <v>42671</v>
      </c>
      <c r="BT2742" s="4">
        <v>0.42499999999999999</v>
      </c>
      <c r="BU2742" s="2" t="s">
        <v>2450</v>
      </c>
      <c r="BV2742" s="2" t="s">
        <v>85</v>
      </c>
      <c r="BW2742" s="2"/>
      <c r="BX2742" s="2"/>
      <c r="BY2742" s="2">
        <v>1200</v>
      </c>
      <c r="BZ2742" s="2"/>
      <c r="CA2742" s="2"/>
      <c r="CB2742" s="2"/>
      <c r="CC2742" s="2" t="s">
        <v>362</v>
      </c>
      <c r="CD2742" s="2">
        <v>1441</v>
      </c>
      <c r="CE2742" s="2" t="s">
        <v>108</v>
      </c>
      <c r="CF2742" s="5">
        <v>42674</v>
      </c>
      <c r="CG2742" s="2"/>
      <c r="CH2742" s="2"/>
      <c r="CI2742" s="2">
        <v>1</v>
      </c>
      <c r="CJ2742" s="2">
        <v>1</v>
      </c>
      <c r="CK2742" s="2">
        <v>24</v>
      </c>
      <c r="CL2742" s="2" t="s">
        <v>88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"FES1162509711"</f>
        <v>FES1162509711</v>
      </c>
      <c r="F2743" s="3">
        <v>42670</v>
      </c>
      <c r="G2743" s="2">
        <v>201704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160</v>
      </c>
      <c r="M2743" s="2" t="s">
        <v>161</v>
      </c>
      <c r="N2743" s="2" t="s">
        <v>179</v>
      </c>
      <c r="O2743" s="2" t="s">
        <v>96</v>
      </c>
      <c r="P2743" s="2" t="str">
        <f>"2170532858                    "</f>
        <v xml:space="preserve">2170532858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3.32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1</v>
      </c>
      <c r="BI2743" s="2">
        <v>1</v>
      </c>
      <c r="BJ2743" s="2">
        <v>0.2</v>
      </c>
      <c r="BK2743" s="2">
        <v>1</v>
      </c>
      <c r="BL2743" s="2">
        <v>40.76</v>
      </c>
      <c r="BM2743" s="2">
        <v>5.71</v>
      </c>
      <c r="BN2743" s="2">
        <v>46.47</v>
      </c>
      <c r="BO2743" s="2">
        <v>46.47</v>
      </c>
      <c r="BP2743" s="2"/>
      <c r="BQ2743" s="2" t="s">
        <v>180</v>
      </c>
      <c r="BR2743" s="2" t="s">
        <v>83</v>
      </c>
      <c r="BS2743" s="3">
        <v>42671</v>
      </c>
      <c r="BT2743" s="4">
        <v>0.41666666666666669</v>
      </c>
      <c r="BU2743" s="2" t="s">
        <v>2459</v>
      </c>
      <c r="BV2743" s="2" t="s">
        <v>85</v>
      </c>
      <c r="BW2743" s="2"/>
      <c r="BX2743" s="2"/>
      <c r="BY2743" s="2">
        <v>1200</v>
      </c>
      <c r="BZ2743" s="2"/>
      <c r="CA2743" s="2" t="s">
        <v>129</v>
      </c>
      <c r="CB2743" s="2"/>
      <c r="CC2743" s="2" t="s">
        <v>161</v>
      </c>
      <c r="CD2743" s="2">
        <v>7405</v>
      </c>
      <c r="CE2743" s="2" t="s">
        <v>108</v>
      </c>
      <c r="CF2743" s="5">
        <v>42674</v>
      </c>
      <c r="CG2743" s="2"/>
      <c r="CH2743" s="2"/>
      <c r="CI2743" s="2">
        <v>1</v>
      </c>
      <c r="CJ2743" s="2">
        <v>1</v>
      </c>
      <c r="CK2743" s="2">
        <v>21</v>
      </c>
      <c r="CL2743" s="2" t="s">
        <v>88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"FES1162509914"</f>
        <v>FES1162509914</v>
      </c>
      <c r="F2744" s="3">
        <v>42670</v>
      </c>
      <c r="G2744" s="2">
        <v>201704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160</v>
      </c>
      <c r="M2744" s="2" t="s">
        <v>161</v>
      </c>
      <c r="N2744" s="2" t="s">
        <v>2540</v>
      </c>
      <c r="O2744" s="2" t="s">
        <v>96</v>
      </c>
      <c r="P2744" s="2" t="str">
        <f>"2170532919                    "</f>
        <v xml:space="preserve">2170532919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3.32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1</v>
      </c>
      <c r="BJ2744" s="2">
        <v>0.2</v>
      </c>
      <c r="BK2744" s="2">
        <v>1</v>
      </c>
      <c r="BL2744" s="2">
        <v>40.76</v>
      </c>
      <c r="BM2744" s="2">
        <v>5.71</v>
      </c>
      <c r="BN2744" s="2">
        <v>46.47</v>
      </c>
      <c r="BO2744" s="2">
        <v>46.47</v>
      </c>
      <c r="BP2744" s="2"/>
      <c r="BQ2744" s="2" t="s">
        <v>2541</v>
      </c>
      <c r="BR2744" s="2" t="s">
        <v>83</v>
      </c>
      <c r="BS2744" s="3">
        <v>42671</v>
      </c>
      <c r="BT2744" s="4">
        <v>0.40277777777777773</v>
      </c>
      <c r="BU2744" s="2" t="s">
        <v>2542</v>
      </c>
      <c r="BV2744" s="2" t="s">
        <v>85</v>
      </c>
      <c r="BW2744" s="2"/>
      <c r="BX2744" s="2"/>
      <c r="BY2744" s="2">
        <v>1200</v>
      </c>
      <c r="BZ2744" s="2"/>
      <c r="CA2744" s="2"/>
      <c r="CB2744" s="2"/>
      <c r="CC2744" s="2" t="s">
        <v>161</v>
      </c>
      <c r="CD2744" s="2">
        <v>7560</v>
      </c>
      <c r="CE2744" s="2" t="s">
        <v>108</v>
      </c>
      <c r="CF2744" s="5">
        <v>42674</v>
      </c>
      <c r="CG2744" s="2"/>
      <c r="CH2744" s="2"/>
      <c r="CI2744" s="2">
        <v>1</v>
      </c>
      <c r="CJ2744" s="2">
        <v>1</v>
      </c>
      <c r="CK2744" s="2">
        <v>21</v>
      </c>
      <c r="CL2744" s="2" t="s">
        <v>88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"FES1162509765"</f>
        <v>FES1162509765</v>
      </c>
      <c r="F2745" s="3">
        <v>42670</v>
      </c>
      <c r="G2745" s="2">
        <v>201704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160</v>
      </c>
      <c r="M2745" s="2" t="s">
        <v>161</v>
      </c>
      <c r="N2745" s="2" t="s">
        <v>622</v>
      </c>
      <c r="O2745" s="2" t="s">
        <v>96</v>
      </c>
      <c r="P2745" s="2" t="str">
        <f>"2170532721                    "</f>
        <v xml:space="preserve">2170532721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3.32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0.5</v>
      </c>
      <c r="BJ2745" s="2">
        <v>0.2</v>
      </c>
      <c r="BK2745" s="2">
        <v>0.5</v>
      </c>
      <c r="BL2745" s="2">
        <v>40.76</v>
      </c>
      <c r="BM2745" s="2">
        <v>5.71</v>
      </c>
      <c r="BN2745" s="2">
        <v>46.47</v>
      </c>
      <c r="BO2745" s="2">
        <v>46.47</v>
      </c>
      <c r="BP2745" s="2"/>
      <c r="BQ2745" s="2" t="s">
        <v>623</v>
      </c>
      <c r="BR2745" s="2" t="s">
        <v>83</v>
      </c>
      <c r="BS2745" s="3">
        <v>42671</v>
      </c>
      <c r="BT2745" s="4">
        <v>0.43472222222222223</v>
      </c>
      <c r="BU2745" s="2" t="s">
        <v>624</v>
      </c>
      <c r="BV2745" s="2" t="s">
        <v>85</v>
      </c>
      <c r="BW2745" s="2"/>
      <c r="BX2745" s="2"/>
      <c r="BY2745" s="2">
        <v>1200</v>
      </c>
      <c r="BZ2745" s="2"/>
      <c r="CA2745" s="2" t="s">
        <v>1193</v>
      </c>
      <c r="CB2745" s="2"/>
      <c r="CC2745" s="2" t="s">
        <v>161</v>
      </c>
      <c r="CD2745" s="2">
        <v>7490</v>
      </c>
      <c r="CE2745" s="2" t="s">
        <v>108</v>
      </c>
      <c r="CF2745" s="5">
        <v>42671</v>
      </c>
      <c r="CG2745" s="2"/>
      <c r="CH2745" s="2"/>
      <c r="CI2745" s="2">
        <v>1</v>
      </c>
      <c r="CJ2745" s="2">
        <v>1</v>
      </c>
      <c r="CK2745" s="2">
        <v>21</v>
      </c>
      <c r="CL2745" s="2" t="s">
        <v>88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"FES1162509852"</f>
        <v>FES1162509852</v>
      </c>
      <c r="F2746" s="3">
        <v>42670</v>
      </c>
      <c r="G2746" s="2">
        <v>201704</v>
      </c>
      <c r="H2746" s="2" t="s">
        <v>74</v>
      </c>
      <c r="I2746" s="2" t="s">
        <v>75</v>
      </c>
      <c r="J2746" s="2" t="s">
        <v>76</v>
      </c>
      <c r="K2746" s="2" t="s">
        <v>77</v>
      </c>
      <c r="L2746" s="2" t="s">
        <v>98</v>
      </c>
      <c r="M2746" s="2" t="s">
        <v>99</v>
      </c>
      <c r="N2746" s="2" t="s">
        <v>350</v>
      </c>
      <c r="O2746" s="2" t="s">
        <v>96</v>
      </c>
      <c r="P2746" s="2" t="str">
        <f>"2170531100                    "</f>
        <v xml:space="preserve">2170531100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3.32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1</v>
      </c>
      <c r="BJ2746" s="2">
        <v>0.2</v>
      </c>
      <c r="BK2746" s="2">
        <v>1</v>
      </c>
      <c r="BL2746" s="2">
        <v>40.76</v>
      </c>
      <c r="BM2746" s="2">
        <v>5.71</v>
      </c>
      <c r="BN2746" s="2">
        <v>46.47</v>
      </c>
      <c r="BO2746" s="2">
        <v>46.47</v>
      </c>
      <c r="BP2746" s="2"/>
      <c r="BQ2746" s="2" t="s">
        <v>351</v>
      </c>
      <c r="BR2746" s="2" t="s">
        <v>83</v>
      </c>
      <c r="BS2746" s="3">
        <v>42671</v>
      </c>
      <c r="BT2746" s="4">
        <v>0.41319444444444442</v>
      </c>
      <c r="BU2746" s="2" t="s">
        <v>600</v>
      </c>
      <c r="BV2746" s="2" t="s">
        <v>85</v>
      </c>
      <c r="BW2746" s="2"/>
      <c r="BX2746" s="2"/>
      <c r="BY2746" s="2">
        <v>1200</v>
      </c>
      <c r="BZ2746" s="2"/>
      <c r="CA2746" s="2"/>
      <c r="CB2746" s="2"/>
      <c r="CC2746" s="2" t="s">
        <v>99</v>
      </c>
      <c r="CD2746" s="2">
        <v>6001</v>
      </c>
      <c r="CE2746" s="2" t="s">
        <v>108</v>
      </c>
      <c r="CF2746" s="5">
        <v>42674</v>
      </c>
      <c r="CG2746" s="2"/>
      <c r="CH2746" s="2"/>
      <c r="CI2746" s="2">
        <v>1</v>
      </c>
      <c r="CJ2746" s="2">
        <v>1</v>
      </c>
      <c r="CK2746" s="2">
        <v>21</v>
      </c>
      <c r="CL2746" s="2" t="s">
        <v>88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"FES1162509830"</f>
        <v>FES1162509830</v>
      </c>
      <c r="F2747" s="3">
        <v>42670</v>
      </c>
      <c r="G2747" s="2">
        <v>201704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260</v>
      </c>
      <c r="M2747" s="2" t="s">
        <v>261</v>
      </c>
      <c r="N2747" s="2" t="s">
        <v>347</v>
      </c>
      <c r="O2747" s="2" t="s">
        <v>96</v>
      </c>
      <c r="P2747" s="2" t="str">
        <f>"2170530881                    "</f>
        <v xml:space="preserve">2170530881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3.32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1</v>
      </c>
      <c r="BI2747" s="2">
        <v>0.5</v>
      </c>
      <c r="BJ2747" s="2">
        <v>0.2</v>
      </c>
      <c r="BK2747" s="2">
        <v>0.5</v>
      </c>
      <c r="BL2747" s="2">
        <v>40.76</v>
      </c>
      <c r="BM2747" s="2">
        <v>5.71</v>
      </c>
      <c r="BN2747" s="2">
        <v>46.47</v>
      </c>
      <c r="BO2747" s="2">
        <v>46.47</v>
      </c>
      <c r="BP2747" s="2"/>
      <c r="BQ2747" s="2"/>
      <c r="BR2747" s="2" t="s">
        <v>83</v>
      </c>
      <c r="BS2747" s="3">
        <v>42671</v>
      </c>
      <c r="BT2747" s="4">
        <v>0.40625</v>
      </c>
      <c r="BU2747" s="2" t="s">
        <v>2543</v>
      </c>
      <c r="BV2747" s="2" t="s">
        <v>85</v>
      </c>
      <c r="BW2747" s="2"/>
      <c r="BX2747" s="2"/>
      <c r="BY2747" s="2">
        <v>1200</v>
      </c>
      <c r="BZ2747" s="2"/>
      <c r="CA2747" s="2" t="s">
        <v>451</v>
      </c>
      <c r="CB2747" s="2"/>
      <c r="CC2747" s="2" t="s">
        <v>261</v>
      </c>
      <c r="CD2747" s="2">
        <v>6850</v>
      </c>
      <c r="CE2747" s="2" t="s">
        <v>108</v>
      </c>
      <c r="CF2747" s="5">
        <v>42671</v>
      </c>
      <c r="CG2747" s="2"/>
      <c r="CH2747" s="2"/>
      <c r="CI2747" s="2">
        <v>3</v>
      </c>
      <c r="CJ2747" s="2">
        <v>1</v>
      </c>
      <c r="CK2747" s="2">
        <v>21</v>
      </c>
      <c r="CL2747" s="2" t="s">
        <v>88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"FES1162499479"</f>
        <v>FES1162499479</v>
      </c>
      <c r="F2748" s="3">
        <v>42670</v>
      </c>
      <c r="G2748" s="2">
        <v>201704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160</v>
      </c>
      <c r="M2748" s="2" t="s">
        <v>161</v>
      </c>
      <c r="N2748" s="2" t="s">
        <v>2544</v>
      </c>
      <c r="O2748" s="2" t="s">
        <v>96</v>
      </c>
      <c r="P2748" s="2" t="str">
        <f>"2170521956                    "</f>
        <v xml:space="preserve">2170521956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3.32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1</v>
      </c>
      <c r="BJ2748" s="2">
        <v>0.2</v>
      </c>
      <c r="BK2748" s="2">
        <v>1</v>
      </c>
      <c r="BL2748" s="2">
        <v>40.76</v>
      </c>
      <c r="BM2748" s="2">
        <v>5.71</v>
      </c>
      <c r="BN2748" s="2">
        <v>46.47</v>
      </c>
      <c r="BO2748" s="2">
        <v>46.47</v>
      </c>
      <c r="BP2748" s="2"/>
      <c r="BQ2748" s="2" t="s">
        <v>2545</v>
      </c>
      <c r="BR2748" s="2" t="s">
        <v>83</v>
      </c>
      <c r="BS2748" s="3">
        <v>42671</v>
      </c>
      <c r="BT2748" s="4">
        <v>0.3659722222222222</v>
      </c>
      <c r="BU2748" s="2" t="s">
        <v>2546</v>
      </c>
      <c r="BV2748" s="2" t="s">
        <v>85</v>
      </c>
      <c r="BW2748" s="2"/>
      <c r="BX2748" s="2"/>
      <c r="BY2748" s="2">
        <v>1200</v>
      </c>
      <c r="BZ2748" s="2"/>
      <c r="CA2748" s="2"/>
      <c r="CB2748" s="2"/>
      <c r="CC2748" s="2" t="s">
        <v>161</v>
      </c>
      <c r="CD2748" s="2">
        <v>7530</v>
      </c>
      <c r="CE2748" s="2" t="s">
        <v>108</v>
      </c>
      <c r="CF2748" s="5">
        <v>42674</v>
      </c>
      <c r="CG2748" s="2"/>
      <c r="CH2748" s="2"/>
      <c r="CI2748" s="2">
        <v>1</v>
      </c>
      <c r="CJ2748" s="2">
        <v>1</v>
      </c>
      <c r="CK2748" s="2">
        <v>21</v>
      </c>
      <c r="CL2748" s="2" t="s">
        <v>88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"FES1162509690"</f>
        <v>FES1162509690</v>
      </c>
      <c r="F2749" s="3">
        <v>42670</v>
      </c>
      <c r="G2749" s="2">
        <v>201704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160</v>
      </c>
      <c r="M2749" s="2" t="s">
        <v>161</v>
      </c>
      <c r="N2749" s="2" t="s">
        <v>1510</v>
      </c>
      <c r="O2749" s="2" t="s">
        <v>96</v>
      </c>
      <c r="P2749" s="2" t="str">
        <f>"2170528651                    "</f>
        <v xml:space="preserve">2170528651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3.32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0.4</v>
      </c>
      <c r="BJ2749" s="2">
        <v>1.1000000000000001</v>
      </c>
      <c r="BK2749" s="2">
        <v>1.5</v>
      </c>
      <c r="BL2749" s="2">
        <v>40.76</v>
      </c>
      <c r="BM2749" s="2">
        <v>5.71</v>
      </c>
      <c r="BN2749" s="2">
        <v>46.47</v>
      </c>
      <c r="BO2749" s="2">
        <v>46.47</v>
      </c>
      <c r="BP2749" s="2"/>
      <c r="BQ2749" s="2" t="s">
        <v>168</v>
      </c>
      <c r="BR2749" s="2" t="s">
        <v>83</v>
      </c>
      <c r="BS2749" s="3">
        <v>42674</v>
      </c>
      <c r="BT2749" s="4">
        <v>0.4201388888888889</v>
      </c>
      <c r="BU2749" s="2" t="s">
        <v>2547</v>
      </c>
      <c r="BV2749" s="2" t="s">
        <v>88</v>
      </c>
      <c r="BW2749" s="2"/>
      <c r="BX2749" s="2"/>
      <c r="BY2749" s="2">
        <v>5460.4</v>
      </c>
      <c r="BZ2749" s="2"/>
      <c r="CA2749" s="2" t="s">
        <v>129</v>
      </c>
      <c r="CB2749" s="2"/>
      <c r="CC2749" s="2" t="s">
        <v>161</v>
      </c>
      <c r="CD2749" s="2">
        <v>7404</v>
      </c>
      <c r="CE2749" s="2" t="s">
        <v>108</v>
      </c>
      <c r="CF2749" s="5">
        <v>42675</v>
      </c>
      <c r="CG2749" s="2"/>
      <c r="CH2749" s="2"/>
      <c r="CI2749" s="2">
        <v>1</v>
      </c>
      <c r="CJ2749" s="2">
        <v>2</v>
      </c>
      <c r="CK2749" s="2">
        <v>21</v>
      </c>
      <c r="CL2749" s="2" t="s">
        <v>88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"FES1162509851"</f>
        <v>FES1162509851</v>
      </c>
      <c r="F2750" s="3">
        <v>42670</v>
      </c>
      <c r="G2750" s="2">
        <v>201704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160</v>
      </c>
      <c r="M2750" s="2" t="s">
        <v>161</v>
      </c>
      <c r="N2750" s="2" t="s">
        <v>737</v>
      </c>
      <c r="O2750" s="2" t="s">
        <v>96</v>
      </c>
      <c r="P2750" s="2" t="str">
        <f>"2170532686                    "</f>
        <v xml:space="preserve">2170532686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3.32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1</v>
      </c>
      <c r="BJ2750" s="2">
        <v>0.2</v>
      </c>
      <c r="BK2750" s="2">
        <v>1</v>
      </c>
      <c r="BL2750" s="2">
        <v>40.76</v>
      </c>
      <c r="BM2750" s="2">
        <v>5.71</v>
      </c>
      <c r="BN2750" s="2">
        <v>46.47</v>
      </c>
      <c r="BO2750" s="2">
        <v>46.47</v>
      </c>
      <c r="BP2750" s="2"/>
      <c r="BQ2750" s="2" t="s">
        <v>91</v>
      </c>
      <c r="BR2750" s="2" t="s">
        <v>83</v>
      </c>
      <c r="BS2750" s="3">
        <v>42671</v>
      </c>
      <c r="BT2750" s="4">
        <v>0.40972222222222227</v>
      </c>
      <c r="BU2750" s="2" t="s">
        <v>2548</v>
      </c>
      <c r="BV2750" s="2" t="s">
        <v>85</v>
      </c>
      <c r="BW2750" s="2"/>
      <c r="BX2750" s="2"/>
      <c r="BY2750" s="2">
        <v>1200</v>
      </c>
      <c r="BZ2750" s="2"/>
      <c r="CA2750" s="2"/>
      <c r="CB2750" s="2"/>
      <c r="CC2750" s="2" t="s">
        <v>161</v>
      </c>
      <c r="CD2750" s="2">
        <v>7708</v>
      </c>
      <c r="CE2750" s="2" t="s">
        <v>108</v>
      </c>
      <c r="CF2750" s="5">
        <v>42674</v>
      </c>
      <c r="CG2750" s="2"/>
      <c r="CH2750" s="2"/>
      <c r="CI2750" s="2">
        <v>1</v>
      </c>
      <c r="CJ2750" s="2">
        <v>1</v>
      </c>
      <c r="CK2750" s="2">
        <v>21</v>
      </c>
      <c r="CL2750" s="2" t="s">
        <v>88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"FES1162509936"</f>
        <v>FES1162509936</v>
      </c>
      <c r="F2751" s="3">
        <v>42670</v>
      </c>
      <c r="G2751" s="2">
        <v>201704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160</v>
      </c>
      <c r="M2751" s="2" t="s">
        <v>161</v>
      </c>
      <c r="N2751" s="2" t="s">
        <v>622</v>
      </c>
      <c r="O2751" s="2" t="s">
        <v>96</v>
      </c>
      <c r="P2751" s="2" t="str">
        <f>"2170533098                    "</f>
        <v xml:space="preserve">2170533098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3.32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0.5</v>
      </c>
      <c r="BJ2751" s="2">
        <v>0.2</v>
      </c>
      <c r="BK2751" s="2">
        <v>0.5</v>
      </c>
      <c r="BL2751" s="2">
        <v>40.76</v>
      </c>
      <c r="BM2751" s="2">
        <v>5.71</v>
      </c>
      <c r="BN2751" s="2">
        <v>46.47</v>
      </c>
      <c r="BO2751" s="2">
        <v>46.47</v>
      </c>
      <c r="BP2751" s="2"/>
      <c r="BQ2751" s="2" t="s">
        <v>623</v>
      </c>
      <c r="BR2751" s="2" t="s">
        <v>83</v>
      </c>
      <c r="BS2751" s="3">
        <v>42671</v>
      </c>
      <c r="BT2751" s="4">
        <v>0.43402777777777773</v>
      </c>
      <c r="BU2751" s="2" t="s">
        <v>624</v>
      </c>
      <c r="BV2751" s="2" t="s">
        <v>85</v>
      </c>
      <c r="BW2751" s="2"/>
      <c r="BX2751" s="2"/>
      <c r="BY2751" s="2">
        <v>1200</v>
      </c>
      <c r="BZ2751" s="2"/>
      <c r="CA2751" s="2" t="s">
        <v>1193</v>
      </c>
      <c r="CB2751" s="2"/>
      <c r="CC2751" s="2" t="s">
        <v>161</v>
      </c>
      <c r="CD2751" s="2">
        <v>7490</v>
      </c>
      <c r="CE2751" s="2" t="s">
        <v>108</v>
      </c>
      <c r="CF2751" s="5">
        <v>42671</v>
      </c>
      <c r="CG2751" s="2"/>
      <c r="CH2751" s="2"/>
      <c r="CI2751" s="2">
        <v>1</v>
      </c>
      <c r="CJ2751" s="2">
        <v>1</v>
      </c>
      <c r="CK2751" s="2">
        <v>21</v>
      </c>
      <c r="CL2751" s="2" t="s">
        <v>88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"FES1162509847"</f>
        <v>FES1162509847</v>
      </c>
      <c r="F2752" s="3">
        <v>42670</v>
      </c>
      <c r="G2752" s="2">
        <v>201704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160</v>
      </c>
      <c r="M2752" s="2" t="s">
        <v>161</v>
      </c>
      <c r="N2752" s="2" t="s">
        <v>162</v>
      </c>
      <c r="O2752" s="2" t="s">
        <v>96</v>
      </c>
      <c r="P2752" s="2" t="str">
        <f>"2170533007                    "</f>
        <v xml:space="preserve">2170533007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3.32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1</v>
      </c>
      <c r="BJ2752" s="2">
        <v>1.2</v>
      </c>
      <c r="BK2752" s="2">
        <v>1.5</v>
      </c>
      <c r="BL2752" s="2">
        <v>40.76</v>
      </c>
      <c r="BM2752" s="2">
        <v>5.71</v>
      </c>
      <c r="BN2752" s="2">
        <v>46.47</v>
      </c>
      <c r="BO2752" s="2">
        <v>46.47</v>
      </c>
      <c r="BP2752" s="2"/>
      <c r="BQ2752" s="2" t="s">
        <v>163</v>
      </c>
      <c r="BR2752" s="2" t="s">
        <v>83</v>
      </c>
      <c r="BS2752" s="3">
        <v>42671</v>
      </c>
      <c r="BT2752" s="4">
        <v>0.41666666666666669</v>
      </c>
      <c r="BU2752" s="2" t="s">
        <v>2549</v>
      </c>
      <c r="BV2752" s="2" t="s">
        <v>85</v>
      </c>
      <c r="BW2752" s="2"/>
      <c r="BX2752" s="2"/>
      <c r="BY2752" s="2">
        <v>5963.58</v>
      </c>
      <c r="BZ2752" s="2" t="s">
        <v>27</v>
      </c>
      <c r="CA2752" s="2"/>
      <c r="CB2752" s="2"/>
      <c r="CC2752" s="2" t="s">
        <v>161</v>
      </c>
      <c r="CD2752" s="2">
        <v>7441</v>
      </c>
      <c r="CE2752" s="2" t="s">
        <v>108</v>
      </c>
      <c r="CF2752" s="5">
        <v>42674</v>
      </c>
      <c r="CG2752" s="2"/>
      <c r="CH2752" s="2"/>
      <c r="CI2752" s="2">
        <v>1</v>
      </c>
      <c r="CJ2752" s="2">
        <v>1</v>
      </c>
      <c r="CK2752" s="2">
        <v>21</v>
      </c>
      <c r="CL2752" s="2" t="s">
        <v>88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"FES1162509940"</f>
        <v>FES1162509940</v>
      </c>
      <c r="F2753" s="3">
        <v>42670</v>
      </c>
      <c r="G2753" s="2">
        <v>201704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160</v>
      </c>
      <c r="M2753" s="2" t="s">
        <v>161</v>
      </c>
      <c r="N2753" s="2" t="s">
        <v>643</v>
      </c>
      <c r="O2753" s="2" t="s">
        <v>96</v>
      </c>
      <c r="P2753" s="2" t="str">
        <f>"2170533105                    "</f>
        <v xml:space="preserve">2170533105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3.32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0.5</v>
      </c>
      <c r="BJ2753" s="2">
        <v>0.2</v>
      </c>
      <c r="BK2753" s="2">
        <v>0.5</v>
      </c>
      <c r="BL2753" s="2">
        <v>40.76</v>
      </c>
      <c r="BM2753" s="2">
        <v>5.71</v>
      </c>
      <c r="BN2753" s="2">
        <v>46.47</v>
      </c>
      <c r="BO2753" s="2">
        <v>46.47</v>
      </c>
      <c r="BP2753" s="2"/>
      <c r="BQ2753" s="2" t="s">
        <v>644</v>
      </c>
      <c r="BR2753" s="2" t="s">
        <v>83</v>
      </c>
      <c r="BS2753" s="3">
        <v>42671</v>
      </c>
      <c r="BT2753" s="4">
        <v>0.41666666666666669</v>
      </c>
      <c r="BU2753" s="2" t="s">
        <v>1700</v>
      </c>
      <c r="BV2753" s="2" t="s">
        <v>85</v>
      </c>
      <c r="BW2753" s="2"/>
      <c r="BX2753" s="2"/>
      <c r="BY2753" s="2">
        <v>1200</v>
      </c>
      <c r="BZ2753" s="2"/>
      <c r="CA2753" s="2"/>
      <c r="CB2753" s="2"/>
      <c r="CC2753" s="2" t="s">
        <v>161</v>
      </c>
      <c r="CD2753" s="2">
        <v>7925</v>
      </c>
      <c r="CE2753" s="2" t="s">
        <v>108</v>
      </c>
      <c r="CF2753" s="5">
        <v>42674</v>
      </c>
      <c r="CG2753" s="2"/>
      <c r="CH2753" s="2"/>
      <c r="CI2753" s="2">
        <v>1</v>
      </c>
      <c r="CJ2753" s="2">
        <v>1</v>
      </c>
      <c r="CK2753" s="2">
        <v>21</v>
      </c>
      <c r="CL2753" s="2" t="s">
        <v>88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"FES1162509850"</f>
        <v>FES1162509850</v>
      </c>
      <c r="F2754" s="3">
        <v>42670</v>
      </c>
      <c r="G2754" s="2">
        <v>201704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160</v>
      </c>
      <c r="M2754" s="2" t="s">
        <v>161</v>
      </c>
      <c r="N2754" s="2" t="s">
        <v>279</v>
      </c>
      <c r="O2754" s="2" t="s">
        <v>96</v>
      </c>
      <c r="P2754" s="2" t="str">
        <f>"2170532571                    "</f>
        <v xml:space="preserve">2170532571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3.32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0.5</v>
      </c>
      <c r="BJ2754" s="2">
        <v>0.2</v>
      </c>
      <c r="BK2754" s="2">
        <v>0.5</v>
      </c>
      <c r="BL2754" s="2">
        <v>40.76</v>
      </c>
      <c r="BM2754" s="2">
        <v>5.71</v>
      </c>
      <c r="BN2754" s="2">
        <v>46.47</v>
      </c>
      <c r="BO2754" s="2">
        <v>46.47</v>
      </c>
      <c r="BP2754" s="2"/>
      <c r="BQ2754" s="2" t="s">
        <v>280</v>
      </c>
      <c r="BR2754" s="2" t="s">
        <v>83</v>
      </c>
      <c r="BS2754" s="3">
        <v>42671</v>
      </c>
      <c r="BT2754" s="4">
        <v>0.38194444444444442</v>
      </c>
      <c r="BU2754" s="2" t="s">
        <v>731</v>
      </c>
      <c r="BV2754" s="2" t="s">
        <v>85</v>
      </c>
      <c r="BW2754" s="2"/>
      <c r="BX2754" s="2"/>
      <c r="BY2754" s="2">
        <v>1200</v>
      </c>
      <c r="BZ2754" s="2"/>
      <c r="CA2754" s="2"/>
      <c r="CB2754" s="2"/>
      <c r="CC2754" s="2" t="s">
        <v>161</v>
      </c>
      <c r="CD2754" s="2">
        <v>7441</v>
      </c>
      <c r="CE2754" s="2" t="s">
        <v>108</v>
      </c>
      <c r="CF2754" s="5">
        <v>42674</v>
      </c>
      <c r="CG2754" s="2"/>
      <c r="CH2754" s="2"/>
      <c r="CI2754" s="2">
        <v>1</v>
      </c>
      <c r="CJ2754" s="2">
        <v>1</v>
      </c>
      <c r="CK2754" s="2">
        <v>21</v>
      </c>
      <c r="CL2754" s="2" t="s">
        <v>88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"FES1162509788"</f>
        <v>FES1162509788</v>
      </c>
      <c r="F2755" s="3">
        <v>42670</v>
      </c>
      <c r="G2755" s="2">
        <v>201704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218</v>
      </c>
      <c r="M2755" s="2" t="s">
        <v>219</v>
      </c>
      <c r="N2755" s="2" t="s">
        <v>220</v>
      </c>
      <c r="O2755" s="2" t="s">
        <v>96</v>
      </c>
      <c r="P2755" s="2" t="str">
        <f>"2170530512                    "</f>
        <v xml:space="preserve">2170530512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3.32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2</v>
      </c>
      <c r="BJ2755" s="2">
        <v>1.9</v>
      </c>
      <c r="BK2755" s="2">
        <v>2</v>
      </c>
      <c r="BL2755" s="2">
        <v>40.76</v>
      </c>
      <c r="BM2755" s="2">
        <v>5.71</v>
      </c>
      <c r="BN2755" s="2">
        <v>46.47</v>
      </c>
      <c r="BO2755" s="2">
        <v>46.47</v>
      </c>
      <c r="BP2755" s="2"/>
      <c r="BQ2755" s="2" t="s">
        <v>91</v>
      </c>
      <c r="BR2755" s="2" t="s">
        <v>83</v>
      </c>
      <c r="BS2755" s="3">
        <v>42671</v>
      </c>
      <c r="BT2755" s="4">
        <v>0.41666666666666669</v>
      </c>
      <c r="BU2755" s="2" t="s">
        <v>1881</v>
      </c>
      <c r="BV2755" s="2" t="s">
        <v>85</v>
      </c>
      <c r="BW2755" s="2"/>
      <c r="BX2755" s="2"/>
      <c r="BY2755" s="2">
        <v>9367</v>
      </c>
      <c r="BZ2755" s="2"/>
      <c r="CA2755" s="2"/>
      <c r="CB2755" s="2"/>
      <c r="CC2755" s="2" t="s">
        <v>219</v>
      </c>
      <c r="CD2755" s="2">
        <v>7600</v>
      </c>
      <c r="CE2755" s="2" t="s">
        <v>86</v>
      </c>
      <c r="CF2755" s="5">
        <v>42674</v>
      </c>
      <c r="CG2755" s="2"/>
      <c r="CH2755" s="2"/>
      <c r="CI2755" s="2">
        <v>1</v>
      </c>
      <c r="CJ2755" s="2">
        <v>1</v>
      </c>
      <c r="CK2755" s="2">
        <v>21</v>
      </c>
      <c r="CL2755" s="2" t="s">
        <v>88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"FES1162509635"</f>
        <v>FES1162509635</v>
      </c>
      <c r="F2756" s="3">
        <v>42670</v>
      </c>
      <c r="G2756" s="2">
        <v>201704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137</v>
      </c>
      <c r="M2756" s="2" t="s">
        <v>138</v>
      </c>
      <c r="N2756" s="2" t="s">
        <v>291</v>
      </c>
      <c r="O2756" s="2" t="s">
        <v>96</v>
      </c>
      <c r="P2756" s="2" t="str">
        <f>"2170525124                    "</f>
        <v xml:space="preserve">2170525124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22.39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2</v>
      </c>
      <c r="BI2756" s="2">
        <v>13.4</v>
      </c>
      <c r="BJ2756" s="2">
        <v>5.3</v>
      </c>
      <c r="BK2756" s="2">
        <v>13.5</v>
      </c>
      <c r="BL2756" s="2">
        <v>275.11</v>
      </c>
      <c r="BM2756" s="2">
        <v>38.520000000000003</v>
      </c>
      <c r="BN2756" s="2">
        <v>313.63</v>
      </c>
      <c r="BO2756" s="2">
        <v>313.63</v>
      </c>
      <c r="BP2756" s="2"/>
      <c r="BQ2756" s="2" t="s">
        <v>117</v>
      </c>
      <c r="BR2756" s="2" t="s">
        <v>83</v>
      </c>
      <c r="BS2756" s="3">
        <v>42671</v>
      </c>
      <c r="BT2756" s="4">
        <v>0.4375</v>
      </c>
      <c r="BU2756" s="2" t="s">
        <v>781</v>
      </c>
      <c r="BV2756" s="2"/>
      <c r="BW2756" s="2"/>
      <c r="BX2756" s="2"/>
      <c r="BY2756" s="2">
        <v>26505.15</v>
      </c>
      <c r="BZ2756" s="2"/>
      <c r="CA2756" s="2" t="s">
        <v>613</v>
      </c>
      <c r="CB2756" s="2"/>
      <c r="CC2756" s="2" t="s">
        <v>138</v>
      </c>
      <c r="CD2756" s="2">
        <v>3201</v>
      </c>
      <c r="CE2756" s="2" t="s">
        <v>86</v>
      </c>
      <c r="CF2756" s="5">
        <v>42674</v>
      </c>
      <c r="CG2756" s="2"/>
      <c r="CH2756" s="2"/>
      <c r="CI2756" s="2">
        <v>0</v>
      </c>
      <c r="CJ2756" s="2">
        <v>0</v>
      </c>
      <c r="CK2756" s="2">
        <v>21</v>
      </c>
      <c r="CL2756" s="2" t="s">
        <v>88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"FES1162509638"</f>
        <v>FES1162509638</v>
      </c>
      <c r="F2757" s="3">
        <v>42670</v>
      </c>
      <c r="G2757" s="2">
        <v>201704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137</v>
      </c>
      <c r="M2757" s="2" t="s">
        <v>138</v>
      </c>
      <c r="N2757" s="2" t="s">
        <v>291</v>
      </c>
      <c r="O2757" s="2" t="s">
        <v>96</v>
      </c>
      <c r="P2757" s="2" t="str">
        <f>"2170528674                    "</f>
        <v xml:space="preserve">2170528674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6.63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4</v>
      </c>
      <c r="BJ2757" s="2">
        <v>1.5</v>
      </c>
      <c r="BK2757" s="2">
        <v>4</v>
      </c>
      <c r="BL2757" s="2">
        <v>81.510000000000005</v>
      </c>
      <c r="BM2757" s="2">
        <v>11.41</v>
      </c>
      <c r="BN2757" s="2">
        <v>92.92</v>
      </c>
      <c r="BO2757" s="2">
        <v>92.92</v>
      </c>
      <c r="BP2757" s="2"/>
      <c r="BQ2757" s="2" t="s">
        <v>117</v>
      </c>
      <c r="BR2757" s="2" t="s">
        <v>83</v>
      </c>
      <c r="BS2757" s="3">
        <v>42671</v>
      </c>
      <c r="BT2757" s="4">
        <v>0.4375</v>
      </c>
      <c r="BU2757" s="2" t="s">
        <v>781</v>
      </c>
      <c r="BV2757" s="2"/>
      <c r="BW2757" s="2"/>
      <c r="BX2757" s="2"/>
      <c r="BY2757" s="2">
        <v>7540</v>
      </c>
      <c r="BZ2757" s="2"/>
      <c r="CA2757" s="2" t="s">
        <v>613</v>
      </c>
      <c r="CB2757" s="2"/>
      <c r="CC2757" s="2" t="s">
        <v>138</v>
      </c>
      <c r="CD2757" s="2">
        <v>3201</v>
      </c>
      <c r="CE2757" s="2" t="s">
        <v>86</v>
      </c>
      <c r="CF2757" s="5">
        <v>42671</v>
      </c>
      <c r="CG2757" s="2"/>
      <c r="CH2757" s="2"/>
      <c r="CI2757" s="2">
        <v>0</v>
      </c>
      <c r="CJ2757" s="2">
        <v>0</v>
      </c>
      <c r="CK2757" s="2">
        <v>21</v>
      </c>
      <c r="CL2757" s="2" t="s">
        <v>88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"FES1162510123"</f>
        <v>FES1162510123</v>
      </c>
      <c r="F2758" s="3">
        <v>42671</v>
      </c>
      <c r="G2758" s="2">
        <v>201704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160</v>
      </c>
      <c r="M2758" s="2" t="s">
        <v>161</v>
      </c>
      <c r="N2758" s="2" t="s">
        <v>279</v>
      </c>
      <c r="O2758" s="2" t="s">
        <v>96</v>
      </c>
      <c r="P2758" s="2" t="str">
        <f>"2170531916                    "</f>
        <v xml:space="preserve">2170531916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4.9800000000000004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2.7</v>
      </c>
      <c r="BJ2758" s="2">
        <v>1.6</v>
      </c>
      <c r="BK2758" s="2">
        <v>3</v>
      </c>
      <c r="BL2758" s="2">
        <v>61.14</v>
      </c>
      <c r="BM2758" s="2">
        <v>8.56</v>
      </c>
      <c r="BN2758" s="2">
        <v>69.7</v>
      </c>
      <c r="BO2758" s="2">
        <v>69.7</v>
      </c>
      <c r="BP2758" s="2"/>
      <c r="BQ2758" s="2" t="s">
        <v>280</v>
      </c>
      <c r="BR2758" s="2" t="s">
        <v>83</v>
      </c>
      <c r="BS2758" s="3">
        <v>42674</v>
      </c>
      <c r="BT2758" s="4">
        <v>0.41666666666666669</v>
      </c>
      <c r="BU2758" s="2" t="s">
        <v>2192</v>
      </c>
      <c r="BV2758" s="2" t="s">
        <v>85</v>
      </c>
      <c r="BW2758" s="2"/>
      <c r="BX2758" s="2"/>
      <c r="BY2758" s="2">
        <v>8019.54</v>
      </c>
      <c r="BZ2758" s="2"/>
      <c r="CA2758" s="2"/>
      <c r="CB2758" s="2"/>
      <c r="CC2758" s="2" t="s">
        <v>161</v>
      </c>
      <c r="CD2758" s="2">
        <v>7441</v>
      </c>
      <c r="CE2758" s="2" t="s">
        <v>86</v>
      </c>
      <c r="CF2758" s="5">
        <v>42675</v>
      </c>
      <c r="CG2758" s="2"/>
      <c r="CH2758" s="2"/>
      <c r="CI2758" s="2">
        <v>1</v>
      </c>
      <c r="CJ2758" s="2">
        <v>1</v>
      </c>
      <c r="CK2758" s="2">
        <v>21</v>
      </c>
      <c r="CL2758" s="2" t="s">
        <v>88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"FES1162510222"</f>
        <v>FES1162510222</v>
      </c>
      <c r="F2759" s="3">
        <v>42671</v>
      </c>
      <c r="G2759" s="2">
        <v>201704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98</v>
      </c>
      <c r="M2759" s="2" t="s">
        <v>99</v>
      </c>
      <c r="N2759" s="2" t="s">
        <v>133</v>
      </c>
      <c r="O2759" s="2" t="s">
        <v>96</v>
      </c>
      <c r="P2759" s="2" t="str">
        <f>"2170533317                    "</f>
        <v xml:space="preserve">2170533317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3.32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2</v>
      </c>
      <c r="BJ2759" s="2">
        <v>0.2</v>
      </c>
      <c r="BK2759" s="2">
        <v>2</v>
      </c>
      <c r="BL2759" s="2">
        <v>40.76</v>
      </c>
      <c r="BM2759" s="2">
        <v>5.71</v>
      </c>
      <c r="BN2759" s="2">
        <v>46.47</v>
      </c>
      <c r="BO2759" s="2">
        <v>46.47</v>
      </c>
      <c r="BP2759" s="2"/>
      <c r="BQ2759" s="2" t="s">
        <v>134</v>
      </c>
      <c r="BR2759" s="2" t="s">
        <v>83</v>
      </c>
      <c r="BS2759" s="3">
        <v>42674</v>
      </c>
      <c r="BT2759" s="4">
        <v>0.35416666666666669</v>
      </c>
      <c r="BU2759" s="2" t="s">
        <v>1714</v>
      </c>
      <c r="BV2759" s="2" t="s">
        <v>85</v>
      </c>
      <c r="BW2759" s="2"/>
      <c r="BX2759" s="2"/>
      <c r="BY2759" s="2">
        <v>1200</v>
      </c>
      <c r="BZ2759" s="2"/>
      <c r="CA2759" s="2" t="s">
        <v>437</v>
      </c>
      <c r="CB2759" s="2"/>
      <c r="CC2759" s="2" t="s">
        <v>99</v>
      </c>
      <c r="CD2759" s="2">
        <v>6001</v>
      </c>
      <c r="CE2759" s="2" t="s">
        <v>108</v>
      </c>
      <c r="CF2759" s="5">
        <v>42674</v>
      </c>
      <c r="CG2759" s="2"/>
      <c r="CH2759" s="2"/>
      <c r="CI2759" s="2">
        <v>1</v>
      </c>
      <c r="CJ2759" s="2">
        <v>1</v>
      </c>
      <c r="CK2759" s="2">
        <v>21</v>
      </c>
      <c r="CL2759" s="2" t="s">
        <v>88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"FES1162510175"</f>
        <v>FES1162510175</v>
      </c>
      <c r="F2760" s="3">
        <v>42671</v>
      </c>
      <c r="G2760" s="2">
        <v>201704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148</v>
      </c>
      <c r="M2760" s="2" t="s">
        <v>149</v>
      </c>
      <c r="N2760" s="2" t="s">
        <v>2550</v>
      </c>
      <c r="O2760" s="2" t="s">
        <v>96</v>
      </c>
      <c r="P2760" s="2" t="str">
        <f>"2170533279                    "</f>
        <v xml:space="preserve">2170533279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3.32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1</v>
      </c>
      <c r="BJ2760" s="2">
        <v>0.2</v>
      </c>
      <c r="BK2760" s="2">
        <v>1</v>
      </c>
      <c r="BL2760" s="2">
        <v>40.76</v>
      </c>
      <c r="BM2760" s="2">
        <v>5.71</v>
      </c>
      <c r="BN2760" s="2">
        <v>46.47</v>
      </c>
      <c r="BO2760" s="2">
        <v>46.47</v>
      </c>
      <c r="BP2760" s="2"/>
      <c r="BQ2760" s="2" t="s">
        <v>91</v>
      </c>
      <c r="BR2760" s="2" t="s">
        <v>83</v>
      </c>
      <c r="BS2760" s="3">
        <v>42674</v>
      </c>
      <c r="BT2760" s="4">
        <v>0.4375</v>
      </c>
      <c r="BU2760" s="2" t="s">
        <v>431</v>
      </c>
      <c r="BV2760" s="2" t="s">
        <v>85</v>
      </c>
      <c r="BW2760" s="2"/>
      <c r="BX2760" s="2"/>
      <c r="BY2760" s="2">
        <v>1200</v>
      </c>
      <c r="BZ2760" s="2"/>
      <c r="CA2760" s="2"/>
      <c r="CB2760" s="2"/>
      <c r="CC2760" s="2" t="s">
        <v>149</v>
      </c>
      <c r="CD2760" s="2">
        <v>4001</v>
      </c>
      <c r="CE2760" s="2" t="s">
        <v>108</v>
      </c>
      <c r="CF2760" s="5">
        <v>42675</v>
      </c>
      <c r="CG2760" s="2"/>
      <c r="CH2760" s="2"/>
      <c r="CI2760" s="2">
        <v>1</v>
      </c>
      <c r="CJ2760" s="2">
        <v>1</v>
      </c>
      <c r="CK2760" s="2">
        <v>21</v>
      </c>
      <c r="CL2760" s="2" t="s">
        <v>88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"FES1162509957"</f>
        <v>FES1162509957</v>
      </c>
      <c r="F2761" s="3">
        <v>42671</v>
      </c>
      <c r="G2761" s="2">
        <v>201704</v>
      </c>
      <c r="H2761" s="2" t="s">
        <v>74</v>
      </c>
      <c r="I2761" s="2" t="s">
        <v>75</v>
      </c>
      <c r="J2761" s="2" t="s">
        <v>76</v>
      </c>
      <c r="K2761" s="2" t="s">
        <v>77</v>
      </c>
      <c r="L2761" s="2" t="s">
        <v>148</v>
      </c>
      <c r="M2761" s="2" t="s">
        <v>149</v>
      </c>
      <c r="N2761" s="2" t="s">
        <v>293</v>
      </c>
      <c r="O2761" s="2" t="s">
        <v>96</v>
      </c>
      <c r="P2761" s="2" t="str">
        <f>"2170533129                    "</f>
        <v xml:space="preserve">2170533129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3.32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0.5</v>
      </c>
      <c r="BJ2761" s="2">
        <v>0.2</v>
      </c>
      <c r="BK2761" s="2">
        <v>0.5</v>
      </c>
      <c r="BL2761" s="2">
        <v>40.76</v>
      </c>
      <c r="BM2761" s="2">
        <v>5.71</v>
      </c>
      <c r="BN2761" s="2">
        <v>46.47</v>
      </c>
      <c r="BO2761" s="2">
        <v>46.47</v>
      </c>
      <c r="BP2761" s="2"/>
      <c r="BQ2761" s="2" t="s">
        <v>1352</v>
      </c>
      <c r="BR2761" s="2" t="s">
        <v>83</v>
      </c>
      <c r="BS2761" s="3">
        <v>42674</v>
      </c>
      <c r="BT2761" s="4">
        <v>0.375</v>
      </c>
      <c r="BU2761" s="2" t="s">
        <v>2551</v>
      </c>
      <c r="BV2761" s="2" t="s">
        <v>85</v>
      </c>
      <c r="BW2761" s="2"/>
      <c r="BX2761" s="2"/>
      <c r="BY2761" s="2">
        <v>1200</v>
      </c>
      <c r="BZ2761" s="2"/>
      <c r="CA2761" s="2"/>
      <c r="CB2761" s="2"/>
      <c r="CC2761" s="2" t="s">
        <v>149</v>
      </c>
      <c r="CD2761" s="2">
        <v>4051</v>
      </c>
      <c r="CE2761" s="2" t="s">
        <v>108</v>
      </c>
      <c r="CF2761" s="5">
        <v>42675</v>
      </c>
      <c r="CG2761" s="2"/>
      <c r="CH2761" s="2"/>
      <c r="CI2761" s="2">
        <v>1</v>
      </c>
      <c r="CJ2761" s="2">
        <v>1</v>
      </c>
      <c r="CK2761" s="2">
        <v>21</v>
      </c>
      <c r="CL2761" s="2" t="s">
        <v>88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"FES1162510125"</f>
        <v>FES1162510125</v>
      </c>
      <c r="F2762" s="3">
        <v>42671</v>
      </c>
      <c r="G2762" s="2">
        <v>201704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137</v>
      </c>
      <c r="M2762" s="2" t="s">
        <v>138</v>
      </c>
      <c r="N2762" s="2" t="s">
        <v>420</v>
      </c>
      <c r="O2762" s="2" t="s">
        <v>96</v>
      </c>
      <c r="P2762" s="2" t="str">
        <f>"2170532277                    "</f>
        <v xml:space="preserve">2170532277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3.32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0.4</v>
      </c>
      <c r="BJ2762" s="2">
        <v>1.3</v>
      </c>
      <c r="BK2762" s="2">
        <v>1.5</v>
      </c>
      <c r="BL2762" s="2">
        <v>40.76</v>
      </c>
      <c r="BM2762" s="2">
        <v>5.71</v>
      </c>
      <c r="BN2762" s="2">
        <v>46.47</v>
      </c>
      <c r="BO2762" s="2">
        <v>46.47</v>
      </c>
      <c r="BP2762" s="2"/>
      <c r="BQ2762" s="2" t="s">
        <v>117</v>
      </c>
      <c r="BR2762" s="2" t="s">
        <v>83</v>
      </c>
      <c r="BS2762" s="3">
        <v>42674</v>
      </c>
      <c r="BT2762" s="4">
        <v>0.41111111111111115</v>
      </c>
      <c r="BU2762" s="2" t="s">
        <v>2552</v>
      </c>
      <c r="BV2762" s="2" t="s">
        <v>85</v>
      </c>
      <c r="BW2762" s="2"/>
      <c r="BX2762" s="2"/>
      <c r="BY2762" s="2">
        <v>6381.2</v>
      </c>
      <c r="BZ2762" s="2"/>
      <c r="CA2762" s="2"/>
      <c r="CB2762" s="2"/>
      <c r="CC2762" s="2" t="s">
        <v>138</v>
      </c>
      <c r="CD2762" s="2">
        <v>3201</v>
      </c>
      <c r="CE2762" s="2" t="s">
        <v>108</v>
      </c>
      <c r="CF2762" s="5">
        <v>42676</v>
      </c>
      <c r="CG2762" s="2"/>
      <c r="CH2762" s="2"/>
      <c r="CI2762" s="2">
        <v>1</v>
      </c>
      <c r="CJ2762" s="2">
        <v>1</v>
      </c>
      <c r="CK2762" s="2">
        <v>21</v>
      </c>
      <c r="CL2762" s="2" t="s">
        <v>88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"FES1162510126"</f>
        <v>FES1162510126</v>
      </c>
      <c r="F2763" s="3">
        <v>42671</v>
      </c>
      <c r="G2763" s="2">
        <v>201704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137</v>
      </c>
      <c r="M2763" s="2" t="s">
        <v>138</v>
      </c>
      <c r="N2763" s="2" t="s">
        <v>420</v>
      </c>
      <c r="O2763" s="2" t="s">
        <v>96</v>
      </c>
      <c r="P2763" s="2" t="str">
        <f>"2170532283                    "</f>
        <v xml:space="preserve">2170532283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3.32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1</v>
      </c>
      <c r="BJ2763" s="2">
        <v>0.2</v>
      </c>
      <c r="BK2763" s="2">
        <v>1</v>
      </c>
      <c r="BL2763" s="2">
        <v>40.76</v>
      </c>
      <c r="BM2763" s="2">
        <v>5.71</v>
      </c>
      <c r="BN2763" s="2">
        <v>46.47</v>
      </c>
      <c r="BO2763" s="2">
        <v>46.47</v>
      </c>
      <c r="BP2763" s="2"/>
      <c r="BQ2763" s="2" t="s">
        <v>117</v>
      </c>
      <c r="BR2763" s="2" t="s">
        <v>83</v>
      </c>
      <c r="BS2763" s="3">
        <v>42674</v>
      </c>
      <c r="BT2763" s="4">
        <v>0.41111111111111115</v>
      </c>
      <c r="BU2763" s="2" t="s">
        <v>2552</v>
      </c>
      <c r="BV2763" s="2" t="s">
        <v>85</v>
      </c>
      <c r="BW2763" s="2"/>
      <c r="BX2763" s="2"/>
      <c r="BY2763" s="2">
        <v>1200</v>
      </c>
      <c r="BZ2763" s="2"/>
      <c r="CA2763" s="2"/>
      <c r="CB2763" s="2"/>
      <c r="CC2763" s="2" t="s">
        <v>138</v>
      </c>
      <c r="CD2763" s="2">
        <v>3201</v>
      </c>
      <c r="CE2763" s="2" t="s">
        <v>108</v>
      </c>
      <c r="CF2763" s="5">
        <v>42676</v>
      </c>
      <c r="CG2763" s="2"/>
      <c r="CH2763" s="2"/>
      <c r="CI2763" s="2">
        <v>1</v>
      </c>
      <c r="CJ2763" s="2">
        <v>1</v>
      </c>
      <c r="CK2763" s="2">
        <v>21</v>
      </c>
      <c r="CL2763" s="2" t="s">
        <v>88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"FES1162510226"</f>
        <v>FES1162510226</v>
      </c>
      <c r="F2764" s="3">
        <v>42671</v>
      </c>
      <c r="G2764" s="2">
        <v>201704</v>
      </c>
      <c r="H2764" s="2" t="s">
        <v>74</v>
      </c>
      <c r="I2764" s="2" t="s">
        <v>75</v>
      </c>
      <c r="J2764" s="2" t="s">
        <v>76</v>
      </c>
      <c r="K2764" s="2" t="s">
        <v>77</v>
      </c>
      <c r="L2764" s="2" t="s">
        <v>269</v>
      </c>
      <c r="M2764" s="2" t="s">
        <v>270</v>
      </c>
      <c r="N2764" s="2" t="s">
        <v>1543</v>
      </c>
      <c r="O2764" s="2" t="s">
        <v>96</v>
      </c>
      <c r="P2764" s="2" t="str">
        <f>"2170533328                    "</f>
        <v xml:space="preserve">2170533328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31.51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234</v>
      </c>
      <c r="BF2764" s="2">
        <v>0</v>
      </c>
      <c r="BG2764" s="2">
        <v>0</v>
      </c>
      <c r="BH2764" s="2">
        <v>2</v>
      </c>
      <c r="BI2764" s="2">
        <v>16.5</v>
      </c>
      <c r="BJ2764" s="2">
        <v>19</v>
      </c>
      <c r="BK2764" s="2">
        <v>19</v>
      </c>
      <c r="BL2764" s="2">
        <v>621.19000000000005</v>
      </c>
      <c r="BM2764" s="2">
        <v>86.97</v>
      </c>
      <c r="BN2764" s="2">
        <v>708.16</v>
      </c>
      <c r="BO2764" s="2">
        <v>708.16</v>
      </c>
      <c r="BP2764" s="2" t="s">
        <v>2553</v>
      </c>
      <c r="BQ2764" s="2" t="s">
        <v>2554</v>
      </c>
      <c r="BR2764" s="2" t="s">
        <v>83</v>
      </c>
      <c r="BS2764" s="3">
        <v>42672</v>
      </c>
      <c r="BT2764" s="4">
        <v>0.35416666666666669</v>
      </c>
      <c r="BU2764" s="2" t="s">
        <v>2555</v>
      </c>
      <c r="BV2764" s="2" t="s">
        <v>85</v>
      </c>
      <c r="BW2764" s="2"/>
      <c r="BX2764" s="2"/>
      <c r="BY2764" s="2">
        <v>94842.89</v>
      </c>
      <c r="BZ2764" s="2" t="s">
        <v>1622</v>
      </c>
      <c r="CA2764" s="2"/>
      <c r="CB2764" s="2"/>
      <c r="CC2764" s="2" t="s">
        <v>270</v>
      </c>
      <c r="CD2764" s="2">
        <v>3610</v>
      </c>
      <c r="CE2764" s="2" t="s">
        <v>86</v>
      </c>
      <c r="CF2764" s="5">
        <v>42675</v>
      </c>
      <c r="CG2764" s="2"/>
      <c r="CH2764" s="2"/>
      <c r="CI2764" s="2">
        <v>1</v>
      </c>
      <c r="CJ2764" s="2">
        <v>1</v>
      </c>
      <c r="CK2764" s="2">
        <v>21</v>
      </c>
      <c r="CL2764" s="2" t="s">
        <v>88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"FES1162510095"</f>
        <v>FES1162510095</v>
      </c>
      <c r="F2765" s="3">
        <v>42671</v>
      </c>
      <c r="G2765" s="2">
        <v>201704</v>
      </c>
      <c r="H2765" s="2" t="s">
        <v>74</v>
      </c>
      <c r="I2765" s="2" t="s">
        <v>75</v>
      </c>
      <c r="J2765" s="2" t="s">
        <v>76</v>
      </c>
      <c r="K2765" s="2" t="s">
        <v>77</v>
      </c>
      <c r="L2765" s="2" t="s">
        <v>160</v>
      </c>
      <c r="M2765" s="2" t="s">
        <v>161</v>
      </c>
      <c r="N2765" s="2" t="s">
        <v>2556</v>
      </c>
      <c r="O2765" s="2" t="s">
        <v>96</v>
      </c>
      <c r="P2765" s="2" t="str">
        <f>"2170532997                    "</f>
        <v xml:space="preserve">2170532997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3.32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234</v>
      </c>
      <c r="BF2765" s="2">
        <v>0</v>
      </c>
      <c r="BG2765" s="2">
        <v>0</v>
      </c>
      <c r="BH2765" s="2">
        <v>1</v>
      </c>
      <c r="BI2765" s="2">
        <v>0.5</v>
      </c>
      <c r="BJ2765" s="2">
        <v>0.2</v>
      </c>
      <c r="BK2765" s="2">
        <v>0.5</v>
      </c>
      <c r="BL2765" s="2">
        <v>274.76</v>
      </c>
      <c r="BM2765" s="2">
        <v>38.47</v>
      </c>
      <c r="BN2765" s="2">
        <v>313.23</v>
      </c>
      <c r="BO2765" s="2">
        <v>313.23</v>
      </c>
      <c r="BP2765" s="2" t="s">
        <v>2557</v>
      </c>
      <c r="BQ2765" s="2" t="s">
        <v>2558</v>
      </c>
      <c r="BR2765" s="2" t="s">
        <v>83</v>
      </c>
      <c r="BS2765" s="3">
        <v>42672</v>
      </c>
      <c r="BT2765" s="4">
        <v>0.4236111111111111</v>
      </c>
      <c r="BU2765" s="2" t="s">
        <v>2559</v>
      </c>
      <c r="BV2765" s="2"/>
      <c r="BW2765" s="2"/>
      <c r="BX2765" s="2"/>
      <c r="BY2765" s="2">
        <v>1200</v>
      </c>
      <c r="BZ2765" s="2" t="s">
        <v>1622</v>
      </c>
      <c r="CA2765" s="2"/>
      <c r="CB2765" s="2"/>
      <c r="CC2765" s="2" t="s">
        <v>161</v>
      </c>
      <c r="CD2765" s="2">
        <v>8001</v>
      </c>
      <c r="CE2765" s="2" t="s">
        <v>108</v>
      </c>
      <c r="CF2765" s="5">
        <v>42675</v>
      </c>
      <c r="CG2765" s="2"/>
      <c r="CH2765" s="2"/>
      <c r="CI2765" s="2">
        <v>0</v>
      </c>
      <c r="CJ2765" s="2">
        <v>0</v>
      </c>
      <c r="CK2765" s="2">
        <v>21</v>
      </c>
      <c r="CL2765" s="2" t="s">
        <v>88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"FES1162510020"</f>
        <v>FES1162510020</v>
      </c>
      <c r="F2766" s="3">
        <v>42671</v>
      </c>
      <c r="G2766" s="2">
        <v>201704</v>
      </c>
      <c r="H2766" s="2" t="s">
        <v>74</v>
      </c>
      <c r="I2766" s="2" t="s">
        <v>75</v>
      </c>
      <c r="J2766" s="2" t="s">
        <v>76</v>
      </c>
      <c r="K2766" s="2" t="s">
        <v>77</v>
      </c>
      <c r="L2766" s="2" t="s">
        <v>491</v>
      </c>
      <c r="M2766" s="2" t="s">
        <v>492</v>
      </c>
      <c r="N2766" s="2" t="s">
        <v>688</v>
      </c>
      <c r="O2766" s="2" t="s">
        <v>96</v>
      </c>
      <c r="P2766" s="2" t="str">
        <f>"2170532828                    "</f>
        <v xml:space="preserve">2170532828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5.81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1.4</v>
      </c>
      <c r="BJ2766" s="2">
        <v>3.1</v>
      </c>
      <c r="BK2766" s="2">
        <v>3.5</v>
      </c>
      <c r="BL2766" s="2">
        <v>71.33</v>
      </c>
      <c r="BM2766" s="2">
        <v>9.99</v>
      </c>
      <c r="BN2766" s="2">
        <v>81.319999999999993</v>
      </c>
      <c r="BO2766" s="2">
        <v>81.319999999999993</v>
      </c>
      <c r="BP2766" s="2"/>
      <c r="BQ2766" s="2" t="s">
        <v>689</v>
      </c>
      <c r="BR2766" s="2" t="s">
        <v>83</v>
      </c>
      <c r="BS2766" s="3">
        <v>42674</v>
      </c>
      <c r="BT2766" s="4">
        <v>0.46875</v>
      </c>
      <c r="BU2766" s="2" t="s">
        <v>2560</v>
      </c>
      <c r="BV2766" s="2" t="s">
        <v>85</v>
      </c>
      <c r="BW2766" s="2"/>
      <c r="BX2766" s="2"/>
      <c r="BY2766" s="2">
        <v>15402.24</v>
      </c>
      <c r="BZ2766" s="2"/>
      <c r="CA2766" s="2" t="s">
        <v>129</v>
      </c>
      <c r="CB2766" s="2"/>
      <c r="CC2766" s="2" t="s">
        <v>492</v>
      </c>
      <c r="CD2766" s="2">
        <v>3699</v>
      </c>
      <c r="CE2766" s="2" t="s">
        <v>86</v>
      </c>
      <c r="CF2766" s="5">
        <v>42676</v>
      </c>
      <c r="CG2766" s="2"/>
      <c r="CH2766" s="2"/>
      <c r="CI2766" s="2">
        <v>1</v>
      </c>
      <c r="CJ2766" s="2">
        <v>1</v>
      </c>
      <c r="CK2766" s="2">
        <v>21</v>
      </c>
      <c r="CL2766" s="2" t="s">
        <v>88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"FES1162509979"</f>
        <v>FES1162509979</v>
      </c>
      <c r="F2767" s="3">
        <v>42671</v>
      </c>
      <c r="G2767" s="2">
        <v>201704</v>
      </c>
      <c r="H2767" s="2" t="s">
        <v>74</v>
      </c>
      <c r="I2767" s="2" t="s">
        <v>75</v>
      </c>
      <c r="J2767" s="2" t="s">
        <v>76</v>
      </c>
      <c r="K2767" s="2" t="s">
        <v>77</v>
      </c>
      <c r="L2767" s="2" t="s">
        <v>119</v>
      </c>
      <c r="M2767" s="2" t="s">
        <v>120</v>
      </c>
      <c r="N2767" s="2" t="s">
        <v>1615</v>
      </c>
      <c r="O2767" s="2" t="s">
        <v>96</v>
      </c>
      <c r="P2767" s="2" t="str">
        <f>"2170530990                    "</f>
        <v xml:space="preserve">2170530990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3.32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1.7</v>
      </c>
      <c r="BJ2767" s="2">
        <v>0.2</v>
      </c>
      <c r="BK2767" s="2">
        <v>2</v>
      </c>
      <c r="BL2767" s="2">
        <v>40.76</v>
      </c>
      <c r="BM2767" s="2">
        <v>5.71</v>
      </c>
      <c r="BN2767" s="2">
        <v>46.47</v>
      </c>
      <c r="BO2767" s="2">
        <v>46.47</v>
      </c>
      <c r="BP2767" s="2"/>
      <c r="BQ2767" s="2" t="s">
        <v>1616</v>
      </c>
      <c r="BR2767" s="2" t="s">
        <v>83</v>
      </c>
      <c r="BS2767" s="3">
        <v>42674</v>
      </c>
      <c r="BT2767" s="4">
        <v>0.39999999999999997</v>
      </c>
      <c r="BU2767" s="2" t="s">
        <v>1925</v>
      </c>
      <c r="BV2767" s="2" t="s">
        <v>85</v>
      </c>
      <c r="BW2767" s="2"/>
      <c r="BX2767" s="2"/>
      <c r="BY2767" s="2">
        <v>1200</v>
      </c>
      <c r="BZ2767" s="2"/>
      <c r="CA2767" s="2"/>
      <c r="CB2767" s="2"/>
      <c r="CC2767" s="2" t="s">
        <v>120</v>
      </c>
      <c r="CD2767" s="2">
        <v>6230</v>
      </c>
      <c r="CE2767" s="2" t="s">
        <v>108</v>
      </c>
      <c r="CF2767" s="5">
        <v>42675</v>
      </c>
      <c r="CG2767" s="2"/>
      <c r="CH2767" s="2"/>
      <c r="CI2767" s="2">
        <v>1</v>
      </c>
      <c r="CJ2767" s="2">
        <v>1</v>
      </c>
      <c r="CK2767" s="2">
        <v>21</v>
      </c>
      <c r="CL2767" s="2" t="s">
        <v>88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"FES1162509962"</f>
        <v>FES1162509962</v>
      </c>
      <c r="F2768" s="3">
        <v>42671</v>
      </c>
      <c r="G2768" s="2">
        <v>201704</v>
      </c>
      <c r="H2768" s="2" t="s">
        <v>74</v>
      </c>
      <c r="I2768" s="2" t="s">
        <v>75</v>
      </c>
      <c r="J2768" s="2" t="s">
        <v>76</v>
      </c>
      <c r="K2768" s="2" t="s">
        <v>77</v>
      </c>
      <c r="L2768" s="2" t="s">
        <v>143</v>
      </c>
      <c r="M2768" s="2" t="s">
        <v>144</v>
      </c>
      <c r="N2768" s="2" t="s">
        <v>1905</v>
      </c>
      <c r="O2768" s="2" t="s">
        <v>96</v>
      </c>
      <c r="P2768" s="2" t="str">
        <f>"2170533118                    "</f>
        <v xml:space="preserve">2170533118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3.32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1</v>
      </c>
      <c r="BJ2768" s="2">
        <v>0.2</v>
      </c>
      <c r="BK2768" s="2">
        <v>1</v>
      </c>
      <c r="BL2768" s="2">
        <v>40.76</v>
      </c>
      <c r="BM2768" s="2">
        <v>5.71</v>
      </c>
      <c r="BN2768" s="2">
        <v>46.47</v>
      </c>
      <c r="BO2768" s="2">
        <v>46.47</v>
      </c>
      <c r="BP2768" s="2"/>
      <c r="BQ2768" s="2" t="s">
        <v>117</v>
      </c>
      <c r="BR2768" s="2" t="s">
        <v>83</v>
      </c>
      <c r="BS2768" s="3">
        <v>42674</v>
      </c>
      <c r="BT2768" s="4">
        <v>0.4375</v>
      </c>
      <c r="BU2768" s="2" t="s">
        <v>146</v>
      </c>
      <c r="BV2768" s="2" t="s">
        <v>85</v>
      </c>
      <c r="BW2768" s="2"/>
      <c r="BX2768" s="2"/>
      <c r="BY2768" s="2">
        <v>1200</v>
      </c>
      <c r="BZ2768" s="2"/>
      <c r="CA2768" s="2"/>
      <c r="CB2768" s="2"/>
      <c r="CC2768" s="2" t="s">
        <v>144</v>
      </c>
      <c r="CD2768" s="2">
        <v>5201</v>
      </c>
      <c r="CE2768" s="2" t="s">
        <v>108</v>
      </c>
      <c r="CF2768" s="5">
        <v>42676</v>
      </c>
      <c r="CG2768" s="2"/>
      <c r="CH2768" s="2"/>
      <c r="CI2768" s="2">
        <v>1</v>
      </c>
      <c r="CJ2768" s="2">
        <v>1</v>
      </c>
      <c r="CK2768" s="2">
        <v>21</v>
      </c>
      <c r="CL2768" s="2" t="s">
        <v>88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"FES1162510000"</f>
        <v>FES1162510000</v>
      </c>
      <c r="F2769" s="3">
        <v>42671</v>
      </c>
      <c r="G2769" s="2">
        <v>201704</v>
      </c>
      <c r="H2769" s="2" t="s">
        <v>74</v>
      </c>
      <c r="I2769" s="2" t="s">
        <v>75</v>
      </c>
      <c r="J2769" s="2" t="s">
        <v>76</v>
      </c>
      <c r="K2769" s="2" t="s">
        <v>77</v>
      </c>
      <c r="L2769" s="2" t="s">
        <v>119</v>
      </c>
      <c r="M2769" s="2" t="s">
        <v>120</v>
      </c>
      <c r="N2769" s="2" t="s">
        <v>1615</v>
      </c>
      <c r="O2769" s="2" t="s">
        <v>96</v>
      </c>
      <c r="P2769" s="2" t="str">
        <f>"2170531259                    "</f>
        <v xml:space="preserve">2170531259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3.32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1</v>
      </c>
      <c r="BJ2769" s="2">
        <v>0.2</v>
      </c>
      <c r="BK2769" s="2">
        <v>1</v>
      </c>
      <c r="BL2769" s="2">
        <v>40.76</v>
      </c>
      <c r="BM2769" s="2">
        <v>5.71</v>
      </c>
      <c r="BN2769" s="2">
        <v>46.47</v>
      </c>
      <c r="BO2769" s="2">
        <v>46.47</v>
      </c>
      <c r="BP2769" s="2"/>
      <c r="BQ2769" s="2" t="s">
        <v>1616</v>
      </c>
      <c r="BR2769" s="2" t="s">
        <v>83</v>
      </c>
      <c r="BS2769" s="3">
        <v>42674</v>
      </c>
      <c r="BT2769" s="4">
        <v>0.39999999999999997</v>
      </c>
      <c r="BU2769" s="2" t="s">
        <v>2561</v>
      </c>
      <c r="BV2769" s="2" t="s">
        <v>85</v>
      </c>
      <c r="BW2769" s="2"/>
      <c r="BX2769" s="2"/>
      <c r="BY2769" s="2">
        <v>1200</v>
      </c>
      <c r="BZ2769" s="2"/>
      <c r="CA2769" s="2"/>
      <c r="CB2769" s="2"/>
      <c r="CC2769" s="2" t="s">
        <v>120</v>
      </c>
      <c r="CD2769" s="2">
        <v>6230</v>
      </c>
      <c r="CE2769" s="2" t="s">
        <v>108</v>
      </c>
      <c r="CF2769" s="5">
        <v>42675</v>
      </c>
      <c r="CG2769" s="2"/>
      <c r="CH2769" s="2"/>
      <c r="CI2769" s="2">
        <v>1</v>
      </c>
      <c r="CJ2769" s="2">
        <v>1</v>
      </c>
      <c r="CK2769" s="2">
        <v>21</v>
      </c>
      <c r="CL2769" s="2" t="s">
        <v>88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"FES1162510091"</f>
        <v>FES1162510091</v>
      </c>
      <c r="F2770" s="3">
        <v>42671</v>
      </c>
      <c r="G2770" s="2">
        <v>201704</v>
      </c>
      <c r="H2770" s="2" t="s">
        <v>74</v>
      </c>
      <c r="I2770" s="2" t="s">
        <v>75</v>
      </c>
      <c r="J2770" s="2" t="s">
        <v>76</v>
      </c>
      <c r="K2770" s="2" t="s">
        <v>77</v>
      </c>
      <c r="L2770" s="2" t="s">
        <v>98</v>
      </c>
      <c r="M2770" s="2" t="s">
        <v>99</v>
      </c>
      <c r="N2770" s="2" t="s">
        <v>2562</v>
      </c>
      <c r="O2770" s="2" t="s">
        <v>96</v>
      </c>
      <c r="P2770" s="2" t="str">
        <f>"2170533155                    "</f>
        <v xml:space="preserve">2170533155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3.32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0.5</v>
      </c>
      <c r="BJ2770" s="2">
        <v>0.2</v>
      </c>
      <c r="BK2770" s="2">
        <v>0.5</v>
      </c>
      <c r="BL2770" s="2">
        <v>40.76</v>
      </c>
      <c r="BM2770" s="2">
        <v>5.71</v>
      </c>
      <c r="BN2770" s="2">
        <v>46.47</v>
      </c>
      <c r="BO2770" s="2">
        <v>46.47</v>
      </c>
      <c r="BP2770" s="2"/>
      <c r="BQ2770" s="2" t="s">
        <v>91</v>
      </c>
      <c r="BR2770" s="2" t="s">
        <v>83</v>
      </c>
      <c r="BS2770" s="3">
        <v>42674</v>
      </c>
      <c r="BT2770" s="4">
        <v>0.41319444444444442</v>
      </c>
      <c r="BU2770" s="2" t="s">
        <v>2563</v>
      </c>
      <c r="BV2770" s="2" t="s">
        <v>85</v>
      </c>
      <c r="BW2770" s="2"/>
      <c r="BX2770" s="2"/>
      <c r="BY2770" s="2">
        <v>1200</v>
      </c>
      <c r="BZ2770" s="2"/>
      <c r="CA2770" s="2"/>
      <c r="CB2770" s="2"/>
      <c r="CC2770" s="2" t="s">
        <v>99</v>
      </c>
      <c r="CD2770" s="2">
        <v>6014</v>
      </c>
      <c r="CE2770" s="2" t="s">
        <v>108</v>
      </c>
      <c r="CF2770" s="5">
        <v>42675</v>
      </c>
      <c r="CG2770" s="2"/>
      <c r="CH2770" s="2"/>
      <c r="CI2770" s="2">
        <v>1</v>
      </c>
      <c r="CJ2770" s="2">
        <v>1</v>
      </c>
      <c r="CK2770" s="2">
        <v>21</v>
      </c>
      <c r="CL2770" s="2" t="s">
        <v>88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"FES1162510068"</f>
        <v>FES1162510068</v>
      </c>
      <c r="F2771" s="3">
        <v>42671</v>
      </c>
      <c r="G2771" s="2">
        <v>201704</v>
      </c>
      <c r="H2771" s="2" t="s">
        <v>74</v>
      </c>
      <c r="I2771" s="2" t="s">
        <v>75</v>
      </c>
      <c r="J2771" s="2" t="s">
        <v>76</v>
      </c>
      <c r="K2771" s="2" t="s">
        <v>77</v>
      </c>
      <c r="L2771" s="2" t="s">
        <v>160</v>
      </c>
      <c r="M2771" s="2" t="s">
        <v>161</v>
      </c>
      <c r="N2771" s="2" t="s">
        <v>176</v>
      </c>
      <c r="O2771" s="2" t="s">
        <v>96</v>
      </c>
      <c r="P2771" s="2" t="str">
        <f>"2170530788                    "</f>
        <v xml:space="preserve">2170530788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3.32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2</v>
      </c>
      <c r="BJ2771" s="2">
        <v>1.9</v>
      </c>
      <c r="BK2771" s="2">
        <v>2</v>
      </c>
      <c r="BL2771" s="2">
        <v>40.76</v>
      </c>
      <c r="BM2771" s="2">
        <v>5.71</v>
      </c>
      <c r="BN2771" s="2">
        <v>46.47</v>
      </c>
      <c r="BO2771" s="2">
        <v>46.47</v>
      </c>
      <c r="BP2771" s="2"/>
      <c r="BQ2771" s="2" t="s">
        <v>258</v>
      </c>
      <c r="BR2771" s="2" t="s">
        <v>83</v>
      </c>
      <c r="BS2771" s="3">
        <v>42674</v>
      </c>
      <c r="BT2771" s="4">
        <v>0.41666666666666669</v>
      </c>
      <c r="BU2771" s="2" t="s">
        <v>146</v>
      </c>
      <c r="BV2771" s="2" t="s">
        <v>85</v>
      </c>
      <c r="BW2771" s="2"/>
      <c r="BX2771" s="2"/>
      <c r="BY2771" s="2">
        <v>9367</v>
      </c>
      <c r="BZ2771" s="2"/>
      <c r="CA2771" s="2"/>
      <c r="CB2771" s="2"/>
      <c r="CC2771" s="2" t="s">
        <v>161</v>
      </c>
      <c r="CD2771" s="2">
        <v>7405</v>
      </c>
      <c r="CE2771" s="2" t="s">
        <v>86</v>
      </c>
      <c r="CF2771" s="5">
        <v>42675</v>
      </c>
      <c r="CG2771" s="2"/>
      <c r="CH2771" s="2"/>
      <c r="CI2771" s="2">
        <v>1</v>
      </c>
      <c r="CJ2771" s="2">
        <v>1</v>
      </c>
      <c r="CK2771" s="2">
        <v>21</v>
      </c>
      <c r="CL2771" s="2" t="s">
        <v>88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"FES1162510023"</f>
        <v>FES1162510023</v>
      </c>
      <c r="F2772" s="3">
        <v>42671</v>
      </c>
      <c r="G2772" s="2">
        <v>201704</v>
      </c>
      <c r="H2772" s="2" t="s">
        <v>74</v>
      </c>
      <c r="I2772" s="2" t="s">
        <v>75</v>
      </c>
      <c r="J2772" s="2" t="s">
        <v>76</v>
      </c>
      <c r="K2772" s="2" t="s">
        <v>77</v>
      </c>
      <c r="L2772" s="2" t="s">
        <v>148</v>
      </c>
      <c r="M2772" s="2" t="s">
        <v>149</v>
      </c>
      <c r="N2772" s="2" t="s">
        <v>432</v>
      </c>
      <c r="O2772" s="2" t="s">
        <v>96</v>
      </c>
      <c r="P2772" s="2" t="str">
        <f>"2170532954                    "</f>
        <v xml:space="preserve">2170532954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3.32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1.5</v>
      </c>
      <c r="BJ2772" s="2">
        <v>1</v>
      </c>
      <c r="BK2772" s="2">
        <v>1.5</v>
      </c>
      <c r="BL2772" s="2">
        <v>40.76</v>
      </c>
      <c r="BM2772" s="2">
        <v>5.71</v>
      </c>
      <c r="BN2772" s="2">
        <v>46.47</v>
      </c>
      <c r="BO2772" s="2">
        <v>46.47</v>
      </c>
      <c r="BP2772" s="2"/>
      <c r="BQ2772" s="2" t="s">
        <v>91</v>
      </c>
      <c r="BR2772" s="2" t="s">
        <v>83</v>
      </c>
      <c r="BS2772" s="3">
        <v>42674</v>
      </c>
      <c r="BT2772" s="4">
        <v>0.30208333333333331</v>
      </c>
      <c r="BU2772" s="2" t="s">
        <v>1840</v>
      </c>
      <c r="BV2772" s="2" t="s">
        <v>85</v>
      </c>
      <c r="BW2772" s="2"/>
      <c r="BX2772" s="2"/>
      <c r="BY2772" s="2">
        <v>5181.8900000000003</v>
      </c>
      <c r="BZ2772" s="2"/>
      <c r="CA2772" s="2"/>
      <c r="CB2772" s="2"/>
      <c r="CC2772" s="2" t="s">
        <v>149</v>
      </c>
      <c r="CD2772" s="2">
        <v>4052</v>
      </c>
      <c r="CE2772" s="2" t="s">
        <v>86</v>
      </c>
      <c r="CF2772" s="5">
        <v>42675</v>
      </c>
      <c r="CG2772" s="2"/>
      <c r="CH2772" s="2"/>
      <c r="CI2772" s="2">
        <v>1</v>
      </c>
      <c r="CJ2772" s="2">
        <v>1</v>
      </c>
      <c r="CK2772" s="2">
        <v>21</v>
      </c>
      <c r="CL2772" s="2" t="s">
        <v>88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"FES1162509985"</f>
        <v>FES1162509985</v>
      </c>
      <c r="F2773" s="3">
        <v>42671</v>
      </c>
      <c r="G2773" s="2">
        <v>201704</v>
      </c>
      <c r="H2773" s="2" t="s">
        <v>74</v>
      </c>
      <c r="I2773" s="2" t="s">
        <v>75</v>
      </c>
      <c r="J2773" s="2" t="s">
        <v>76</v>
      </c>
      <c r="K2773" s="2" t="s">
        <v>77</v>
      </c>
      <c r="L2773" s="2" t="s">
        <v>269</v>
      </c>
      <c r="M2773" s="2" t="s">
        <v>270</v>
      </c>
      <c r="N2773" s="2" t="s">
        <v>1543</v>
      </c>
      <c r="O2773" s="2" t="s">
        <v>96</v>
      </c>
      <c r="P2773" s="2" t="str">
        <f>"2170531042                    "</f>
        <v xml:space="preserve">2170531042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15.76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2.9</v>
      </c>
      <c r="BJ2773" s="2">
        <v>9.3000000000000007</v>
      </c>
      <c r="BK2773" s="2">
        <v>9.5</v>
      </c>
      <c r="BL2773" s="2">
        <v>193.6</v>
      </c>
      <c r="BM2773" s="2">
        <v>27.1</v>
      </c>
      <c r="BN2773" s="2">
        <v>220.7</v>
      </c>
      <c r="BO2773" s="2">
        <v>220.7</v>
      </c>
      <c r="BP2773" s="2"/>
      <c r="BQ2773" s="2" t="s">
        <v>117</v>
      </c>
      <c r="BR2773" s="2" t="s">
        <v>83</v>
      </c>
      <c r="BS2773" s="3">
        <v>42674</v>
      </c>
      <c r="BT2773" s="4">
        <v>0.4375</v>
      </c>
      <c r="BU2773" s="2" t="s">
        <v>431</v>
      </c>
      <c r="BV2773" s="2" t="s">
        <v>85</v>
      </c>
      <c r="BW2773" s="2"/>
      <c r="BX2773" s="2"/>
      <c r="BY2773" s="2">
        <v>46380.67</v>
      </c>
      <c r="BZ2773" s="2"/>
      <c r="CA2773" s="2"/>
      <c r="CB2773" s="2"/>
      <c r="CC2773" s="2" t="s">
        <v>270</v>
      </c>
      <c r="CD2773" s="2">
        <v>3610</v>
      </c>
      <c r="CE2773" s="2" t="s">
        <v>86</v>
      </c>
      <c r="CF2773" s="5">
        <v>42675</v>
      </c>
      <c r="CG2773" s="2"/>
      <c r="CH2773" s="2"/>
      <c r="CI2773" s="2">
        <v>1</v>
      </c>
      <c r="CJ2773" s="2">
        <v>1</v>
      </c>
      <c r="CK2773" s="2">
        <v>21</v>
      </c>
      <c r="CL2773" s="2" t="s">
        <v>88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"FES1162509984"</f>
        <v>FES1162509984</v>
      </c>
      <c r="F2774" s="3">
        <v>42671</v>
      </c>
      <c r="G2774" s="2">
        <v>201704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269</v>
      </c>
      <c r="M2774" s="2" t="s">
        <v>270</v>
      </c>
      <c r="N2774" s="2" t="s">
        <v>1543</v>
      </c>
      <c r="O2774" s="2" t="s">
        <v>96</v>
      </c>
      <c r="P2774" s="2" t="str">
        <f>"2170531038                    "</f>
        <v xml:space="preserve">2170531038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4.1500000000000004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2.1</v>
      </c>
      <c r="BJ2774" s="2">
        <v>1</v>
      </c>
      <c r="BK2774" s="2">
        <v>2.5</v>
      </c>
      <c r="BL2774" s="2">
        <v>50.95</v>
      </c>
      <c r="BM2774" s="2">
        <v>7.13</v>
      </c>
      <c r="BN2774" s="2">
        <v>58.08</v>
      </c>
      <c r="BO2774" s="2">
        <v>58.08</v>
      </c>
      <c r="BP2774" s="2"/>
      <c r="BQ2774" s="2" t="s">
        <v>117</v>
      </c>
      <c r="BR2774" s="2" t="s">
        <v>83</v>
      </c>
      <c r="BS2774" s="3">
        <v>42674</v>
      </c>
      <c r="BT2774" s="4">
        <v>0.4375</v>
      </c>
      <c r="BU2774" s="2" t="s">
        <v>431</v>
      </c>
      <c r="BV2774" s="2" t="s">
        <v>85</v>
      </c>
      <c r="BW2774" s="2"/>
      <c r="BX2774" s="2"/>
      <c r="BY2774" s="2">
        <v>5042.13</v>
      </c>
      <c r="BZ2774" s="2"/>
      <c r="CA2774" s="2"/>
      <c r="CB2774" s="2"/>
      <c r="CC2774" s="2" t="s">
        <v>270</v>
      </c>
      <c r="CD2774" s="2">
        <v>3610</v>
      </c>
      <c r="CE2774" s="2" t="s">
        <v>86</v>
      </c>
      <c r="CF2774" s="5">
        <v>42675</v>
      </c>
      <c r="CG2774" s="2"/>
      <c r="CH2774" s="2"/>
      <c r="CI2774" s="2">
        <v>1</v>
      </c>
      <c r="CJ2774" s="2">
        <v>1</v>
      </c>
      <c r="CK2774" s="2">
        <v>21</v>
      </c>
      <c r="CL2774" s="2" t="s">
        <v>88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"FES1162509993"</f>
        <v>FES1162509993</v>
      </c>
      <c r="F2775" s="3">
        <v>42671</v>
      </c>
      <c r="G2775" s="2">
        <v>201704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269</v>
      </c>
      <c r="M2775" s="2" t="s">
        <v>270</v>
      </c>
      <c r="N2775" s="2" t="s">
        <v>299</v>
      </c>
      <c r="O2775" s="2" t="s">
        <v>96</v>
      </c>
      <c r="P2775" s="2" t="str">
        <f>"2170531174                    "</f>
        <v xml:space="preserve">2170531174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4.9800000000000004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2.6</v>
      </c>
      <c r="BJ2775" s="2">
        <v>1.5</v>
      </c>
      <c r="BK2775" s="2">
        <v>3</v>
      </c>
      <c r="BL2775" s="2">
        <v>61.14</v>
      </c>
      <c r="BM2775" s="2">
        <v>8.56</v>
      </c>
      <c r="BN2775" s="2">
        <v>69.7</v>
      </c>
      <c r="BO2775" s="2">
        <v>69.7</v>
      </c>
      <c r="BP2775" s="2"/>
      <c r="BQ2775" s="2" t="s">
        <v>300</v>
      </c>
      <c r="BR2775" s="2" t="s">
        <v>83</v>
      </c>
      <c r="BS2775" s="3">
        <v>42674</v>
      </c>
      <c r="BT2775" s="4">
        <v>0.4375</v>
      </c>
      <c r="BU2775" s="2" t="s">
        <v>2564</v>
      </c>
      <c r="BV2775" s="2" t="s">
        <v>85</v>
      </c>
      <c r="BW2775" s="2"/>
      <c r="BX2775" s="2"/>
      <c r="BY2775" s="2">
        <v>7369.86</v>
      </c>
      <c r="BZ2775" s="2"/>
      <c r="CA2775" s="2"/>
      <c r="CB2775" s="2"/>
      <c r="CC2775" s="2" t="s">
        <v>270</v>
      </c>
      <c r="CD2775" s="2">
        <v>3610</v>
      </c>
      <c r="CE2775" s="2" t="s">
        <v>86</v>
      </c>
      <c r="CF2775" s="5">
        <v>42675</v>
      </c>
      <c r="CG2775" s="2"/>
      <c r="CH2775" s="2"/>
      <c r="CI2775" s="2">
        <v>1</v>
      </c>
      <c r="CJ2775" s="2">
        <v>1</v>
      </c>
      <c r="CK2775" s="2">
        <v>21</v>
      </c>
      <c r="CL2775" s="2" t="s">
        <v>88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"FES1162510006"</f>
        <v>FES1162510006</v>
      </c>
      <c r="F2776" s="3">
        <v>42671</v>
      </c>
      <c r="G2776" s="2">
        <v>201704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148</v>
      </c>
      <c r="M2776" s="2" t="s">
        <v>149</v>
      </c>
      <c r="N2776" s="2" t="s">
        <v>726</v>
      </c>
      <c r="O2776" s="2" t="s">
        <v>96</v>
      </c>
      <c r="P2776" s="2" t="str">
        <f>"2170531419                    "</f>
        <v xml:space="preserve">2170531419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5.81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2</v>
      </c>
      <c r="BJ2776" s="2">
        <v>3.3</v>
      </c>
      <c r="BK2776" s="2">
        <v>3.5</v>
      </c>
      <c r="BL2776" s="2">
        <v>71.33</v>
      </c>
      <c r="BM2776" s="2">
        <v>9.99</v>
      </c>
      <c r="BN2776" s="2">
        <v>81.319999999999993</v>
      </c>
      <c r="BO2776" s="2">
        <v>81.319999999999993</v>
      </c>
      <c r="BP2776" s="2"/>
      <c r="BQ2776" s="2" t="s">
        <v>117</v>
      </c>
      <c r="BR2776" s="2" t="s">
        <v>83</v>
      </c>
      <c r="BS2776" s="3">
        <v>42674</v>
      </c>
      <c r="BT2776" s="4">
        <v>0.4375</v>
      </c>
      <c r="BU2776" s="2" t="s">
        <v>2358</v>
      </c>
      <c r="BV2776" s="2" t="s">
        <v>85</v>
      </c>
      <c r="BW2776" s="2"/>
      <c r="BX2776" s="2"/>
      <c r="BY2776" s="2">
        <v>16335</v>
      </c>
      <c r="BZ2776" s="2"/>
      <c r="CA2776" s="2"/>
      <c r="CB2776" s="2"/>
      <c r="CC2776" s="2" t="s">
        <v>149</v>
      </c>
      <c r="CD2776" s="2">
        <v>4070</v>
      </c>
      <c r="CE2776" s="2" t="s">
        <v>86</v>
      </c>
      <c r="CF2776" s="5">
        <v>42675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88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"FES1162509982"</f>
        <v>FES1162509982</v>
      </c>
      <c r="F2777" s="3">
        <v>42671</v>
      </c>
      <c r="G2777" s="2">
        <v>201704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93</v>
      </c>
      <c r="M2777" s="2" t="s">
        <v>94</v>
      </c>
      <c r="N2777" s="2" t="s">
        <v>2496</v>
      </c>
      <c r="O2777" s="2" t="s">
        <v>96</v>
      </c>
      <c r="P2777" s="2" t="str">
        <f>"2170531009                    "</f>
        <v xml:space="preserve">2170531009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3.32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1</v>
      </c>
      <c r="BJ2777" s="2">
        <v>1.1000000000000001</v>
      </c>
      <c r="BK2777" s="2">
        <v>1.5</v>
      </c>
      <c r="BL2777" s="2">
        <v>40.76</v>
      </c>
      <c r="BM2777" s="2">
        <v>5.71</v>
      </c>
      <c r="BN2777" s="2">
        <v>46.47</v>
      </c>
      <c r="BO2777" s="2">
        <v>46.47</v>
      </c>
      <c r="BP2777" s="2"/>
      <c r="BQ2777" s="2" t="s">
        <v>117</v>
      </c>
      <c r="BR2777" s="2" t="s">
        <v>83</v>
      </c>
      <c r="BS2777" s="3">
        <v>42674</v>
      </c>
      <c r="BT2777" s="4">
        <v>0.4375</v>
      </c>
      <c r="BU2777" s="2" t="s">
        <v>2565</v>
      </c>
      <c r="BV2777" s="2" t="s">
        <v>85</v>
      </c>
      <c r="BW2777" s="2"/>
      <c r="BX2777" s="2"/>
      <c r="BY2777" s="2">
        <v>5320</v>
      </c>
      <c r="BZ2777" s="2"/>
      <c r="CA2777" s="2"/>
      <c r="CB2777" s="2"/>
      <c r="CC2777" s="2" t="s">
        <v>94</v>
      </c>
      <c r="CD2777" s="2">
        <v>4300</v>
      </c>
      <c r="CE2777" s="2" t="s">
        <v>86</v>
      </c>
      <c r="CF2777" s="5">
        <v>42675</v>
      </c>
      <c r="CG2777" s="2"/>
      <c r="CH2777" s="2"/>
      <c r="CI2777" s="2">
        <v>1</v>
      </c>
      <c r="CJ2777" s="2">
        <v>1</v>
      </c>
      <c r="CK2777" s="2">
        <v>21</v>
      </c>
      <c r="CL2777" s="2" t="s">
        <v>88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"FES1162509966"</f>
        <v>FES1162509966</v>
      </c>
      <c r="F2778" s="3">
        <v>42671</v>
      </c>
      <c r="G2778" s="2">
        <v>201704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160</v>
      </c>
      <c r="M2778" s="2" t="s">
        <v>161</v>
      </c>
      <c r="N2778" s="2" t="s">
        <v>2566</v>
      </c>
      <c r="O2778" s="2" t="s">
        <v>96</v>
      </c>
      <c r="P2778" s="2" t="str">
        <f>"2170522959                    "</f>
        <v xml:space="preserve">2170522959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6.63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3.9</v>
      </c>
      <c r="BJ2778" s="2">
        <v>3.3</v>
      </c>
      <c r="BK2778" s="2">
        <v>4</v>
      </c>
      <c r="BL2778" s="2">
        <v>81.510000000000005</v>
      </c>
      <c r="BM2778" s="2">
        <v>11.41</v>
      </c>
      <c r="BN2778" s="2">
        <v>92.92</v>
      </c>
      <c r="BO2778" s="2">
        <v>92.92</v>
      </c>
      <c r="BP2778" s="2"/>
      <c r="BQ2778" s="2"/>
      <c r="BR2778" s="2" t="s">
        <v>83</v>
      </c>
      <c r="BS2778" s="3">
        <v>42674</v>
      </c>
      <c r="BT2778" s="4">
        <v>0.40277777777777773</v>
      </c>
      <c r="BU2778" s="2" t="s">
        <v>2567</v>
      </c>
      <c r="BV2778" s="2" t="s">
        <v>85</v>
      </c>
      <c r="BW2778" s="2"/>
      <c r="BX2778" s="2"/>
      <c r="BY2778" s="2">
        <v>16482.82</v>
      </c>
      <c r="BZ2778" s="2"/>
      <c r="CA2778" s="2" t="s">
        <v>129</v>
      </c>
      <c r="CB2778" s="2"/>
      <c r="CC2778" s="2" t="s">
        <v>161</v>
      </c>
      <c r="CD2778" s="2">
        <v>7800</v>
      </c>
      <c r="CE2778" s="2" t="s">
        <v>86</v>
      </c>
      <c r="CF2778" s="5">
        <v>42675</v>
      </c>
      <c r="CG2778" s="2"/>
      <c r="CH2778" s="2"/>
      <c r="CI2778" s="2">
        <v>1</v>
      </c>
      <c r="CJ2778" s="2">
        <v>1</v>
      </c>
      <c r="CK2778" s="2">
        <v>21</v>
      </c>
      <c r="CL2778" s="2" t="s">
        <v>88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"FES1162510247"</f>
        <v>FES1162510247</v>
      </c>
      <c r="F2779" s="3">
        <v>42671</v>
      </c>
      <c r="G2779" s="2">
        <v>201704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372</v>
      </c>
      <c r="M2779" s="2" t="s">
        <v>373</v>
      </c>
      <c r="N2779" s="2" t="s">
        <v>1966</v>
      </c>
      <c r="O2779" s="2" t="s">
        <v>96</v>
      </c>
      <c r="P2779" s="2" t="str">
        <f>"2170533349                    "</f>
        <v xml:space="preserve">2170533349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6.43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1</v>
      </c>
      <c r="BJ2779" s="2">
        <v>0.2</v>
      </c>
      <c r="BK2779" s="2">
        <v>1</v>
      </c>
      <c r="BL2779" s="2">
        <v>78.97</v>
      </c>
      <c r="BM2779" s="2">
        <v>11.06</v>
      </c>
      <c r="BN2779" s="2">
        <v>90.03</v>
      </c>
      <c r="BO2779" s="2">
        <v>90.03</v>
      </c>
      <c r="BP2779" s="2"/>
      <c r="BQ2779" s="2" t="s">
        <v>82</v>
      </c>
      <c r="BR2779" s="2" t="s">
        <v>83</v>
      </c>
      <c r="BS2779" s="3">
        <v>42674</v>
      </c>
      <c r="BT2779" s="4">
        <v>0.59236111111111112</v>
      </c>
      <c r="BU2779" s="2" t="s">
        <v>2568</v>
      </c>
      <c r="BV2779" s="2" t="s">
        <v>85</v>
      </c>
      <c r="BW2779" s="2"/>
      <c r="BX2779" s="2"/>
      <c r="BY2779" s="2">
        <v>1200</v>
      </c>
      <c r="BZ2779" s="2"/>
      <c r="CA2779" s="2"/>
      <c r="CB2779" s="2"/>
      <c r="CC2779" s="2" t="s">
        <v>373</v>
      </c>
      <c r="CD2779" s="2">
        <v>9650</v>
      </c>
      <c r="CE2779" s="2" t="s">
        <v>108</v>
      </c>
      <c r="CF2779" s="5">
        <v>42677</v>
      </c>
      <c r="CG2779" s="2"/>
      <c r="CH2779" s="2"/>
      <c r="CI2779" s="2">
        <v>1</v>
      </c>
      <c r="CJ2779" s="2">
        <v>1</v>
      </c>
      <c r="CK2779" s="2">
        <v>23</v>
      </c>
      <c r="CL2779" s="2" t="s">
        <v>88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"FES1162509972"</f>
        <v>FES1162509972</v>
      </c>
      <c r="F2780" s="3">
        <v>42671</v>
      </c>
      <c r="G2780" s="2">
        <v>201704</v>
      </c>
      <c r="H2780" s="2" t="s">
        <v>74</v>
      </c>
      <c r="I2780" s="2" t="s">
        <v>75</v>
      </c>
      <c r="J2780" s="2" t="s">
        <v>76</v>
      </c>
      <c r="K2780" s="2" t="s">
        <v>77</v>
      </c>
      <c r="L2780" s="2" t="s">
        <v>98</v>
      </c>
      <c r="M2780" s="2" t="s">
        <v>99</v>
      </c>
      <c r="N2780" s="2" t="s">
        <v>1752</v>
      </c>
      <c r="O2780" s="2" t="s">
        <v>96</v>
      </c>
      <c r="P2780" s="2" t="str">
        <f>"2170530537                    "</f>
        <v xml:space="preserve">2170530537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3.32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1.7</v>
      </c>
      <c r="BJ2780" s="2">
        <v>0.2</v>
      </c>
      <c r="BK2780" s="2">
        <v>2</v>
      </c>
      <c r="BL2780" s="2">
        <v>40.76</v>
      </c>
      <c r="BM2780" s="2">
        <v>5.71</v>
      </c>
      <c r="BN2780" s="2">
        <v>46.47</v>
      </c>
      <c r="BO2780" s="2">
        <v>46.47</v>
      </c>
      <c r="BP2780" s="2"/>
      <c r="BQ2780" s="2" t="s">
        <v>91</v>
      </c>
      <c r="BR2780" s="2" t="s">
        <v>83</v>
      </c>
      <c r="BS2780" s="3">
        <v>42674</v>
      </c>
      <c r="BT2780" s="4">
        <v>0.42708333333333331</v>
      </c>
      <c r="BU2780" s="2" t="s">
        <v>1753</v>
      </c>
      <c r="BV2780" s="2" t="s">
        <v>85</v>
      </c>
      <c r="BW2780" s="2"/>
      <c r="BX2780" s="2"/>
      <c r="BY2780" s="2">
        <v>1200</v>
      </c>
      <c r="BZ2780" s="2"/>
      <c r="CA2780" s="2" t="s">
        <v>468</v>
      </c>
      <c r="CB2780" s="2"/>
      <c r="CC2780" s="2" t="s">
        <v>99</v>
      </c>
      <c r="CD2780" s="2">
        <v>6045</v>
      </c>
      <c r="CE2780" s="2" t="s">
        <v>108</v>
      </c>
      <c r="CF2780" s="5">
        <v>42675</v>
      </c>
      <c r="CG2780" s="2"/>
      <c r="CH2780" s="2"/>
      <c r="CI2780" s="2">
        <v>1</v>
      </c>
      <c r="CJ2780" s="2">
        <v>1</v>
      </c>
      <c r="CK2780" s="2">
        <v>21</v>
      </c>
      <c r="CL2780" s="2" t="s">
        <v>88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"FES1162510252"</f>
        <v>FES1162510252</v>
      </c>
      <c r="F2781" s="3">
        <v>42671</v>
      </c>
      <c r="G2781" s="2">
        <v>201704</v>
      </c>
      <c r="H2781" s="2" t="s">
        <v>74</v>
      </c>
      <c r="I2781" s="2" t="s">
        <v>75</v>
      </c>
      <c r="J2781" s="2" t="s">
        <v>76</v>
      </c>
      <c r="K2781" s="2" t="s">
        <v>77</v>
      </c>
      <c r="L2781" s="2" t="s">
        <v>160</v>
      </c>
      <c r="M2781" s="2" t="s">
        <v>161</v>
      </c>
      <c r="N2781" s="2" t="s">
        <v>2569</v>
      </c>
      <c r="O2781" s="2" t="s">
        <v>96</v>
      </c>
      <c r="P2781" s="2" t="str">
        <f>"217053335                     "</f>
        <v xml:space="preserve">217053335 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3.32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0.5</v>
      </c>
      <c r="BJ2781" s="2">
        <v>0.2</v>
      </c>
      <c r="BK2781" s="2">
        <v>0.5</v>
      </c>
      <c r="BL2781" s="2">
        <v>40.76</v>
      </c>
      <c r="BM2781" s="2">
        <v>5.71</v>
      </c>
      <c r="BN2781" s="2">
        <v>46.47</v>
      </c>
      <c r="BO2781" s="2">
        <v>46.47</v>
      </c>
      <c r="BP2781" s="2"/>
      <c r="BQ2781" s="2" t="s">
        <v>2570</v>
      </c>
      <c r="BR2781" s="2" t="s">
        <v>83</v>
      </c>
      <c r="BS2781" s="3">
        <v>42674</v>
      </c>
      <c r="BT2781" s="4">
        <v>0.3576388888888889</v>
      </c>
      <c r="BU2781" s="2" t="s">
        <v>2571</v>
      </c>
      <c r="BV2781" s="2" t="s">
        <v>85</v>
      </c>
      <c r="BW2781" s="2"/>
      <c r="BX2781" s="2"/>
      <c r="BY2781" s="2">
        <v>1200</v>
      </c>
      <c r="BZ2781" s="2"/>
      <c r="CA2781" s="2" t="s">
        <v>129</v>
      </c>
      <c r="CB2781" s="2"/>
      <c r="CC2781" s="2" t="s">
        <v>161</v>
      </c>
      <c r="CD2781" s="2">
        <v>7530</v>
      </c>
      <c r="CE2781" s="2" t="s">
        <v>108</v>
      </c>
      <c r="CF2781" s="5">
        <v>42675</v>
      </c>
      <c r="CG2781" s="2"/>
      <c r="CH2781" s="2"/>
      <c r="CI2781" s="2">
        <v>1</v>
      </c>
      <c r="CJ2781" s="2">
        <v>1</v>
      </c>
      <c r="CK2781" s="2">
        <v>21</v>
      </c>
      <c r="CL2781" s="2" t="s">
        <v>88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"FES1162510076"</f>
        <v>FES1162510076</v>
      </c>
      <c r="F2782" s="3">
        <v>42671</v>
      </c>
      <c r="G2782" s="2">
        <v>201704</v>
      </c>
      <c r="H2782" s="2" t="s">
        <v>74</v>
      </c>
      <c r="I2782" s="2" t="s">
        <v>75</v>
      </c>
      <c r="J2782" s="2" t="s">
        <v>76</v>
      </c>
      <c r="K2782" s="2" t="s">
        <v>77</v>
      </c>
      <c r="L2782" s="2" t="s">
        <v>98</v>
      </c>
      <c r="M2782" s="2" t="s">
        <v>99</v>
      </c>
      <c r="N2782" s="2" t="s">
        <v>109</v>
      </c>
      <c r="O2782" s="2" t="s">
        <v>96</v>
      </c>
      <c r="P2782" s="2" t="str">
        <f>"2170533189                    "</f>
        <v xml:space="preserve">2170533189 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3.32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2</v>
      </c>
      <c r="BJ2782" s="2">
        <v>0.2</v>
      </c>
      <c r="BK2782" s="2">
        <v>2</v>
      </c>
      <c r="BL2782" s="2">
        <v>40.76</v>
      </c>
      <c r="BM2782" s="2">
        <v>5.71</v>
      </c>
      <c r="BN2782" s="2">
        <v>46.47</v>
      </c>
      <c r="BO2782" s="2">
        <v>46.47</v>
      </c>
      <c r="BP2782" s="2"/>
      <c r="BQ2782" s="2" t="s">
        <v>110</v>
      </c>
      <c r="BR2782" s="2" t="s">
        <v>83</v>
      </c>
      <c r="BS2782" s="3">
        <v>42674</v>
      </c>
      <c r="BT2782" s="4">
        <v>0.39583333333333331</v>
      </c>
      <c r="BU2782" s="2" t="s">
        <v>110</v>
      </c>
      <c r="BV2782" s="2" t="s">
        <v>85</v>
      </c>
      <c r="BW2782" s="2"/>
      <c r="BX2782" s="2"/>
      <c r="BY2782" s="2">
        <v>1200</v>
      </c>
      <c r="BZ2782" s="2"/>
      <c r="CA2782" s="2"/>
      <c r="CB2782" s="2"/>
      <c r="CC2782" s="2" t="s">
        <v>99</v>
      </c>
      <c r="CD2782" s="2">
        <v>6001</v>
      </c>
      <c r="CE2782" s="2" t="s">
        <v>108</v>
      </c>
      <c r="CF2782" s="5">
        <v>42675</v>
      </c>
      <c r="CG2782" s="2"/>
      <c r="CH2782" s="2"/>
      <c r="CI2782" s="2">
        <v>1</v>
      </c>
      <c r="CJ2782" s="2">
        <v>1</v>
      </c>
      <c r="CK2782" s="2">
        <v>21</v>
      </c>
      <c r="CL2782" s="2" t="s">
        <v>88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"FES1162510046"</f>
        <v>FES1162510046</v>
      </c>
      <c r="F2783" s="3">
        <v>42671</v>
      </c>
      <c r="G2783" s="2">
        <v>201704</v>
      </c>
      <c r="H2783" s="2" t="s">
        <v>74</v>
      </c>
      <c r="I2783" s="2" t="s">
        <v>75</v>
      </c>
      <c r="J2783" s="2" t="s">
        <v>76</v>
      </c>
      <c r="K2783" s="2" t="s">
        <v>77</v>
      </c>
      <c r="L2783" s="2" t="s">
        <v>269</v>
      </c>
      <c r="M2783" s="2" t="s">
        <v>270</v>
      </c>
      <c r="N2783" s="2" t="s">
        <v>869</v>
      </c>
      <c r="O2783" s="2" t="s">
        <v>96</v>
      </c>
      <c r="P2783" s="2" t="str">
        <f>"2170531171                    "</f>
        <v xml:space="preserve">2170531171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3.32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0.5</v>
      </c>
      <c r="BJ2783" s="2">
        <v>0.2</v>
      </c>
      <c r="BK2783" s="2">
        <v>0.5</v>
      </c>
      <c r="BL2783" s="2">
        <v>40.76</v>
      </c>
      <c r="BM2783" s="2">
        <v>5.71</v>
      </c>
      <c r="BN2783" s="2">
        <v>46.47</v>
      </c>
      <c r="BO2783" s="2">
        <v>46.47</v>
      </c>
      <c r="BP2783" s="2"/>
      <c r="BQ2783" s="2" t="s">
        <v>117</v>
      </c>
      <c r="BR2783" s="2" t="s">
        <v>83</v>
      </c>
      <c r="BS2783" s="3">
        <v>42674</v>
      </c>
      <c r="BT2783" s="4">
        <v>0.39861111111111108</v>
      </c>
      <c r="BU2783" s="2" t="s">
        <v>2572</v>
      </c>
      <c r="BV2783" s="2" t="s">
        <v>85</v>
      </c>
      <c r="BW2783" s="2"/>
      <c r="BX2783" s="2"/>
      <c r="BY2783" s="2">
        <v>1200</v>
      </c>
      <c r="BZ2783" s="2"/>
      <c r="CA2783" s="2" t="s">
        <v>129</v>
      </c>
      <c r="CB2783" s="2"/>
      <c r="CC2783" s="2" t="s">
        <v>270</v>
      </c>
      <c r="CD2783" s="2">
        <v>3610</v>
      </c>
      <c r="CE2783" s="2" t="s">
        <v>108</v>
      </c>
      <c r="CF2783" s="5">
        <v>42674</v>
      </c>
      <c r="CG2783" s="2"/>
      <c r="CH2783" s="2"/>
      <c r="CI2783" s="2">
        <v>1</v>
      </c>
      <c r="CJ2783" s="2">
        <v>1</v>
      </c>
      <c r="CK2783" s="2">
        <v>21</v>
      </c>
      <c r="CL2783" s="2" t="s">
        <v>88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"FES1162509960"</f>
        <v>FES1162509960</v>
      </c>
      <c r="F2784" s="3">
        <v>42671</v>
      </c>
      <c r="G2784" s="2">
        <v>201704</v>
      </c>
      <c r="H2784" s="2" t="s">
        <v>74</v>
      </c>
      <c r="I2784" s="2" t="s">
        <v>75</v>
      </c>
      <c r="J2784" s="2" t="s">
        <v>76</v>
      </c>
      <c r="K2784" s="2" t="s">
        <v>77</v>
      </c>
      <c r="L2784" s="2" t="s">
        <v>98</v>
      </c>
      <c r="M2784" s="2" t="s">
        <v>99</v>
      </c>
      <c r="N2784" s="2" t="s">
        <v>133</v>
      </c>
      <c r="O2784" s="2" t="s">
        <v>96</v>
      </c>
      <c r="P2784" s="2" t="str">
        <f>"2170533137                    "</f>
        <v xml:space="preserve">2170533137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3.32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1.5</v>
      </c>
      <c r="BJ2784" s="2">
        <v>0.2</v>
      </c>
      <c r="BK2784" s="2">
        <v>1.5</v>
      </c>
      <c r="BL2784" s="2">
        <v>40.76</v>
      </c>
      <c r="BM2784" s="2">
        <v>5.71</v>
      </c>
      <c r="BN2784" s="2">
        <v>46.47</v>
      </c>
      <c r="BO2784" s="2">
        <v>46.47</v>
      </c>
      <c r="BP2784" s="2"/>
      <c r="BQ2784" s="2" t="s">
        <v>134</v>
      </c>
      <c r="BR2784" s="2" t="s">
        <v>83</v>
      </c>
      <c r="BS2784" s="3">
        <v>42674</v>
      </c>
      <c r="BT2784" s="4">
        <v>0.35416666666666669</v>
      </c>
      <c r="BU2784" s="2" t="s">
        <v>1714</v>
      </c>
      <c r="BV2784" s="2" t="s">
        <v>85</v>
      </c>
      <c r="BW2784" s="2"/>
      <c r="BX2784" s="2"/>
      <c r="BY2784" s="2">
        <v>1200</v>
      </c>
      <c r="BZ2784" s="2"/>
      <c r="CA2784" s="2" t="s">
        <v>437</v>
      </c>
      <c r="CB2784" s="2"/>
      <c r="CC2784" s="2" t="s">
        <v>99</v>
      </c>
      <c r="CD2784" s="2">
        <v>6001</v>
      </c>
      <c r="CE2784" s="2" t="s">
        <v>108</v>
      </c>
      <c r="CF2784" s="5">
        <v>42674</v>
      </c>
      <c r="CG2784" s="2"/>
      <c r="CH2784" s="2"/>
      <c r="CI2784" s="2">
        <v>1</v>
      </c>
      <c r="CJ2784" s="2">
        <v>1</v>
      </c>
      <c r="CK2784" s="2">
        <v>21</v>
      </c>
      <c r="CL2784" s="2" t="s">
        <v>88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"FES1162510045"</f>
        <v>FES1162510045</v>
      </c>
      <c r="F2785" s="3">
        <v>42671</v>
      </c>
      <c r="G2785" s="2">
        <v>201704</v>
      </c>
      <c r="H2785" s="2" t="s">
        <v>74</v>
      </c>
      <c r="I2785" s="2" t="s">
        <v>75</v>
      </c>
      <c r="J2785" s="2" t="s">
        <v>76</v>
      </c>
      <c r="K2785" s="2" t="s">
        <v>77</v>
      </c>
      <c r="L2785" s="2" t="s">
        <v>143</v>
      </c>
      <c r="M2785" s="2" t="s">
        <v>144</v>
      </c>
      <c r="N2785" s="2" t="s">
        <v>273</v>
      </c>
      <c r="O2785" s="2" t="s">
        <v>96</v>
      </c>
      <c r="P2785" s="2" t="str">
        <f>"2170532354                    "</f>
        <v xml:space="preserve">2170532354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3.32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1</v>
      </c>
      <c r="BI2785" s="2">
        <v>1</v>
      </c>
      <c r="BJ2785" s="2">
        <v>0.2</v>
      </c>
      <c r="BK2785" s="2">
        <v>1</v>
      </c>
      <c r="BL2785" s="2">
        <v>40.76</v>
      </c>
      <c r="BM2785" s="2">
        <v>5.71</v>
      </c>
      <c r="BN2785" s="2">
        <v>46.47</v>
      </c>
      <c r="BO2785" s="2">
        <v>46.47</v>
      </c>
      <c r="BP2785" s="2"/>
      <c r="BQ2785" s="2" t="s">
        <v>274</v>
      </c>
      <c r="BR2785" s="2" t="s">
        <v>83</v>
      </c>
      <c r="BS2785" s="3">
        <v>42674</v>
      </c>
      <c r="BT2785" s="4">
        <v>0.39583333333333331</v>
      </c>
      <c r="BU2785" s="2" t="s">
        <v>2573</v>
      </c>
      <c r="BV2785" s="2" t="s">
        <v>85</v>
      </c>
      <c r="BW2785" s="2"/>
      <c r="BX2785" s="2"/>
      <c r="BY2785" s="2">
        <v>1200</v>
      </c>
      <c r="BZ2785" s="2"/>
      <c r="CA2785" s="2" t="s">
        <v>129</v>
      </c>
      <c r="CB2785" s="2"/>
      <c r="CC2785" s="2" t="s">
        <v>144</v>
      </c>
      <c r="CD2785" s="2">
        <v>5201</v>
      </c>
      <c r="CE2785" s="2" t="s">
        <v>108</v>
      </c>
      <c r="CF2785" s="5">
        <v>42676</v>
      </c>
      <c r="CG2785" s="2"/>
      <c r="CH2785" s="2"/>
      <c r="CI2785" s="2">
        <v>1</v>
      </c>
      <c r="CJ2785" s="2">
        <v>1</v>
      </c>
      <c r="CK2785" s="2">
        <v>21</v>
      </c>
      <c r="CL2785" s="2" t="s">
        <v>88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"FES1162510025"</f>
        <v>FES1162510025</v>
      </c>
      <c r="F2786" s="3">
        <v>42671</v>
      </c>
      <c r="G2786" s="2">
        <v>201704</v>
      </c>
      <c r="H2786" s="2" t="s">
        <v>74</v>
      </c>
      <c r="I2786" s="2" t="s">
        <v>75</v>
      </c>
      <c r="J2786" s="2" t="s">
        <v>76</v>
      </c>
      <c r="K2786" s="2" t="s">
        <v>77</v>
      </c>
      <c r="L2786" s="2" t="s">
        <v>98</v>
      </c>
      <c r="M2786" s="2" t="s">
        <v>99</v>
      </c>
      <c r="N2786" s="2" t="s">
        <v>934</v>
      </c>
      <c r="O2786" s="2" t="s">
        <v>96</v>
      </c>
      <c r="P2786" s="2" t="str">
        <f>"2170533113                    "</f>
        <v xml:space="preserve">2170533113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3.32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0.5</v>
      </c>
      <c r="BJ2786" s="2">
        <v>0.2</v>
      </c>
      <c r="BK2786" s="2">
        <v>0.5</v>
      </c>
      <c r="BL2786" s="2">
        <v>40.76</v>
      </c>
      <c r="BM2786" s="2">
        <v>5.71</v>
      </c>
      <c r="BN2786" s="2">
        <v>46.47</v>
      </c>
      <c r="BO2786" s="2">
        <v>46.47</v>
      </c>
      <c r="BP2786" s="2"/>
      <c r="BQ2786" s="2" t="s">
        <v>935</v>
      </c>
      <c r="BR2786" s="2" t="s">
        <v>83</v>
      </c>
      <c r="BS2786" s="6" t="s">
        <v>679</v>
      </c>
      <c r="BT2786" s="2"/>
      <c r="BU2786" s="2"/>
      <c r="BV2786" s="2"/>
      <c r="BW2786" s="2"/>
      <c r="BX2786" s="2"/>
      <c r="BY2786" s="2">
        <v>1200</v>
      </c>
      <c r="BZ2786" s="2"/>
      <c r="CA2786" s="2"/>
      <c r="CB2786" s="2"/>
      <c r="CC2786" s="2" t="s">
        <v>99</v>
      </c>
      <c r="CD2786" s="2">
        <v>6001</v>
      </c>
      <c r="CE2786" s="2" t="s">
        <v>108</v>
      </c>
      <c r="CF2786" s="2"/>
      <c r="CG2786" s="2"/>
      <c r="CH2786" s="2"/>
      <c r="CI2786" s="2">
        <v>1</v>
      </c>
      <c r="CJ2786" s="2" t="s">
        <v>679</v>
      </c>
      <c r="CK2786" s="2">
        <v>21</v>
      </c>
      <c r="CL2786" s="2" t="s">
        <v>88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"FES1162510169"</f>
        <v>FES1162510169</v>
      </c>
      <c r="F2787" s="3">
        <v>42671</v>
      </c>
      <c r="G2787" s="2">
        <v>201704</v>
      </c>
      <c r="H2787" s="2" t="s">
        <v>74</v>
      </c>
      <c r="I2787" s="2" t="s">
        <v>75</v>
      </c>
      <c r="J2787" s="2" t="s">
        <v>76</v>
      </c>
      <c r="K2787" s="2" t="s">
        <v>77</v>
      </c>
      <c r="L2787" s="2" t="s">
        <v>160</v>
      </c>
      <c r="M2787" s="2" t="s">
        <v>161</v>
      </c>
      <c r="N2787" s="2" t="s">
        <v>244</v>
      </c>
      <c r="O2787" s="2" t="s">
        <v>96</v>
      </c>
      <c r="P2787" s="2" t="str">
        <f>"2170527280                    "</f>
        <v xml:space="preserve">2170527280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50.59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1</v>
      </c>
      <c r="BI2787" s="2">
        <v>26.8</v>
      </c>
      <c r="BJ2787" s="2">
        <v>30.2</v>
      </c>
      <c r="BK2787" s="2">
        <v>30.5</v>
      </c>
      <c r="BL2787" s="2">
        <v>621.54999999999995</v>
      </c>
      <c r="BM2787" s="2">
        <v>87.02</v>
      </c>
      <c r="BN2787" s="2">
        <v>708.57</v>
      </c>
      <c r="BO2787" s="2">
        <v>708.57</v>
      </c>
      <c r="BP2787" s="2"/>
      <c r="BQ2787" s="2" t="s">
        <v>117</v>
      </c>
      <c r="BR2787" s="2" t="s">
        <v>83</v>
      </c>
      <c r="BS2787" s="3">
        <v>42674</v>
      </c>
      <c r="BT2787" s="4">
        <v>0.4375</v>
      </c>
      <c r="BU2787" s="2" t="s">
        <v>2574</v>
      </c>
      <c r="BV2787" s="2" t="s">
        <v>85</v>
      </c>
      <c r="BW2787" s="2"/>
      <c r="BX2787" s="2"/>
      <c r="BY2787" s="2">
        <v>151231.95000000001</v>
      </c>
      <c r="BZ2787" s="2"/>
      <c r="CA2787" s="2" t="s">
        <v>129</v>
      </c>
      <c r="CB2787" s="2"/>
      <c r="CC2787" s="2" t="s">
        <v>161</v>
      </c>
      <c r="CD2787" s="2">
        <v>7800</v>
      </c>
      <c r="CE2787" s="2" t="s">
        <v>86</v>
      </c>
      <c r="CF2787" s="5">
        <v>42675</v>
      </c>
      <c r="CG2787" s="2"/>
      <c r="CH2787" s="2"/>
      <c r="CI2787" s="2">
        <v>1</v>
      </c>
      <c r="CJ2787" s="2">
        <v>1</v>
      </c>
      <c r="CK2787" s="2">
        <v>21</v>
      </c>
      <c r="CL2787" s="2" t="s">
        <v>88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"FES1162510010"</f>
        <v>FES1162510010</v>
      </c>
      <c r="F2788" s="3">
        <v>42671</v>
      </c>
      <c r="G2788" s="2">
        <v>201704</v>
      </c>
      <c r="H2788" s="2" t="s">
        <v>74</v>
      </c>
      <c r="I2788" s="2" t="s">
        <v>75</v>
      </c>
      <c r="J2788" s="2" t="s">
        <v>76</v>
      </c>
      <c r="K2788" s="2" t="s">
        <v>77</v>
      </c>
      <c r="L2788" s="2" t="s">
        <v>98</v>
      </c>
      <c r="M2788" s="2" t="s">
        <v>99</v>
      </c>
      <c r="N2788" s="2" t="s">
        <v>606</v>
      </c>
      <c r="O2788" s="2" t="s">
        <v>96</v>
      </c>
      <c r="P2788" s="2" t="str">
        <f>"2170532066                    "</f>
        <v xml:space="preserve">2170532066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3.32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0.5</v>
      </c>
      <c r="BJ2788" s="2">
        <v>0.2</v>
      </c>
      <c r="BK2788" s="2">
        <v>0.5</v>
      </c>
      <c r="BL2788" s="2">
        <v>40.76</v>
      </c>
      <c r="BM2788" s="2">
        <v>5.71</v>
      </c>
      <c r="BN2788" s="2">
        <v>46.47</v>
      </c>
      <c r="BO2788" s="2">
        <v>46.47</v>
      </c>
      <c r="BP2788" s="2"/>
      <c r="BQ2788" s="2" t="s">
        <v>607</v>
      </c>
      <c r="BR2788" s="2" t="s">
        <v>83</v>
      </c>
      <c r="BS2788" s="3">
        <v>42674</v>
      </c>
      <c r="BT2788" s="4">
        <v>0.3923611111111111</v>
      </c>
      <c r="BU2788" s="2" t="s">
        <v>608</v>
      </c>
      <c r="BV2788" s="2" t="s">
        <v>85</v>
      </c>
      <c r="BW2788" s="2"/>
      <c r="BX2788" s="2"/>
      <c r="BY2788" s="2">
        <v>1200</v>
      </c>
      <c r="BZ2788" s="2"/>
      <c r="CA2788" s="2"/>
      <c r="CB2788" s="2"/>
      <c r="CC2788" s="2" t="s">
        <v>99</v>
      </c>
      <c r="CD2788" s="2">
        <v>6001</v>
      </c>
      <c r="CE2788" s="2" t="s">
        <v>108</v>
      </c>
      <c r="CF2788" s="5">
        <v>42675</v>
      </c>
      <c r="CG2788" s="2"/>
      <c r="CH2788" s="2"/>
      <c r="CI2788" s="2">
        <v>1</v>
      </c>
      <c r="CJ2788" s="2">
        <v>1</v>
      </c>
      <c r="CK2788" s="2">
        <v>21</v>
      </c>
      <c r="CL2788" s="2" t="s">
        <v>88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"FES1162510022"</f>
        <v>FES1162510022</v>
      </c>
      <c r="F2789" s="3">
        <v>42671</v>
      </c>
      <c r="G2789" s="2">
        <v>201704</v>
      </c>
      <c r="H2789" s="2" t="s">
        <v>74</v>
      </c>
      <c r="I2789" s="2" t="s">
        <v>75</v>
      </c>
      <c r="J2789" s="2" t="s">
        <v>76</v>
      </c>
      <c r="K2789" s="2" t="s">
        <v>77</v>
      </c>
      <c r="L2789" s="2" t="s">
        <v>98</v>
      </c>
      <c r="M2789" s="2" t="s">
        <v>99</v>
      </c>
      <c r="N2789" s="2" t="s">
        <v>606</v>
      </c>
      <c r="O2789" s="2" t="s">
        <v>96</v>
      </c>
      <c r="P2789" s="2" t="str">
        <f>"2170532890                    "</f>
        <v xml:space="preserve">2170532890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3.32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1</v>
      </c>
      <c r="BJ2789" s="2">
        <v>0.2</v>
      </c>
      <c r="BK2789" s="2">
        <v>1</v>
      </c>
      <c r="BL2789" s="2">
        <v>40.76</v>
      </c>
      <c r="BM2789" s="2">
        <v>5.71</v>
      </c>
      <c r="BN2789" s="2">
        <v>46.47</v>
      </c>
      <c r="BO2789" s="2">
        <v>46.47</v>
      </c>
      <c r="BP2789" s="2"/>
      <c r="BQ2789" s="2" t="s">
        <v>607</v>
      </c>
      <c r="BR2789" s="2" t="s">
        <v>83</v>
      </c>
      <c r="BS2789" s="3">
        <v>42674</v>
      </c>
      <c r="BT2789" s="4">
        <v>0.3923611111111111</v>
      </c>
      <c r="BU2789" s="2" t="s">
        <v>608</v>
      </c>
      <c r="BV2789" s="2" t="s">
        <v>85</v>
      </c>
      <c r="BW2789" s="2"/>
      <c r="BX2789" s="2"/>
      <c r="BY2789" s="2">
        <v>1200</v>
      </c>
      <c r="BZ2789" s="2"/>
      <c r="CA2789" s="2"/>
      <c r="CB2789" s="2"/>
      <c r="CC2789" s="2" t="s">
        <v>99</v>
      </c>
      <c r="CD2789" s="2">
        <v>6001</v>
      </c>
      <c r="CE2789" s="2" t="s">
        <v>108</v>
      </c>
      <c r="CF2789" s="5">
        <v>42675</v>
      </c>
      <c r="CG2789" s="2"/>
      <c r="CH2789" s="2"/>
      <c r="CI2789" s="2">
        <v>1</v>
      </c>
      <c r="CJ2789" s="2">
        <v>1</v>
      </c>
      <c r="CK2789" s="2">
        <v>21</v>
      </c>
      <c r="CL2789" s="2" t="s">
        <v>88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"FES1162510017"</f>
        <v>FES1162510017</v>
      </c>
      <c r="F2790" s="3">
        <v>42671</v>
      </c>
      <c r="G2790" s="2">
        <v>201704</v>
      </c>
      <c r="H2790" s="2" t="s">
        <v>74</v>
      </c>
      <c r="I2790" s="2" t="s">
        <v>75</v>
      </c>
      <c r="J2790" s="2" t="s">
        <v>76</v>
      </c>
      <c r="K2790" s="2" t="s">
        <v>77</v>
      </c>
      <c r="L2790" s="2" t="s">
        <v>491</v>
      </c>
      <c r="M2790" s="2" t="s">
        <v>492</v>
      </c>
      <c r="N2790" s="2" t="s">
        <v>688</v>
      </c>
      <c r="O2790" s="2" t="s">
        <v>96</v>
      </c>
      <c r="P2790" s="2" t="str">
        <f>"2170532507                    "</f>
        <v xml:space="preserve">2170532507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3.32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0.5</v>
      </c>
      <c r="BJ2790" s="2">
        <v>0.2</v>
      </c>
      <c r="BK2790" s="2">
        <v>0.5</v>
      </c>
      <c r="BL2790" s="2">
        <v>40.76</v>
      </c>
      <c r="BM2790" s="2">
        <v>5.71</v>
      </c>
      <c r="BN2790" s="2">
        <v>46.47</v>
      </c>
      <c r="BO2790" s="2">
        <v>46.47</v>
      </c>
      <c r="BP2790" s="2"/>
      <c r="BQ2790" s="2" t="s">
        <v>689</v>
      </c>
      <c r="BR2790" s="2" t="s">
        <v>83</v>
      </c>
      <c r="BS2790" s="3">
        <v>42674</v>
      </c>
      <c r="BT2790" s="4">
        <v>0.46875</v>
      </c>
      <c r="BU2790" s="2" t="s">
        <v>2560</v>
      </c>
      <c r="BV2790" s="2" t="s">
        <v>85</v>
      </c>
      <c r="BW2790" s="2"/>
      <c r="BX2790" s="2"/>
      <c r="BY2790" s="2">
        <v>1200</v>
      </c>
      <c r="BZ2790" s="2"/>
      <c r="CA2790" s="2" t="s">
        <v>129</v>
      </c>
      <c r="CB2790" s="2"/>
      <c r="CC2790" s="2" t="s">
        <v>492</v>
      </c>
      <c r="CD2790" s="2">
        <v>3699</v>
      </c>
      <c r="CE2790" s="2" t="s">
        <v>108</v>
      </c>
      <c r="CF2790" s="5">
        <v>42676</v>
      </c>
      <c r="CG2790" s="2"/>
      <c r="CH2790" s="2"/>
      <c r="CI2790" s="2">
        <v>1</v>
      </c>
      <c r="CJ2790" s="2">
        <v>1</v>
      </c>
      <c r="CK2790" s="2">
        <v>21</v>
      </c>
      <c r="CL2790" s="2" t="s">
        <v>88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"FES1162510092"</f>
        <v>FES1162510092</v>
      </c>
      <c r="F2791" s="3">
        <v>42671</v>
      </c>
      <c r="G2791" s="2">
        <v>201704</v>
      </c>
      <c r="H2791" s="2" t="s">
        <v>74</v>
      </c>
      <c r="I2791" s="2" t="s">
        <v>75</v>
      </c>
      <c r="J2791" s="2" t="s">
        <v>76</v>
      </c>
      <c r="K2791" s="2" t="s">
        <v>77</v>
      </c>
      <c r="L2791" s="2" t="s">
        <v>98</v>
      </c>
      <c r="M2791" s="2" t="s">
        <v>99</v>
      </c>
      <c r="N2791" s="2" t="s">
        <v>213</v>
      </c>
      <c r="O2791" s="2" t="s">
        <v>96</v>
      </c>
      <c r="P2791" s="2" t="str">
        <f>"2170533207                    "</f>
        <v xml:space="preserve">2170533207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3.32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0.5</v>
      </c>
      <c r="BJ2791" s="2">
        <v>0.2</v>
      </c>
      <c r="BK2791" s="2">
        <v>0.5</v>
      </c>
      <c r="BL2791" s="2">
        <v>40.76</v>
      </c>
      <c r="BM2791" s="2">
        <v>5.71</v>
      </c>
      <c r="BN2791" s="2">
        <v>46.47</v>
      </c>
      <c r="BO2791" s="2">
        <v>46.47</v>
      </c>
      <c r="BP2791" s="2"/>
      <c r="BQ2791" s="2" t="s">
        <v>1050</v>
      </c>
      <c r="BR2791" s="2" t="s">
        <v>83</v>
      </c>
      <c r="BS2791" s="3">
        <v>42674</v>
      </c>
      <c r="BT2791" s="4">
        <v>0.37638888888888888</v>
      </c>
      <c r="BU2791" s="2" t="s">
        <v>2575</v>
      </c>
      <c r="BV2791" s="2" t="s">
        <v>85</v>
      </c>
      <c r="BW2791" s="2"/>
      <c r="BX2791" s="2"/>
      <c r="BY2791" s="2">
        <v>1200</v>
      </c>
      <c r="BZ2791" s="2"/>
      <c r="CA2791" s="2" t="s">
        <v>129</v>
      </c>
      <c r="CB2791" s="2"/>
      <c r="CC2791" s="2" t="s">
        <v>99</v>
      </c>
      <c r="CD2791" s="2">
        <v>6045</v>
      </c>
      <c r="CE2791" s="2" t="s">
        <v>108</v>
      </c>
      <c r="CF2791" s="5">
        <v>42675</v>
      </c>
      <c r="CG2791" s="2"/>
      <c r="CH2791" s="2"/>
      <c r="CI2791" s="2">
        <v>1</v>
      </c>
      <c r="CJ2791" s="2">
        <v>1</v>
      </c>
      <c r="CK2791" s="2">
        <v>21</v>
      </c>
      <c r="CL2791" s="2" t="s">
        <v>88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"FES1162509987"</f>
        <v>FES1162509987</v>
      </c>
      <c r="F2792" s="3">
        <v>42671</v>
      </c>
      <c r="G2792" s="2">
        <v>201704</v>
      </c>
      <c r="H2792" s="2" t="s">
        <v>74</v>
      </c>
      <c r="I2792" s="2" t="s">
        <v>75</v>
      </c>
      <c r="J2792" s="2" t="s">
        <v>76</v>
      </c>
      <c r="K2792" s="2" t="s">
        <v>77</v>
      </c>
      <c r="L2792" s="2" t="s">
        <v>148</v>
      </c>
      <c r="M2792" s="2" t="s">
        <v>149</v>
      </c>
      <c r="N2792" s="2" t="s">
        <v>1057</v>
      </c>
      <c r="O2792" s="2" t="s">
        <v>96</v>
      </c>
      <c r="P2792" s="2" t="str">
        <f>"2170531054                    "</f>
        <v xml:space="preserve">2170531054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3.32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0.5</v>
      </c>
      <c r="BJ2792" s="2">
        <v>0.2</v>
      </c>
      <c r="BK2792" s="2">
        <v>0.5</v>
      </c>
      <c r="BL2792" s="2">
        <v>40.76</v>
      </c>
      <c r="BM2792" s="2">
        <v>5.71</v>
      </c>
      <c r="BN2792" s="2">
        <v>46.47</v>
      </c>
      <c r="BO2792" s="2">
        <v>46.47</v>
      </c>
      <c r="BP2792" s="2"/>
      <c r="BQ2792" s="2" t="s">
        <v>168</v>
      </c>
      <c r="BR2792" s="2" t="s">
        <v>83</v>
      </c>
      <c r="BS2792" s="3">
        <v>42674</v>
      </c>
      <c r="BT2792" s="4">
        <v>0.4375</v>
      </c>
      <c r="BU2792" s="2" t="s">
        <v>1451</v>
      </c>
      <c r="BV2792" s="2" t="s">
        <v>85</v>
      </c>
      <c r="BW2792" s="2"/>
      <c r="BX2792" s="2"/>
      <c r="BY2792" s="2">
        <v>1200</v>
      </c>
      <c r="BZ2792" s="2"/>
      <c r="CA2792" s="2"/>
      <c r="CB2792" s="2"/>
      <c r="CC2792" s="2" t="s">
        <v>149</v>
      </c>
      <c r="CD2792" s="2">
        <v>4067</v>
      </c>
      <c r="CE2792" s="2" t="s">
        <v>108</v>
      </c>
      <c r="CF2792" s="5">
        <v>42675</v>
      </c>
      <c r="CG2792" s="2"/>
      <c r="CH2792" s="2"/>
      <c r="CI2792" s="2">
        <v>1</v>
      </c>
      <c r="CJ2792" s="2">
        <v>1</v>
      </c>
      <c r="CK2792" s="2">
        <v>21</v>
      </c>
      <c r="CL2792" s="2" t="s">
        <v>88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"FES1162510234"</f>
        <v>FES1162510234</v>
      </c>
      <c r="F2793" s="3">
        <v>42671</v>
      </c>
      <c r="G2793" s="2">
        <v>201704</v>
      </c>
      <c r="H2793" s="2" t="s">
        <v>74</v>
      </c>
      <c r="I2793" s="2" t="s">
        <v>75</v>
      </c>
      <c r="J2793" s="2" t="s">
        <v>76</v>
      </c>
      <c r="K2793" s="2" t="s">
        <v>77</v>
      </c>
      <c r="L2793" s="2" t="s">
        <v>153</v>
      </c>
      <c r="M2793" s="2" t="s">
        <v>153</v>
      </c>
      <c r="N2793" s="2" t="s">
        <v>353</v>
      </c>
      <c r="O2793" s="2" t="s">
        <v>96</v>
      </c>
      <c r="P2793" s="2" t="str">
        <f>"2170533332                    "</f>
        <v xml:space="preserve">2170533332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3.32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0.5</v>
      </c>
      <c r="BJ2793" s="2">
        <v>0.2</v>
      </c>
      <c r="BK2793" s="2">
        <v>0.5</v>
      </c>
      <c r="BL2793" s="2">
        <v>40.76</v>
      </c>
      <c r="BM2793" s="2">
        <v>5.71</v>
      </c>
      <c r="BN2793" s="2">
        <v>46.47</v>
      </c>
      <c r="BO2793" s="2">
        <v>46.47</v>
      </c>
      <c r="BP2793" s="2"/>
      <c r="BQ2793" s="2" t="s">
        <v>354</v>
      </c>
      <c r="BR2793" s="2" t="s">
        <v>83</v>
      </c>
      <c r="BS2793" s="3">
        <v>42674</v>
      </c>
      <c r="BT2793" s="4">
        <v>0.53472222222222221</v>
      </c>
      <c r="BU2793" s="2" t="s">
        <v>2576</v>
      </c>
      <c r="BV2793" s="2" t="s">
        <v>85</v>
      </c>
      <c r="BW2793" s="2"/>
      <c r="BX2793" s="2"/>
      <c r="BY2793" s="2">
        <v>1200</v>
      </c>
      <c r="BZ2793" s="2"/>
      <c r="CA2793" s="2"/>
      <c r="CB2793" s="2"/>
      <c r="CC2793" s="2" t="s">
        <v>153</v>
      </c>
      <c r="CD2793" s="2">
        <v>7646</v>
      </c>
      <c r="CE2793" s="2" t="s">
        <v>108</v>
      </c>
      <c r="CF2793" s="5">
        <v>42675</v>
      </c>
      <c r="CG2793" s="2"/>
      <c r="CH2793" s="2"/>
      <c r="CI2793" s="2">
        <v>1</v>
      </c>
      <c r="CJ2793" s="2">
        <v>1</v>
      </c>
      <c r="CK2793" s="2">
        <v>21</v>
      </c>
      <c r="CL2793" s="2" t="s">
        <v>88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"FES1162510218"</f>
        <v>FES1162510218</v>
      </c>
      <c r="F2794" s="3">
        <v>42671</v>
      </c>
      <c r="G2794" s="2">
        <v>201704</v>
      </c>
      <c r="H2794" s="2" t="s">
        <v>74</v>
      </c>
      <c r="I2794" s="2" t="s">
        <v>75</v>
      </c>
      <c r="J2794" s="2" t="s">
        <v>76</v>
      </c>
      <c r="K2794" s="2" t="s">
        <v>77</v>
      </c>
      <c r="L2794" s="2" t="s">
        <v>160</v>
      </c>
      <c r="M2794" s="2" t="s">
        <v>161</v>
      </c>
      <c r="N2794" s="2" t="s">
        <v>754</v>
      </c>
      <c r="O2794" s="2" t="s">
        <v>96</v>
      </c>
      <c r="P2794" s="2" t="str">
        <f>"2170533308                    "</f>
        <v xml:space="preserve">2170533308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3.32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0.5</v>
      </c>
      <c r="BJ2794" s="2">
        <v>0.2</v>
      </c>
      <c r="BK2794" s="2">
        <v>0.5</v>
      </c>
      <c r="BL2794" s="2">
        <v>40.76</v>
      </c>
      <c r="BM2794" s="2">
        <v>5.71</v>
      </c>
      <c r="BN2794" s="2">
        <v>46.47</v>
      </c>
      <c r="BO2794" s="2">
        <v>46.47</v>
      </c>
      <c r="BP2794" s="2"/>
      <c r="BQ2794" s="2" t="s">
        <v>755</v>
      </c>
      <c r="BR2794" s="2" t="s">
        <v>83</v>
      </c>
      <c r="BS2794" s="3">
        <v>42674</v>
      </c>
      <c r="BT2794" s="4">
        <v>0.3263888888888889</v>
      </c>
      <c r="BU2794" s="2" t="s">
        <v>2577</v>
      </c>
      <c r="BV2794" s="2" t="s">
        <v>85</v>
      </c>
      <c r="BW2794" s="2"/>
      <c r="BX2794" s="2"/>
      <c r="BY2794" s="2">
        <v>1200</v>
      </c>
      <c r="BZ2794" s="2"/>
      <c r="CA2794" s="2"/>
      <c r="CB2794" s="2"/>
      <c r="CC2794" s="2" t="s">
        <v>161</v>
      </c>
      <c r="CD2794" s="2">
        <v>7441</v>
      </c>
      <c r="CE2794" s="2" t="s">
        <v>108</v>
      </c>
      <c r="CF2794" s="5">
        <v>42675</v>
      </c>
      <c r="CG2794" s="2"/>
      <c r="CH2794" s="2"/>
      <c r="CI2794" s="2">
        <v>1</v>
      </c>
      <c r="CJ2794" s="2">
        <v>1</v>
      </c>
      <c r="CK2794" s="2">
        <v>21</v>
      </c>
      <c r="CL2794" s="2" t="s">
        <v>88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"FES1162509986"</f>
        <v>FES1162509986</v>
      </c>
      <c r="F2795" s="3">
        <v>42671</v>
      </c>
      <c r="G2795" s="2">
        <v>201704</v>
      </c>
      <c r="H2795" s="2" t="s">
        <v>74</v>
      </c>
      <c r="I2795" s="2" t="s">
        <v>75</v>
      </c>
      <c r="J2795" s="2" t="s">
        <v>76</v>
      </c>
      <c r="K2795" s="2" t="s">
        <v>77</v>
      </c>
      <c r="L2795" s="2" t="s">
        <v>93</v>
      </c>
      <c r="M2795" s="2" t="s">
        <v>94</v>
      </c>
      <c r="N2795" s="2" t="s">
        <v>130</v>
      </c>
      <c r="O2795" s="2" t="s">
        <v>96</v>
      </c>
      <c r="P2795" s="2" t="str">
        <f>"2170531047                    "</f>
        <v xml:space="preserve">2170531047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3.32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0.5</v>
      </c>
      <c r="BJ2795" s="2">
        <v>0.2</v>
      </c>
      <c r="BK2795" s="2">
        <v>0.5</v>
      </c>
      <c r="BL2795" s="2">
        <v>40.76</v>
      </c>
      <c r="BM2795" s="2">
        <v>5.71</v>
      </c>
      <c r="BN2795" s="2">
        <v>46.47</v>
      </c>
      <c r="BO2795" s="2">
        <v>46.47</v>
      </c>
      <c r="BP2795" s="2"/>
      <c r="BQ2795" s="2" t="s">
        <v>131</v>
      </c>
      <c r="BR2795" s="2" t="s">
        <v>83</v>
      </c>
      <c r="BS2795" s="3">
        <v>42674</v>
      </c>
      <c r="BT2795" s="4">
        <v>0.4375</v>
      </c>
      <c r="BU2795" s="2" t="s">
        <v>576</v>
      </c>
      <c r="BV2795" s="2" t="s">
        <v>85</v>
      </c>
      <c r="BW2795" s="2"/>
      <c r="BX2795" s="2"/>
      <c r="BY2795" s="2">
        <v>1200</v>
      </c>
      <c r="BZ2795" s="2"/>
      <c r="CA2795" s="2"/>
      <c r="CB2795" s="2"/>
      <c r="CC2795" s="2" t="s">
        <v>94</v>
      </c>
      <c r="CD2795" s="2">
        <v>4302</v>
      </c>
      <c r="CE2795" s="2" t="s">
        <v>108</v>
      </c>
      <c r="CF2795" s="5">
        <v>42675</v>
      </c>
      <c r="CG2795" s="2"/>
      <c r="CH2795" s="2"/>
      <c r="CI2795" s="2">
        <v>1</v>
      </c>
      <c r="CJ2795" s="2">
        <v>1</v>
      </c>
      <c r="CK2795" s="2">
        <v>21</v>
      </c>
      <c r="CL2795" s="2" t="s">
        <v>88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"FES1162510003"</f>
        <v>FES1162510003</v>
      </c>
      <c r="F2796" s="3">
        <v>42671</v>
      </c>
      <c r="G2796" s="2">
        <v>201704</v>
      </c>
      <c r="H2796" s="2" t="s">
        <v>74</v>
      </c>
      <c r="I2796" s="2" t="s">
        <v>75</v>
      </c>
      <c r="J2796" s="2" t="s">
        <v>76</v>
      </c>
      <c r="K2796" s="2" t="s">
        <v>77</v>
      </c>
      <c r="L2796" s="2" t="s">
        <v>898</v>
      </c>
      <c r="M2796" s="2" t="s">
        <v>899</v>
      </c>
      <c r="N2796" s="2" t="s">
        <v>2027</v>
      </c>
      <c r="O2796" s="2" t="s">
        <v>96</v>
      </c>
      <c r="P2796" s="2" t="str">
        <f>"2170531341                    "</f>
        <v xml:space="preserve">2170531341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3.32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1.4</v>
      </c>
      <c r="BJ2796" s="2">
        <v>1</v>
      </c>
      <c r="BK2796" s="2">
        <v>1.5</v>
      </c>
      <c r="BL2796" s="2">
        <v>40.76</v>
      </c>
      <c r="BM2796" s="2">
        <v>5.71</v>
      </c>
      <c r="BN2796" s="2">
        <v>46.47</v>
      </c>
      <c r="BO2796" s="2">
        <v>46.47</v>
      </c>
      <c r="BP2796" s="2"/>
      <c r="BQ2796" s="2" t="s">
        <v>2028</v>
      </c>
      <c r="BR2796" s="2" t="s">
        <v>83</v>
      </c>
      <c r="BS2796" s="3">
        <v>42674</v>
      </c>
      <c r="BT2796" s="4">
        <v>0.57638888888888895</v>
      </c>
      <c r="BU2796" s="2" t="s">
        <v>2578</v>
      </c>
      <c r="BV2796" s="2" t="s">
        <v>85</v>
      </c>
      <c r="BW2796" s="2"/>
      <c r="BX2796" s="2"/>
      <c r="BY2796" s="2">
        <v>4997.76</v>
      </c>
      <c r="BZ2796" s="2"/>
      <c r="CA2796" s="2"/>
      <c r="CB2796" s="2"/>
      <c r="CC2796" s="2" t="s">
        <v>899</v>
      </c>
      <c r="CD2796" s="2">
        <v>7655</v>
      </c>
      <c r="CE2796" s="2" t="s">
        <v>86</v>
      </c>
      <c r="CF2796" s="5">
        <v>42675</v>
      </c>
      <c r="CG2796" s="2"/>
      <c r="CH2796" s="2"/>
      <c r="CI2796" s="2">
        <v>1</v>
      </c>
      <c r="CJ2796" s="2">
        <v>1</v>
      </c>
      <c r="CK2796" s="2">
        <v>21</v>
      </c>
      <c r="CL2796" s="2" t="s">
        <v>88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"FES1162509958"</f>
        <v>FES1162509958</v>
      </c>
      <c r="F2797" s="3">
        <v>42671</v>
      </c>
      <c r="G2797" s="2">
        <v>201704</v>
      </c>
      <c r="H2797" s="2" t="s">
        <v>74</v>
      </c>
      <c r="I2797" s="2" t="s">
        <v>75</v>
      </c>
      <c r="J2797" s="2" t="s">
        <v>76</v>
      </c>
      <c r="K2797" s="2" t="s">
        <v>77</v>
      </c>
      <c r="L2797" s="2" t="s">
        <v>636</v>
      </c>
      <c r="M2797" s="2" t="s">
        <v>1664</v>
      </c>
      <c r="N2797" s="2" t="s">
        <v>2579</v>
      </c>
      <c r="O2797" s="2" t="s">
        <v>96</v>
      </c>
      <c r="P2797" s="2" t="str">
        <f>"2170533133                    "</f>
        <v xml:space="preserve">2170533133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2.59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1</v>
      </c>
      <c r="BJ2797" s="2">
        <v>0.2</v>
      </c>
      <c r="BK2797" s="2">
        <v>1</v>
      </c>
      <c r="BL2797" s="2">
        <v>31.84</v>
      </c>
      <c r="BM2797" s="2">
        <v>4.46</v>
      </c>
      <c r="BN2797" s="2">
        <v>36.299999999999997</v>
      </c>
      <c r="BO2797" s="2">
        <v>36.299999999999997</v>
      </c>
      <c r="BP2797" s="2"/>
      <c r="BQ2797" s="2" t="s">
        <v>2580</v>
      </c>
      <c r="BR2797" s="2" t="s">
        <v>83</v>
      </c>
      <c r="BS2797" s="3">
        <v>42674</v>
      </c>
      <c r="BT2797" s="4">
        <v>0.41041666666666665</v>
      </c>
      <c r="BU2797" s="2" t="s">
        <v>2581</v>
      </c>
      <c r="BV2797" s="2" t="s">
        <v>85</v>
      </c>
      <c r="BW2797" s="2"/>
      <c r="BX2797" s="2"/>
      <c r="BY2797" s="2">
        <v>1200</v>
      </c>
      <c r="BZ2797" s="2"/>
      <c r="CA2797" s="2"/>
      <c r="CB2797" s="2"/>
      <c r="CC2797" s="2" t="s">
        <v>1664</v>
      </c>
      <c r="CD2797" s="2">
        <v>1821</v>
      </c>
      <c r="CE2797" s="2" t="s">
        <v>108</v>
      </c>
      <c r="CF2797" s="5">
        <v>42675</v>
      </c>
      <c r="CG2797" s="2"/>
      <c r="CH2797" s="2"/>
      <c r="CI2797" s="2">
        <v>1</v>
      </c>
      <c r="CJ2797" s="2">
        <v>1</v>
      </c>
      <c r="CK2797" s="2">
        <v>22</v>
      </c>
      <c r="CL2797" s="2" t="s">
        <v>88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"FES1162509967"</f>
        <v>FES1162509967</v>
      </c>
      <c r="F2798" s="3">
        <v>42671</v>
      </c>
      <c r="G2798" s="2">
        <v>201704</v>
      </c>
      <c r="H2798" s="2" t="s">
        <v>74</v>
      </c>
      <c r="I2798" s="2" t="s">
        <v>75</v>
      </c>
      <c r="J2798" s="2" t="s">
        <v>76</v>
      </c>
      <c r="K2798" s="2" t="s">
        <v>77</v>
      </c>
      <c r="L2798" s="2" t="s">
        <v>286</v>
      </c>
      <c r="M2798" s="2" t="s">
        <v>287</v>
      </c>
      <c r="N2798" s="2" t="s">
        <v>2537</v>
      </c>
      <c r="O2798" s="2" t="s">
        <v>96</v>
      </c>
      <c r="P2798" s="2" t="str">
        <f>"2170523126                    "</f>
        <v xml:space="preserve">2170523126 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3.32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1.5</v>
      </c>
      <c r="BJ2798" s="2">
        <v>0.2</v>
      </c>
      <c r="BK2798" s="2">
        <v>1.5</v>
      </c>
      <c r="BL2798" s="2">
        <v>40.76</v>
      </c>
      <c r="BM2798" s="2">
        <v>5.71</v>
      </c>
      <c r="BN2798" s="2">
        <v>46.47</v>
      </c>
      <c r="BO2798" s="2">
        <v>46.47</v>
      </c>
      <c r="BP2798" s="2"/>
      <c r="BQ2798" s="2" t="s">
        <v>117</v>
      </c>
      <c r="BR2798" s="2" t="s">
        <v>83</v>
      </c>
      <c r="BS2798" s="3">
        <v>42675</v>
      </c>
      <c r="BT2798" s="4">
        <v>0.41666666666666669</v>
      </c>
      <c r="BU2798" s="2" t="s">
        <v>1198</v>
      </c>
      <c r="BV2798" s="2" t="s">
        <v>88</v>
      </c>
      <c r="BW2798" s="2"/>
      <c r="BX2798" s="2"/>
      <c r="BY2798" s="2">
        <v>1200</v>
      </c>
      <c r="BZ2798" s="2"/>
      <c r="CA2798" s="2"/>
      <c r="CB2798" s="2"/>
      <c r="CC2798" s="2" t="s">
        <v>287</v>
      </c>
      <c r="CD2798" s="2">
        <v>1947</v>
      </c>
      <c r="CE2798" s="2" t="s">
        <v>108</v>
      </c>
      <c r="CF2798" s="5">
        <v>42677</v>
      </c>
      <c r="CG2798" s="2"/>
      <c r="CH2798" s="2"/>
      <c r="CI2798" s="2">
        <v>1</v>
      </c>
      <c r="CJ2798" s="2">
        <v>2</v>
      </c>
      <c r="CK2798" s="2">
        <v>21</v>
      </c>
      <c r="CL2798" s="2" t="s">
        <v>88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"FES1162510216"</f>
        <v>FES1162510216</v>
      </c>
      <c r="F2799" s="3">
        <v>42671</v>
      </c>
      <c r="G2799" s="2">
        <v>201704</v>
      </c>
      <c r="H2799" s="2" t="s">
        <v>74</v>
      </c>
      <c r="I2799" s="2" t="s">
        <v>75</v>
      </c>
      <c r="J2799" s="2" t="s">
        <v>76</v>
      </c>
      <c r="K2799" s="2" t="s">
        <v>77</v>
      </c>
      <c r="L2799" s="2" t="s">
        <v>160</v>
      </c>
      <c r="M2799" s="2" t="s">
        <v>161</v>
      </c>
      <c r="N2799" s="2" t="s">
        <v>267</v>
      </c>
      <c r="O2799" s="2" t="s">
        <v>96</v>
      </c>
      <c r="P2799" s="2" t="str">
        <f>"2170533292                    "</f>
        <v xml:space="preserve">2170533292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3.32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0.5</v>
      </c>
      <c r="BJ2799" s="2">
        <v>0.2</v>
      </c>
      <c r="BK2799" s="2">
        <v>0.5</v>
      </c>
      <c r="BL2799" s="2">
        <v>40.76</v>
      </c>
      <c r="BM2799" s="2">
        <v>5.71</v>
      </c>
      <c r="BN2799" s="2">
        <v>46.47</v>
      </c>
      <c r="BO2799" s="2">
        <v>46.47</v>
      </c>
      <c r="BP2799" s="2"/>
      <c r="BQ2799" s="2" t="s">
        <v>117</v>
      </c>
      <c r="BR2799" s="2" t="s">
        <v>83</v>
      </c>
      <c r="BS2799" s="3">
        <v>42674</v>
      </c>
      <c r="BT2799" s="4">
        <v>0.3576388888888889</v>
      </c>
      <c r="BU2799" s="2" t="s">
        <v>2582</v>
      </c>
      <c r="BV2799" s="2" t="s">
        <v>85</v>
      </c>
      <c r="BW2799" s="2"/>
      <c r="BX2799" s="2"/>
      <c r="BY2799" s="2">
        <v>1200</v>
      </c>
      <c r="BZ2799" s="2"/>
      <c r="CA2799" s="2"/>
      <c r="CB2799" s="2"/>
      <c r="CC2799" s="2" t="s">
        <v>161</v>
      </c>
      <c r="CD2799" s="2">
        <v>7441</v>
      </c>
      <c r="CE2799" s="2" t="s">
        <v>108</v>
      </c>
      <c r="CF2799" s="5">
        <v>42675</v>
      </c>
      <c r="CG2799" s="2"/>
      <c r="CH2799" s="2"/>
      <c r="CI2799" s="2">
        <v>1</v>
      </c>
      <c r="CJ2799" s="2">
        <v>1</v>
      </c>
      <c r="CK2799" s="2">
        <v>21</v>
      </c>
      <c r="CL2799" s="2" t="s">
        <v>88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"FES1162510231"</f>
        <v>FES1162510231</v>
      </c>
      <c r="F2800" s="3">
        <v>42671</v>
      </c>
      <c r="G2800" s="2">
        <v>201704</v>
      </c>
      <c r="H2800" s="2" t="s">
        <v>74</v>
      </c>
      <c r="I2800" s="2" t="s">
        <v>75</v>
      </c>
      <c r="J2800" s="2" t="s">
        <v>76</v>
      </c>
      <c r="K2800" s="2" t="s">
        <v>77</v>
      </c>
      <c r="L2800" s="2" t="s">
        <v>143</v>
      </c>
      <c r="M2800" s="2" t="s">
        <v>144</v>
      </c>
      <c r="N2800" s="2" t="s">
        <v>216</v>
      </c>
      <c r="O2800" s="2" t="s">
        <v>96</v>
      </c>
      <c r="P2800" s="2" t="str">
        <f>"2170530079                    "</f>
        <v xml:space="preserve">2170530079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4.1500000000000004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2.2999999999999998</v>
      </c>
      <c r="BJ2800" s="2">
        <v>2</v>
      </c>
      <c r="BK2800" s="2">
        <v>2.5</v>
      </c>
      <c r="BL2800" s="2">
        <v>50.95</v>
      </c>
      <c r="BM2800" s="2">
        <v>7.13</v>
      </c>
      <c r="BN2800" s="2">
        <v>58.08</v>
      </c>
      <c r="BO2800" s="2">
        <v>58.08</v>
      </c>
      <c r="BP2800" s="2"/>
      <c r="BQ2800" s="2" t="s">
        <v>91</v>
      </c>
      <c r="BR2800" s="2" t="s">
        <v>83</v>
      </c>
      <c r="BS2800" s="3">
        <v>42674</v>
      </c>
      <c r="BT2800" s="4">
        <v>0.41666666666666669</v>
      </c>
      <c r="BU2800" s="2" t="s">
        <v>276</v>
      </c>
      <c r="BV2800" s="2" t="s">
        <v>85</v>
      </c>
      <c r="BW2800" s="2"/>
      <c r="BX2800" s="2"/>
      <c r="BY2800" s="2">
        <v>10155.120000000001</v>
      </c>
      <c r="BZ2800" s="2"/>
      <c r="CA2800" s="2"/>
      <c r="CB2800" s="2"/>
      <c r="CC2800" s="2" t="s">
        <v>144</v>
      </c>
      <c r="CD2800" s="2">
        <v>5201</v>
      </c>
      <c r="CE2800" s="2" t="s">
        <v>108</v>
      </c>
      <c r="CF2800" s="5">
        <v>42676</v>
      </c>
      <c r="CG2800" s="2"/>
      <c r="CH2800" s="2"/>
      <c r="CI2800" s="2">
        <v>1</v>
      </c>
      <c r="CJ2800" s="2">
        <v>1</v>
      </c>
      <c r="CK2800" s="2">
        <v>21</v>
      </c>
      <c r="CL2800" s="2" t="s">
        <v>88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"FES1162510243"</f>
        <v>FES1162510243</v>
      </c>
      <c r="F2801" s="3">
        <v>42671</v>
      </c>
      <c r="G2801" s="2">
        <v>201704</v>
      </c>
      <c r="H2801" s="2" t="s">
        <v>74</v>
      </c>
      <c r="I2801" s="2" t="s">
        <v>75</v>
      </c>
      <c r="J2801" s="2" t="s">
        <v>76</v>
      </c>
      <c r="K2801" s="2" t="s">
        <v>77</v>
      </c>
      <c r="L2801" s="2" t="s">
        <v>148</v>
      </c>
      <c r="M2801" s="2" t="s">
        <v>149</v>
      </c>
      <c r="N2801" s="2" t="s">
        <v>2583</v>
      </c>
      <c r="O2801" s="2" t="s">
        <v>96</v>
      </c>
      <c r="P2801" s="2" t="str">
        <f>"2170530230                    "</f>
        <v xml:space="preserve">2170530230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15.76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1</v>
      </c>
      <c r="BI2801" s="2">
        <v>8.6999999999999993</v>
      </c>
      <c r="BJ2801" s="2">
        <v>9.1</v>
      </c>
      <c r="BK2801" s="2">
        <v>9.5</v>
      </c>
      <c r="BL2801" s="2">
        <v>193.6</v>
      </c>
      <c r="BM2801" s="2">
        <v>27.1</v>
      </c>
      <c r="BN2801" s="2">
        <v>220.7</v>
      </c>
      <c r="BO2801" s="2">
        <v>220.7</v>
      </c>
      <c r="BP2801" s="2"/>
      <c r="BQ2801" s="2" t="s">
        <v>168</v>
      </c>
      <c r="BR2801" s="2" t="s">
        <v>83</v>
      </c>
      <c r="BS2801" s="3">
        <v>42674</v>
      </c>
      <c r="BT2801" s="4">
        <v>0.4375</v>
      </c>
      <c r="BU2801" s="2" t="s">
        <v>2584</v>
      </c>
      <c r="BV2801" s="2" t="s">
        <v>85</v>
      </c>
      <c r="BW2801" s="2"/>
      <c r="BX2801" s="2"/>
      <c r="BY2801" s="2">
        <v>45727.65</v>
      </c>
      <c r="BZ2801" s="2"/>
      <c r="CA2801" s="2"/>
      <c r="CB2801" s="2"/>
      <c r="CC2801" s="2" t="s">
        <v>149</v>
      </c>
      <c r="CD2801" s="2">
        <v>4051</v>
      </c>
      <c r="CE2801" s="2" t="s">
        <v>86</v>
      </c>
      <c r="CF2801" s="5">
        <v>42675</v>
      </c>
      <c r="CG2801" s="2"/>
      <c r="CH2801" s="2"/>
      <c r="CI2801" s="2">
        <v>1</v>
      </c>
      <c r="CJ2801" s="2">
        <v>1</v>
      </c>
      <c r="CK2801" s="2">
        <v>21</v>
      </c>
      <c r="CL2801" s="2" t="s">
        <v>88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"FES1162510236"</f>
        <v>FES1162510236</v>
      </c>
      <c r="F2802" s="3">
        <v>42671</v>
      </c>
      <c r="G2802" s="2">
        <v>201704</v>
      </c>
      <c r="H2802" s="2" t="s">
        <v>74</v>
      </c>
      <c r="I2802" s="2" t="s">
        <v>75</v>
      </c>
      <c r="J2802" s="2" t="s">
        <v>76</v>
      </c>
      <c r="K2802" s="2" t="s">
        <v>77</v>
      </c>
      <c r="L2802" s="2" t="s">
        <v>98</v>
      </c>
      <c r="M2802" s="2" t="s">
        <v>99</v>
      </c>
      <c r="N2802" s="2" t="s">
        <v>133</v>
      </c>
      <c r="O2802" s="2" t="s">
        <v>96</v>
      </c>
      <c r="P2802" s="2" t="str">
        <f>"2170533340                    "</f>
        <v xml:space="preserve">2170533340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3.32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1</v>
      </c>
      <c r="BI2802" s="2">
        <v>1</v>
      </c>
      <c r="BJ2802" s="2">
        <v>0.2</v>
      </c>
      <c r="BK2802" s="2">
        <v>1</v>
      </c>
      <c r="BL2802" s="2">
        <v>40.76</v>
      </c>
      <c r="BM2802" s="2">
        <v>5.71</v>
      </c>
      <c r="BN2802" s="2">
        <v>46.47</v>
      </c>
      <c r="BO2802" s="2">
        <v>46.47</v>
      </c>
      <c r="BP2802" s="2"/>
      <c r="BQ2802" s="2" t="s">
        <v>134</v>
      </c>
      <c r="BR2802" s="2" t="s">
        <v>83</v>
      </c>
      <c r="BS2802" s="3">
        <v>42674</v>
      </c>
      <c r="BT2802" s="4">
        <v>0.35416666666666669</v>
      </c>
      <c r="BU2802" s="2" t="s">
        <v>1714</v>
      </c>
      <c r="BV2802" s="2" t="s">
        <v>85</v>
      </c>
      <c r="BW2802" s="2"/>
      <c r="BX2802" s="2"/>
      <c r="BY2802" s="2">
        <v>1200</v>
      </c>
      <c r="BZ2802" s="2"/>
      <c r="CA2802" s="2" t="s">
        <v>437</v>
      </c>
      <c r="CB2802" s="2"/>
      <c r="CC2802" s="2" t="s">
        <v>99</v>
      </c>
      <c r="CD2802" s="2">
        <v>6001</v>
      </c>
      <c r="CE2802" s="2" t="s">
        <v>108</v>
      </c>
      <c r="CF2802" s="5">
        <v>42674</v>
      </c>
      <c r="CG2802" s="2"/>
      <c r="CH2802" s="2"/>
      <c r="CI2802" s="2">
        <v>1</v>
      </c>
      <c r="CJ2802" s="2">
        <v>1</v>
      </c>
      <c r="CK2802" s="2">
        <v>21</v>
      </c>
      <c r="CL2802" s="2" t="s">
        <v>88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"FES1162510251"</f>
        <v>FES1162510251</v>
      </c>
      <c r="F2803" s="3">
        <v>42671</v>
      </c>
      <c r="G2803" s="2">
        <v>201704</v>
      </c>
      <c r="H2803" s="2" t="s">
        <v>74</v>
      </c>
      <c r="I2803" s="2" t="s">
        <v>75</v>
      </c>
      <c r="J2803" s="2" t="s">
        <v>76</v>
      </c>
      <c r="K2803" s="2" t="s">
        <v>77</v>
      </c>
      <c r="L2803" s="2" t="s">
        <v>160</v>
      </c>
      <c r="M2803" s="2" t="s">
        <v>161</v>
      </c>
      <c r="N2803" s="2" t="s">
        <v>279</v>
      </c>
      <c r="O2803" s="2" t="s">
        <v>96</v>
      </c>
      <c r="P2803" s="2" t="str">
        <f>"2170533355                    "</f>
        <v xml:space="preserve">2170533355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3.32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1.1000000000000001</v>
      </c>
      <c r="BJ2803" s="2">
        <v>1</v>
      </c>
      <c r="BK2803" s="2">
        <v>1.5</v>
      </c>
      <c r="BL2803" s="2">
        <v>40.76</v>
      </c>
      <c r="BM2803" s="2">
        <v>5.71</v>
      </c>
      <c r="BN2803" s="2">
        <v>46.47</v>
      </c>
      <c r="BO2803" s="2">
        <v>46.47</v>
      </c>
      <c r="BP2803" s="2"/>
      <c r="BQ2803" s="2" t="s">
        <v>280</v>
      </c>
      <c r="BR2803" s="2" t="s">
        <v>83</v>
      </c>
      <c r="BS2803" s="3">
        <v>42674</v>
      </c>
      <c r="BT2803" s="4">
        <v>0.41666666666666669</v>
      </c>
      <c r="BU2803" s="2" t="s">
        <v>2192</v>
      </c>
      <c r="BV2803" s="2" t="s">
        <v>85</v>
      </c>
      <c r="BW2803" s="2"/>
      <c r="BX2803" s="2"/>
      <c r="BY2803" s="2">
        <v>5197.92</v>
      </c>
      <c r="BZ2803" s="2"/>
      <c r="CA2803" s="2"/>
      <c r="CB2803" s="2"/>
      <c r="CC2803" s="2" t="s">
        <v>161</v>
      </c>
      <c r="CD2803" s="2">
        <v>7441</v>
      </c>
      <c r="CE2803" s="2" t="s">
        <v>86</v>
      </c>
      <c r="CF2803" s="5">
        <v>42675</v>
      </c>
      <c r="CG2803" s="2"/>
      <c r="CH2803" s="2"/>
      <c r="CI2803" s="2">
        <v>1</v>
      </c>
      <c r="CJ2803" s="2">
        <v>1</v>
      </c>
      <c r="CK2803" s="2">
        <v>21</v>
      </c>
      <c r="CL2803" s="2" t="s">
        <v>88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"FES1162509981"</f>
        <v>FES1162509981</v>
      </c>
      <c r="F2804" s="3">
        <v>42671</v>
      </c>
      <c r="G2804" s="2">
        <v>201704</v>
      </c>
      <c r="H2804" s="2" t="s">
        <v>74</v>
      </c>
      <c r="I2804" s="2" t="s">
        <v>75</v>
      </c>
      <c r="J2804" s="2" t="s">
        <v>76</v>
      </c>
      <c r="K2804" s="2" t="s">
        <v>77</v>
      </c>
      <c r="L2804" s="2" t="s">
        <v>93</v>
      </c>
      <c r="M2804" s="2" t="s">
        <v>94</v>
      </c>
      <c r="N2804" s="2" t="s">
        <v>2496</v>
      </c>
      <c r="O2804" s="2" t="s">
        <v>96</v>
      </c>
      <c r="P2804" s="2" t="str">
        <f>"2170530997                    "</f>
        <v xml:space="preserve">2170530997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3.32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</v>
      </c>
      <c r="BJ2804" s="2">
        <v>0.2</v>
      </c>
      <c r="BK2804" s="2">
        <v>1</v>
      </c>
      <c r="BL2804" s="2">
        <v>40.76</v>
      </c>
      <c r="BM2804" s="2">
        <v>5.71</v>
      </c>
      <c r="BN2804" s="2">
        <v>46.47</v>
      </c>
      <c r="BO2804" s="2">
        <v>46.47</v>
      </c>
      <c r="BP2804" s="2"/>
      <c r="BQ2804" s="2" t="s">
        <v>117</v>
      </c>
      <c r="BR2804" s="2" t="s">
        <v>83</v>
      </c>
      <c r="BS2804" s="3">
        <v>42674</v>
      </c>
      <c r="BT2804" s="4">
        <v>0.4375</v>
      </c>
      <c r="BU2804" s="2" t="s">
        <v>2565</v>
      </c>
      <c r="BV2804" s="2" t="s">
        <v>85</v>
      </c>
      <c r="BW2804" s="2"/>
      <c r="BX2804" s="2"/>
      <c r="BY2804" s="2">
        <v>1200</v>
      </c>
      <c r="BZ2804" s="2"/>
      <c r="CA2804" s="2"/>
      <c r="CB2804" s="2"/>
      <c r="CC2804" s="2" t="s">
        <v>94</v>
      </c>
      <c r="CD2804" s="2">
        <v>4300</v>
      </c>
      <c r="CE2804" s="2" t="s">
        <v>108</v>
      </c>
      <c r="CF2804" s="5">
        <v>42675</v>
      </c>
      <c r="CG2804" s="2"/>
      <c r="CH2804" s="2"/>
      <c r="CI2804" s="2">
        <v>1</v>
      </c>
      <c r="CJ2804" s="2">
        <v>1</v>
      </c>
      <c r="CK2804" s="2">
        <v>21</v>
      </c>
      <c r="CL2804" s="2" t="s">
        <v>88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"FES1162509983"</f>
        <v>FES1162509983</v>
      </c>
      <c r="F2805" s="3">
        <v>42671</v>
      </c>
      <c r="G2805" s="2">
        <v>201704</v>
      </c>
      <c r="H2805" s="2" t="s">
        <v>74</v>
      </c>
      <c r="I2805" s="2" t="s">
        <v>75</v>
      </c>
      <c r="J2805" s="2" t="s">
        <v>76</v>
      </c>
      <c r="K2805" s="2" t="s">
        <v>77</v>
      </c>
      <c r="L2805" s="2" t="s">
        <v>137</v>
      </c>
      <c r="M2805" s="2" t="s">
        <v>138</v>
      </c>
      <c r="N2805" s="2" t="s">
        <v>526</v>
      </c>
      <c r="O2805" s="2" t="s">
        <v>96</v>
      </c>
      <c r="P2805" s="2" t="str">
        <f>"2170531026                    "</f>
        <v xml:space="preserve">2170531026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3.32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0.5</v>
      </c>
      <c r="BJ2805" s="2">
        <v>0.2</v>
      </c>
      <c r="BK2805" s="2">
        <v>0.5</v>
      </c>
      <c r="BL2805" s="2">
        <v>40.76</v>
      </c>
      <c r="BM2805" s="2">
        <v>5.71</v>
      </c>
      <c r="BN2805" s="2">
        <v>46.47</v>
      </c>
      <c r="BO2805" s="2">
        <v>46.47</v>
      </c>
      <c r="BP2805" s="2"/>
      <c r="BQ2805" s="2" t="s">
        <v>117</v>
      </c>
      <c r="BR2805" s="2" t="s">
        <v>83</v>
      </c>
      <c r="BS2805" s="3">
        <v>42674</v>
      </c>
      <c r="BT2805" s="4">
        <v>0.3923611111111111</v>
      </c>
      <c r="BU2805" s="2" t="s">
        <v>2585</v>
      </c>
      <c r="BV2805" s="2"/>
      <c r="BW2805" s="2"/>
      <c r="BX2805" s="2"/>
      <c r="BY2805" s="2">
        <v>1200</v>
      </c>
      <c r="BZ2805" s="2"/>
      <c r="CA2805" s="2" t="s">
        <v>593</v>
      </c>
      <c r="CB2805" s="2"/>
      <c r="CC2805" s="2" t="s">
        <v>138</v>
      </c>
      <c r="CD2805" s="2">
        <v>3201</v>
      </c>
      <c r="CE2805" s="2" t="s">
        <v>108</v>
      </c>
      <c r="CF2805" s="5">
        <v>42674</v>
      </c>
      <c r="CG2805" s="2"/>
      <c r="CH2805" s="2"/>
      <c r="CI2805" s="2">
        <v>0</v>
      </c>
      <c r="CJ2805" s="2">
        <v>0</v>
      </c>
      <c r="CK2805" s="2">
        <v>21</v>
      </c>
      <c r="CL2805" s="2" t="s">
        <v>88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"FES1162510014"</f>
        <v>FES1162510014</v>
      </c>
      <c r="F2806" s="3">
        <v>42671</v>
      </c>
      <c r="G2806" s="2">
        <v>201704</v>
      </c>
      <c r="H2806" s="2" t="s">
        <v>74</v>
      </c>
      <c r="I2806" s="2" t="s">
        <v>75</v>
      </c>
      <c r="J2806" s="2" t="s">
        <v>76</v>
      </c>
      <c r="K2806" s="2" t="s">
        <v>77</v>
      </c>
      <c r="L2806" s="2" t="s">
        <v>160</v>
      </c>
      <c r="M2806" s="2" t="s">
        <v>161</v>
      </c>
      <c r="N2806" s="2" t="s">
        <v>279</v>
      </c>
      <c r="O2806" s="2" t="s">
        <v>96</v>
      </c>
      <c r="P2806" s="2" t="str">
        <f>"2170532245                    "</f>
        <v xml:space="preserve">2170532245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3.32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1.7</v>
      </c>
      <c r="BJ2806" s="2">
        <v>1</v>
      </c>
      <c r="BK2806" s="2">
        <v>2</v>
      </c>
      <c r="BL2806" s="2">
        <v>40.76</v>
      </c>
      <c r="BM2806" s="2">
        <v>5.71</v>
      </c>
      <c r="BN2806" s="2">
        <v>46.47</v>
      </c>
      <c r="BO2806" s="2">
        <v>46.47</v>
      </c>
      <c r="BP2806" s="2"/>
      <c r="BQ2806" s="2" t="s">
        <v>280</v>
      </c>
      <c r="BR2806" s="2" t="s">
        <v>83</v>
      </c>
      <c r="BS2806" s="3">
        <v>42674</v>
      </c>
      <c r="BT2806" s="4">
        <v>0.41666666666666669</v>
      </c>
      <c r="BU2806" s="2" t="s">
        <v>2192</v>
      </c>
      <c r="BV2806" s="2" t="s">
        <v>85</v>
      </c>
      <c r="BW2806" s="2"/>
      <c r="BX2806" s="2"/>
      <c r="BY2806" s="2">
        <v>4999.3</v>
      </c>
      <c r="BZ2806" s="2"/>
      <c r="CA2806" s="2"/>
      <c r="CB2806" s="2"/>
      <c r="CC2806" s="2" t="s">
        <v>161</v>
      </c>
      <c r="CD2806" s="2">
        <v>7441</v>
      </c>
      <c r="CE2806" s="2" t="s">
        <v>86</v>
      </c>
      <c r="CF2806" s="5">
        <v>42675</v>
      </c>
      <c r="CG2806" s="2"/>
      <c r="CH2806" s="2"/>
      <c r="CI2806" s="2">
        <v>1</v>
      </c>
      <c r="CJ2806" s="2">
        <v>1</v>
      </c>
      <c r="CK2806" s="2">
        <v>21</v>
      </c>
      <c r="CL2806" s="2" t="s">
        <v>88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"FES1162510229"</f>
        <v>FES1162510229</v>
      </c>
      <c r="F2807" s="3">
        <v>42671</v>
      </c>
      <c r="G2807" s="2">
        <v>201704</v>
      </c>
      <c r="H2807" s="2" t="s">
        <v>74</v>
      </c>
      <c r="I2807" s="2" t="s">
        <v>75</v>
      </c>
      <c r="J2807" s="2" t="s">
        <v>76</v>
      </c>
      <c r="K2807" s="2" t="s">
        <v>77</v>
      </c>
      <c r="L2807" s="2" t="s">
        <v>148</v>
      </c>
      <c r="M2807" s="2" t="s">
        <v>149</v>
      </c>
      <c r="N2807" s="2" t="s">
        <v>473</v>
      </c>
      <c r="O2807" s="2" t="s">
        <v>96</v>
      </c>
      <c r="P2807" s="2" t="str">
        <f>"2170533331                    "</f>
        <v xml:space="preserve">2170533331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3.32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1</v>
      </c>
      <c r="BJ2807" s="2">
        <v>0.2</v>
      </c>
      <c r="BK2807" s="2">
        <v>1</v>
      </c>
      <c r="BL2807" s="2">
        <v>40.76</v>
      </c>
      <c r="BM2807" s="2">
        <v>5.71</v>
      </c>
      <c r="BN2807" s="2">
        <v>46.47</v>
      </c>
      <c r="BO2807" s="2">
        <v>46.47</v>
      </c>
      <c r="BP2807" s="2"/>
      <c r="BQ2807" s="2" t="s">
        <v>117</v>
      </c>
      <c r="BR2807" s="2" t="s">
        <v>83</v>
      </c>
      <c r="BS2807" s="3">
        <v>42674</v>
      </c>
      <c r="BT2807" s="4">
        <v>0.4375</v>
      </c>
      <c r="BU2807" s="2" t="s">
        <v>1254</v>
      </c>
      <c r="BV2807" s="2" t="s">
        <v>85</v>
      </c>
      <c r="BW2807" s="2"/>
      <c r="BX2807" s="2"/>
      <c r="BY2807" s="2">
        <v>1200</v>
      </c>
      <c r="BZ2807" s="2"/>
      <c r="CA2807" s="2"/>
      <c r="CB2807" s="2"/>
      <c r="CC2807" s="2" t="s">
        <v>149</v>
      </c>
      <c r="CD2807" s="2">
        <v>4052</v>
      </c>
      <c r="CE2807" s="2" t="s">
        <v>108</v>
      </c>
      <c r="CF2807" s="5">
        <v>42675</v>
      </c>
      <c r="CG2807" s="2"/>
      <c r="CH2807" s="2"/>
      <c r="CI2807" s="2">
        <v>1</v>
      </c>
      <c r="CJ2807" s="2">
        <v>1</v>
      </c>
      <c r="CK2807" s="2">
        <v>21</v>
      </c>
      <c r="CL2807" s="2" t="s">
        <v>88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"FES1162510141"</f>
        <v>FES1162510141</v>
      </c>
      <c r="F2808" s="3">
        <v>42671</v>
      </c>
      <c r="G2808" s="2">
        <v>201704</v>
      </c>
      <c r="H2808" s="2" t="s">
        <v>74</v>
      </c>
      <c r="I2808" s="2" t="s">
        <v>75</v>
      </c>
      <c r="J2808" s="2" t="s">
        <v>76</v>
      </c>
      <c r="K2808" s="2" t="s">
        <v>77</v>
      </c>
      <c r="L2808" s="2" t="s">
        <v>1122</v>
      </c>
      <c r="M2808" s="2" t="s">
        <v>1123</v>
      </c>
      <c r="N2808" s="2" t="s">
        <v>422</v>
      </c>
      <c r="O2808" s="2" t="s">
        <v>96</v>
      </c>
      <c r="P2808" s="2" t="str">
        <f>"2170533001                    "</f>
        <v xml:space="preserve">2170533001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3.32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1</v>
      </c>
      <c r="BI2808" s="2">
        <v>1.3</v>
      </c>
      <c r="BJ2808" s="2">
        <v>2</v>
      </c>
      <c r="BK2808" s="2">
        <v>2</v>
      </c>
      <c r="BL2808" s="2">
        <v>40.76</v>
      </c>
      <c r="BM2808" s="2">
        <v>5.71</v>
      </c>
      <c r="BN2808" s="2">
        <v>46.47</v>
      </c>
      <c r="BO2808" s="2">
        <v>46.47</v>
      </c>
      <c r="BP2808" s="2"/>
      <c r="BQ2808" s="2" t="s">
        <v>91</v>
      </c>
      <c r="BR2808" s="2" t="s">
        <v>83</v>
      </c>
      <c r="BS2808" s="3">
        <v>42674</v>
      </c>
      <c r="BT2808" s="4">
        <v>0.41666666666666669</v>
      </c>
      <c r="BU2808" s="2" t="s">
        <v>2586</v>
      </c>
      <c r="BV2808" s="2" t="s">
        <v>85</v>
      </c>
      <c r="BW2808" s="2"/>
      <c r="BX2808" s="2"/>
      <c r="BY2808" s="2">
        <v>9856.06</v>
      </c>
      <c r="BZ2808" s="2"/>
      <c r="CA2808" s="2"/>
      <c r="CB2808" s="2"/>
      <c r="CC2808" s="2" t="s">
        <v>1123</v>
      </c>
      <c r="CD2808" s="2">
        <v>1911</v>
      </c>
      <c r="CE2808" s="2" t="s">
        <v>86</v>
      </c>
      <c r="CF2808" s="5">
        <v>42676</v>
      </c>
      <c r="CG2808" s="2"/>
      <c r="CH2808" s="2"/>
      <c r="CI2808" s="2">
        <v>1</v>
      </c>
      <c r="CJ2808" s="2">
        <v>1</v>
      </c>
      <c r="CK2808" s="2">
        <v>21</v>
      </c>
      <c r="CL2808" s="2" t="s">
        <v>88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"FES1162510213"</f>
        <v>FES1162510213</v>
      </c>
      <c r="F2809" s="3">
        <v>42671</v>
      </c>
      <c r="G2809" s="2">
        <v>201704</v>
      </c>
      <c r="H2809" s="2" t="s">
        <v>74</v>
      </c>
      <c r="I2809" s="2" t="s">
        <v>75</v>
      </c>
      <c r="J2809" s="2" t="s">
        <v>76</v>
      </c>
      <c r="K2809" s="2" t="s">
        <v>77</v>
      </c>
      <c r="L2809" s="2" t="s">
        <v>98</v>
      </c>
      <c r="M2809" s="2" t="s">
        <v>99</v>
      </c>
      <c r="N2809" s="2" t="s">
        <v>2587</v>
      </c>
      <c r="O2809" s="2" t="s">
        <v>96</v>
      </c>
      <c r="P2809" s="2" t="str">
        <f>"2170533221                    "</f>
        <v xml:space="preserve">2170533221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9.9499999999999993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1</v>
      </c>
      <c r="BI2809" s="2">
        <v>6</v>
      </c>
      <c r="BJ2809" s="2">
        <v>3.5</v>
      </c>
      <c r="BK2809" s="2">
        <v>6</v>
      </c>
      <c r="BL2809" s="2">
        <v>122.27</v>
      </c>
      <c r="BM2809" s="2">
        <v>17.12</v>
      </c>
      <c r="BN2809" s="2">
        <v>139.38999999999999</v>
      </c>
      <c r="BO2809" s="2">
        <v>139.38999999999999</v>
      </c>
      <c r="BP2809" s="2"/>
      <c r="BQ2809" s="2" t="s">
        <v>2588</v>
      </c>
      <c r="BR2809" s="2" t="s">
        <v>83</v>
      </c>
      <c r="BS2809" s="3">
        <v>42674</v>
      </c>
      <c r="BT2809" s="4">
        <v>0.33333333333333331</v>
      </c>
      <c r="BU2809" s="2" t="s">
        <v>2589</v>
      </c>
      <c r="BV2809" s="2" t="s">
        <v>85</v>
      </c>
      <c r="BW2809" s="2"/>
      <c r="BX2809" s="2"/>
      <c r="BY2809" s="2">
        <v>17274.919999999998</v>
      </c>
      <c r="BZ2809" s="2"/>
      <c r="CA2809" s="2" t="s">
        <v>437</v>
      </c>
      <c r="CB2809" s="2"/>
      <c r="CC2809" s="2" t="s">
        <v>99</v>
      </c>
      <c r="CD2809" s="2">
        <v>6001</v>
      </c>
      <c r="CE2809" s="2" t="s">
        <v>86</v>
      </c>
      <c r="CF2809" s="5">
        <v>42674</v>
      </c>
      <c r="CG2809" s="2"/>
      <c r="CH2809" s="2"/>
      <c r="CI2809" s="2">
        <v>1</v>
      </c>
      <c r="CJ2809" s="2">
        <v>1</v>
      </c>
      <c r="CK2809" s="2">
        <v>21</v>
      </c>
      <c r="CL2809" s="2" t="s">
        <v>88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"FES1162510212"</f>
        <v>FES1162510212</v>
      </c>
      <c r="F2810" s="3">
        <v>42671</v>
      </c>
      <c r="G2810" s="2">
        <v>201704</v>
      </c>
      <c r="H2810" s="2" t="s">
        <v>74</v>
      </c>
      <c r="I2810" s="2" t="s">
        <v>75</v>
      </c>
      <c r="J2810" s="2" t="s">
        <v>76</v>
      </c>
      <c r="K2810" s="2" t="s">
        <v>77</v>
      </c>
      <c r="L2810" s="2" t="s">
        <v>253</v>
      </c>
      <c r="M2810" s="2" t="s">
        <v>254</v>
      </c>
      <c r="N2810" s="2" t="s">
        <v>255</v>
      </c>
      <c r="O2810" s="2" t="s">
        <v>96</v>
      </c>
      <c r="P2810" s="2" t="str">
        <f>"2170533173                    "</f>
        <v xml:space="preserve">2170533173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10.78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2.2999999999999998</v>
      </c>
      <c r="BJ2810" s="2">
        <v>3.4</v>
      </c>
      <c r="BK2810" s="2">
        <v>3.5</v>
      </c>
      <c r="BL2810" s="2">
        <v>132.46</v>
      </c>
      <c r="BM2810" s="2">
        <v>18.54</v>
      </c>
      <c r="BN2810" s="2">
        <v>151</v>
      </c>
      <c r="BO2810" s="2">
        <v>151</v>
      </c>
      <c r="BP2810" s="2"/>
      <c r="BQ2810" s="2" t="s">
        <v>117</v>
      </c>
      <c r="BR2810" s="2" t="s">
        <v>83</v>
      </c>
      <c r="BS2810" s="3">
        <v>42674</v>
      </c>
      <c r="BT2810" s="4">
        <v>0.58333333333333337</v>
      </c>
      <c r="BU2810" s="2" t="s">
        <v>2590</v>
      </c>
      <c r="BV2810" s="2" t="s">
        <v>85</v>
      </c>
      <c r="BW2810" s="2"/>
      <c r="BX2810" s="2"/>
      <c r="BY2810" s="2">
        <v>17136.990000000002</v>
      </c>
      <c r="BZ2810" s="2"/>
      <c r="CA2810" s="2" t="s">
        <v>129</v>
      </c>
      <c r="CB2810" s="2"/>
      <c r="CC2810" s="2" t="s">
        <v>254</v>
      </c>
      <c r="CD2810" s="2">
        <v>3370</v>
      </c>
      <c r="CE2810" s="2" t="s">
        <v>86</v>
      </c>
      <c r="CF2810" s="5">
        <v>42677</v>
      </c>
      <c r="CG2810" s="2"/>
      <c r="CH2810" s="2"/>
      <c r="CI2810" s="2">
        <v>3</v>
      </c>
      <c r="CJ2810" s="2">
        <v>1</v>
      </c>
      <c r="CK2810" s="2">
        <v>23</v>
      </c>
      <c r="CL2810" s="2" t="s">
        <v>88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"FES1162510198"</f>
        <v>FES1162510198</v>
      </c>
      <c r="F2811" s="3">
        <v>42671</v>
      </c>
      <c r="G2811" s="2">
        <v>201704</v>
      </c>
      <c r="H2811" s="2" t="s">
        <v>74</v>
      </c>
      <c r="I2811" s="2" t="s">
        <v>75</v>
      </c>
      <c r="J2811" s="2" t="s">
        <v>76</v>
      </c>
      <c r="K2811" s="2" t="s">
        <v>77</v>
      </c>
      <c r="L2811" s="2" t="s">
        <v>160</v>
      </c>
      <c r="M2811" s="2" t="s">
        <v>161</v>
      </c>
      <c r="N2811" s="2" t="s">
        <v>1397</v>
      </c>
      <c r="O2811" s="2" t="s">
        <v>96</v>
      </c>
      <c r="P2811" s="2" t="str">
        <f>"2170533301                    "</f>
        <v xml:space="preserve">2170533301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7.46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4.0999999999999996</v>
      </c>
      <c r="BJ2811" s="2">
        <v>1.7</v>
      </c>
      <c r="BK2811" s="2">
        <v>4.5</v>
      </c>
      <c r="BL2811" s="2">
        <v>91.7</v>
      </c>
      <c r="BM2811" s="2">
        <v>12.84</v>
      </c>
      <c r="BN2811" s="2">
        <v>104.54</v>
      </c>
      <c r="BO2811" s="2">
        <v>104.54</v>
      </c>
      <c r="BP2811" s="2"/>
      <c r="BQ2811" s="2" t="s">
        <v>127</v>
      </c>
      <c r="BR2811" s="2" t="s">
        <v>83</v>
      </c>
      <c r="BS2811" s="3">
        <v>42674</v>
      </c>
      <c r="BT2811" s="4">
        <v>0.43472222222222223</v>
      </c>
      <c r="BU2811" s="2" t="s">
        <v>1888</v>
      </c>
      <c r="BV2811" s="2" t="s">
        <v>85</v>
      </c>
      <c r="BW2811" s="2"/>
      <c r="BX2811" s="2"/>
      <c r="BY2811" s="2">
        <v>8661.58</v>
      </c>
      <c r="BZ2811" s="2"/>
      <c r="CA2811" s="2" t="s">
        <v>933</v>
      </c>
      <c r="CB2811" s="2"/>
      <c r="CC2811" s="2" t="s">
        <v>161</v>
      </c>
      <c r="CD2811" s="2">
        <v>7460</v>
      </c>
      <c r="CE2811" s="2" t="s">
        <v>86</v>
      </c>
      <c r="CF2811" s="5">
        <v>42674</v>
      </c>
      <c r="CG2811" s="2"/>
      <c r="CH2811" s="2"/>
      <c r="CI2811" s="2">
        <v>1</v>
      </c>
      <c r="CJ2811" s="2">
        <v>1</v>
      </c>
      <c r="CK2811" s="2">
        <v>21</v>
      </c>
      <c r="CL2811" s="2" t="s">
        <v>88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"FES1162510013"</f>
        <v>FES1162510013</v>
      </c>
      <c r="F2812" s="3">
        <v>42671</v>
      </c>
      <c r="G2812" s="2">
        <v>201704</v>
      </c>
      <c r="H2812" s="2" t="s">
        <v>74</v>
      </c>
      <c r="I2812" s="2" t="s">
        <v>75</v>
      </c>
      <c r="J2812" s="2" t="s">
        <v>76</v>
      </c>
      <c r="K2812" s="2" t="s">
        <v>77</v>
      </c>
      <c r="L2812" s="2" t="s">
        <v>160</v>
      </c>
      <c r="M2812" s="2" t="s">
        <v>161</v>
      </c>
      <c r="N2812" s="2" t="s">
        <v>279</v>
      </c>
      <c r="O2812" s="2" t="s">
        <v>96</v>
      </c>
      <c r="P2812" s="2" t="str">
        <f>"2170532181                    "</f>
        <v xml:space="preserve">2170532181  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3.32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1</v>
      </c>
      <c r="BI2812" s="2">
        <v>2</v>
      </c>
      <c r="BJ2812" s="2">
        <v>1.1000000000000001</v>
      </c>
      <c r="BK2812" s="2">
        <v>2</v>
      </c>
      <c r="BL2812" s="2">
        <v>40.76</v>
      </c>
      <c r="BM2812" s="2">
        <v>5.71</v>
      </c>
      <c r="BN2812" s="2">
        <v>46.47</v>
      </c>
      <c r="BO2812" s="2">
        <v>46.47</v>
      </c>
      <c r="BP2812" s="2"/>
      <c r="BQ2812" s="2" t="s">
        <v>280</v>
      </c>
      <c r="BR2812" s="2" t="s">
        <v>83</v>
      </c>
      <c r="BS2812" s="3">
        <v>42674</v>
      </c>
      <c r="BT2812" s="4">
        <v>0.41666666666666669</v>
      </c>
      <c r="BU2812" s="2" t="s">
        <v>2192</v>
      </c>
      <c r="BV2812" s="2" t="s">
        <v>85</v>
      </c>
      <c r="BW2812" s="2"/>
      <c r="BX2812" s="2"/>
      <c r="BY2812" s="2">
        <v>5320</v>
      </c>
      <c r="BZ2812" s="2"/>
      <c r="CA2812" s="2"/>
      <c r="CB2812" s="2"/>
      <c r="CC2812" s="2" t="s">
        <v>161</v>
      </c>
      <c r="CD2812" s="2">
        <v>7441</v>
      </c>
      <c r="CE2812" s="2" t="s">
        <v>86</v>
      </c>
      <c r="CF2812" s="5">
        <v>42675</v>
      </c>
      <c r="CG2812" s="2"/>
      <c r="CH2812" s="2"/>
      <c r="CI2812" s="2">
        <v>1</v>
      </c>
      <c r="CJ2812" s="2">
        <v>1</v>
      </c>
      <c r="CK2812" s="2">
        <v>21</v>
      </c>
      <c r="CL2812" s="2" t="s">
        <v>88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"FES1162510109"</f>
        <v>FES1162510109</v>
      </c>
      <c r="F2813" s="3">
        <v>42671</v>
      </c>
      <c r="G2813" s="2">
        <v>201704</v>
      </c>
      <c r="H2813" s="2" t="s">
        <v>74</v>
      </c>
      <c r="I2813" s="2" t="s">
        <v>75</v>
      </c>
      <c r="J2813" s="2" t="s">
        <v>76</v>
      </c>
      <c r="K2813" s="2" t="s">
        <v>77</v>
      </c>
      <c r="L2813" s="2" t="s">
        <v>698</v>
      </c>
      <c r="M2813" s="2" t="s">
        <v>699</v>
      </c>
      <c r="N2813" s="2" t="s">
        <v>2533</v>
      </c>
      <c r="O2813" s="2" t="s">
        <v>96</v>
      </c>
      <c r="P2813" s="2" t="str">
        <f>"2170533071                    "</f>
        <v xml:space="preserve">2170533071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4.66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1</v>
      </c>
      <c r="BJ2813" s="2">
        <v>0.2</v>
      </c>
      <c r="BK2813" s="2">
        <v>1</v>
      </c>
      <c r="BL2813" s="2">
        <v>57.31</v>
      </c>
      <c r="BM2813" s="2">
        <v>8.02</v>
      </c>
      <c r="BN2813" s="2">
        <v>65.33</v>
      </c>
      <c r="BO2813" s="2">
        <v>65.33</v>
      </c>
      <c r="BP2813" s="2"/>
      <c r="BQ2813" s="2" t="s">
        <v>91</v>
      </c>
      <c r="BR2813" s="2" t="s">
        <v>83</v>
      </c>
      <c r="BS2813" s="3">
        <v>42674</v>
      </c>
      <c r="BT2813" s="4">
        <v>0.48958333333333331</v>
      </c>
      <c r="BU2813" s="2" t="s">
        <v>2534</v>
      </c>
      <c r="BV2813" s="2" t="s">
        <v>85</v>
      </c>
      <c r="BW2813" s="2"/>
      <c r="BX2813" s="2"/>
      <c r="BY2813" s="2">
        <v>1200</v>
      </c>
      <c r="BZ2813" s="2"/>
      <c r="CA2813" s="2"/>
      <c r="CB2813" s="2"/>
      <c r="CC2813" s="2" t="s">
        <v>699</v>
      </c>
      <c r="CD2813" s="2">
        <v>1760</v>
      </c>
      <c r="CE2813" s="2" t="s">
        <v>108</v>
      </c>
      <c r="CF2813" s="5">
        <v>42675</v>
      </c>
      <c r="CG2813" s="2"/>
      <c r="CH2813" s="2"/>
      <c r="CI2813" s="2">
        <v>1</v>
      </c>
      <c r="CJ2813" s="2">
        <v>1</v>
      </c>
      <c r="CK2813" s="2">
        <v>24</v>
      </c>
      <c r="CL2813" s="2" t="s">
        <v>88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"FES1162510108"</f>
        <v>FES1162510108</v>
      </c>
      <c r="F2814" s="3">
        <v>42671</v>
      </c>
      <c r="G2814" s="2">
        <v>201704</v>
      </c>
      <c r="H2814" s="2" t="s">
        <v>74</v>
      </c>
      <c r="I2814" s="2" t="s">
        <v>75</v>
      </c>
      <c r="J2814" s="2" t="s">
        <v>76</v>
      </c>
      <c r="K2814" s="2" t="s">
        <v>77</v>
      </c>
      <c r="L2814" s="2" t="s">
        <v>153</v>
      </c>
      <c r="M2814" s="2" t="s">
        <v>153</v>
      </c>
      <c r="N2814" s="2" t="s">
        <v>343</v>
      </c>
      <c r="O2814" s="2" t="s">
        <v>96</v>
      </c>
      <c r="P2814" s="2" t="str">
        <f>"2170510108                    "</f>
        <v xml:space="preserve">2170510108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3.32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0.5</v>
      </c>
      <c r="BJ2814" s="2">
        <v>0.2</v>
      </c>
      <c r="BK2814" s="2">
        <v>0.5</v>
      </c>
      <c r="BL2814" s="2">
        <v>40.76</v>
      </c>
      <c r="BM2814" s="2">
        <v>5.71</v>
      </c>
      <c r="BN2814" s="2">
        <v>46.47</v>
      </c>
      <c r="BO2814" s="2">
        <v>46.47</v>
      </c>
      <c r="BP2814" s="2"/>
      <c r="BQ2814" s="2" t="s">
        <v>344</v>
      </c>
      <c r="BR2814" s="2" t="s">
        <v>83</v>
      </c>
      <c r="BS2814" s="3">
        <v>42674</v>
      </c>
      <c r="BT2814" s="4">
        <v>0.52777777777777779</v>
      </c>
      <c r="BU2814" s="2" t="s">
        <v>720</v>
      </c>
      <c r="BV2814" s="2" t="s">
        <v>85</v>
      </c>
      <c r="BW2814" s="2"/>
      <c r="BX2814" s="2"/>
      <c r="BY2814" s="2">
        <v>1200</v>
      </c>
      <c r="BZ2814" s="2"/>
      <c r="CA2814" s="2"/>
      <c r="CB2814" s="2"/>
      <c r="CC2814" s="2" t="s">
        <v>153</v>
      </c>
      <c r="CD2814" s="2">
        <v>7646</v>
      </c>
      <c r="CE2814" s="2" t="s">
        <v>108</v>
      </c>
      <c r="CF2814" s="5">
        <v>42675</v>
      </c>
      <c r="CG2814" s="2"/>
      <c r="CH2814" s="2"/>
      <c r="CI2814" s="2">
        <v>1</v>
      </c>
      <c r="CJ2814" s="2">
        <v>1</v>
      </c>
      <c r="CK2814" s="2">
        <v>21</v>
      </c>
      <c r="CL2814" s="2" t="s">
        <v>88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"FES1162510225"</f>
        <v>FES1162510225</v>
      </c>
      <c r="F2815" s="3">
        <v>42671</v>
      </c>
      <c r="G2815" s="2">
        <v>201704</v>
      </c>
      <c r="H2815" s="2" t="s">
        <v>74</v>
      </c>
      <c r="I2815" s="2" t="s">
        <v>75</v>
      </c>
      <c r="J2815" s="2" t="s">
        <v>76</v>
      </c>
      <c r="K2815" s="2" t="s">
        <v>77</v>
      </c>
      <c r="L2815" s="2" t="s">
        <v>160</v>
      </c>
      <c r="M2815" s="2" t="s">
        <v>161</v>
      </c>
      <c r="N2815" s="2" t="s">
        <v>2591</v>
      </c>
      <c r="O2815" s="2" t="s">
        <v>96</v>
      </c>
      <c r="P2815" s="2" t="str">
        <f>"2170533326                    "</f>
        <v xml:space="preserve">2170533326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3.32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1</v>
      </c>
      <c r="BJ2815" s="2">
        <v>0.2</v>
      </c>
      <c r="BK2815" s="2">
        <v>1</v>
      </c>
      <c r="BL2815" s="2">
        <v>40.76</v>
      </c>
      <c r="BM2815" s="2">
        <v>5.71</v>
      </c>
      <c r="BN2815" s="2">
        <v>46.47</v>
      </c>
      <c r="BO2815" s="2">
        <v>46.47</v>
      </c>
      <c r="BP2815" s="2"/>
      <c r="BQ2815" s="2" t="s">
        <v>82</v>
      </c>
      <c r="BR2815" s="2" t="s">
        <v>83</v>
      </c>
      <c r="BS2815" s="3">
        <v>42674</v>
      </c>
      <c r="BT2815" s="4">
        <v>0.4375</v>
      </c>
      <c r="BU2815" s="2" t="s">
        <v>2302</v>
      </c>
      <c r="BV2815" s="2" t="s">
        <v>85</v>
      </c>
      <c r="BW2815" s="2"/>
      <c r="BX2815" s="2"/>
      <c r="BY2815" s="2">
        <v>1200</v>
      </c>
      <c r="BZ2815" s="2"/>
      <c r="CA2815" s="2"/>
      <c r="CB2815" s="2"/>
      <c r="CC2815" s="2" t="s">
        <v>161</v>
      </c>
      <c r="CD2815" s="2">
        <v>7945</v>
      </c>
      <c r="CE2815" s="2" t="s">
        <v>108</v>
      </c>
      <c r="CF2815" s="5">
        <v>42675</v>
      </c>
      <c r="CG2815" s="2"/>
      <c r="CH2815" s="2"/>
      <c r="CI2815" s="2">
        <v>1</v>
      </c>
      <c r="CJ2815" s="2">
        <v>1</v>
      </c>
      <c r="CK2815" s="2">
        <v>21</v>
      </c>
      <c r="CL2815" s="2" t="s">
        <v>88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"FES1162510197"</f>
        <v>FES1162510197</v>
      </c>
      <c r="F2816" s="3">
        <v>42671</v>
      </c>
      <c r="G2816" s="2">
        <v>201704</v>
      </c>
      <c r="H2816" s="2" t="s">
        <v>74</v>
      </c>
      <c r="I2816" s="2" t="s">
        <v>75</v>
      </c>
      <c r="J2816" s="2" t="s">
        <v>76</v>
      </c>
      <c r="K2816" s="2" t="s">
        <v>77</v>
      </c>
      <c r="L2816" s="2" t="s">
        <v>148</v>
      </c>
      <c r="M2816" s="2" t="s">
        <v>149</v>
      </c>
      <c r="N2816" s="2" t="s">
        <v>1739</v>
      </c>
      <c r="O2816" s="2" t="s">
        <v>96</v>
      </c>
      <c r="P2816" s="2" t="str">
        <f>"2170533299                    "</f>
        <v xml:space="preserve">2170533299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3.32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0.5</v>
      </c>
      <c r="BJ2816" s="2">
        <v>0.2</v>
      </c>
      <c r="BK2816" s="2">
        <v>0.5</v>
      </c>
      <c r="BL2816" s="2">
        <v>40.76</v>
      </c>
      <c r="BM2816" s="2">
        <v>5.71</v>
      </c>
      <c r="BN2816" s="2">
        <v>46.47</v>
      </c>
      <c r="BO2816" s="2">
        <v>46.47</v>
      </c>
      <c r="BP2816" s="2"/>
      <c r="BQ2816" s="2"/>
      <c r="BR2816" s="2" t="s">
        <v>83</v>
      </c>
      <c r="BS2816" s="3">
        <v>42674</v>
      </c>
      <c r="BT2816" s="4">
        <v>0.4375</v>
      </c>
      <c r="BU2816" s="2" t="s">
        <v>2592</v>
      </c>
      <c r="BV2816" s="2"/>
      <c r="BW2816" s="2"/>
      <c r="BX2816" s="2"/>
      <c r="BY2816" s="2">
        <v>1200</v>
      </c>
      <c r="BZ2816" s="2"/>
      <c r="CA2816" s="2"/>
      <c r="CB2816" s="2"/>
      <c r="CC2816" s="2" t="s">
        <v>149</v>
      </c>
      <c r="CD2816" s="2">
        <v>4000</v>
      </c>
      <c r="CE2816" s="2" t="s">
        <v>108</v>
      </c>
      <c r="CF2816" s="5">
        <v>42675</v>
      </c>
      <c r="CG2816" s="2"/>
      <c r="CH2816" s="2"/>
      <c r="CI2816" s="2">
        <v>0</v>
      </c>
      <c r="CJ2816" s="2">
        <v>0</v>
      </c>
      <c r="CK2816" s="2">
        <v>21</v>
      </c>
      <c r="CL2816" s="2" t="s">
        <v>88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"FES1162510129"</f>
        <v>FES1162510129</v>
      </c>
      <c r="F2817" s="3">
        <v>42671</v>
      </c>
      <c r="G2817" s="2">
        <v>201704</v>
      </c>
      <c r="H2817" s="2" t="s">
        <v>74</v>
      </c>
      <c r="I2817" s="2" t="s">
        <v>75</v>
      </c>
      <c r="J2817" s="2" t="s">
        <v>76</v>
      </c>
      <c r="K2817" s="2" t="s">
        <v>77</v>
      </c>
      <c r="L2817" s="2" t="s">
        <v>78</v>
      </c>
      <c r="M2817" s="2" t="s">
        <v>79</v>
      </c>
      <c r="N2817" s="2" t="s">
        <v>1460</v>
      </c>
      <c r="O2817" s="2" t="s">
        <v>96</v>
      </c>
      <c r="P2817" s="2" t="str">
        <f>"2170532523                    "</f>
        <v xml:space="preserve">2170532523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3.32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1</v>
      </c>
      <c r="BJ2817" s="2">
        <v>0.2</v>
      </c>
      <c r="BK2817" s="2">
        <v>1</v>
      </c>
      <c r="BL2817" s="2">
        <v>40.76</v>
      </c>
      <c r="BM2817" s="2">
        <v>5.71</v>
      </c>
      <c r="BN2817" s="2">
        <v>46.47</v>
      </c>
      <c r="BO2817" s="2">
        <v>46.47</v>
      </c>
      <c r="BP2817" s="2"/>
      <c r="BQ2817" s="2" t="s">
        <v>91</v>
      </c>
      <c r="BR2817" s="2" t="s">
        <v>83</v>
      </c>
      <c r="BS2817" s="3">
        <v>42674</v>
      </c>
      <c r="BT2817" s="4">
        <v>0.41666666666666669</v>
      </c>
      <c r="BU2817" s="2" t="s">
        <v>2324</v>
      </c>
      <c r="BV2817" s="2" t="s">
        <v>85</v>
      </c>
      <c r="BW2817" s="2"/>
      <c r="BX2817" s="2"/>
      <c r="BY2817" s="2">
        <v>1200</v>
      </c>
      <c r="BZ2817" s="2"/>
      <c r="CA2817" s="2"/>
      <c r="CB2817" s="2"/>
      <c r="CC2817" s="2" t="s">
        <v>79</v>
      </c>
      <c r="CD2817" s="2">
        <v>1961</v>
      </c>
      <c r="CE2817" s="2" t="s">
        <v>108</v>
      </c>
      <c r="CF2817" s="5">
        <v>42676</v>
      </c>
      <c r="CG2817" s="2"/>
      <c r="CH2817" s="2"/>
      <c r="CI2817" s="2">
        <v>1</v>
      </c>
      <c r="CJ2817" s="2">
        <v>1</v>
      </c>
      <c r="CK2817" s="2">
        <v>21</v>
      </c>
      <c r="CL2817" s="2" t="s">
        <v>88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"FES1162510144"</f>
        <v>FES1162510144</v>
      </c>
      <c r="F2818" s="3">
        <v>42671</v>
      </c>
      <c r="G2818" s="2">
        <v>201704</v>
      </c>
      <c r="H2818" s="2" t="s">
        <v>74</v>
      </c>
      <c r="I2818" s="2" t="s">
        <v>75</v>
      </c>
      <c r="J2818" s="2" t="s">
        <v>76</v>
      </c>
      <c r="K2818" s="2" t="s">
        <v>77</v>
      </c>
      <c r="L2818" s="2" t="s">
        <v>98</v>
      </c>
      <c r="M2818" s="2" t="s">
        <v>99</v>
      </c>
      <c r="N2818" s="2" t="s">
        <v>340</v>
      </c>
      <c r="O2818" s="2" t="s">
        <v>96</v>
      </c>
      <c r="P2818" s="2" t="str">
        <f>"2170533067                    "</f>
        <v xml:space="preserve">2170533067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3.32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0.5</v>
      </c>
      <c r="BJ2818" s="2">
        <v>0.2</v>
      </c>
      <c r="BK2818" s="2">
        <v>0.5</v>
      </c>
      <c r="BL2818" s="2">
        <v>40.76</v>
      </c>
      <c r="BM2818" s="2">
        <v>5.71</v>
      </c>
      <c r="BN2818" s="2">
        <v>46.47</v>
      </c>
      <c r="BO2818" s="2">
        <v>46.47</v>
      </c>
      <c r="BP2818" s="2"/>
      <c r="BQ2818" s="2" t="s">
        <v>341</v>
      </c>
      <c r="BR2818" s="2" t="s">
        <v>83</v>
      </c>
      <c r="BS2818" s="3">
        <v>42674</v>
      </c>
      <c r="BT2818" s="4">
        <v>0.3263888888888889</v>
      </c>
      <c r="BU2818" s="2" t="s">
        <v>2593</v>
      </c>
      <c r="BV2818" s="2" t="s">
        <v>85</v>
      </c>
      <c r="BW2818" s="2"/>
      <c r="BX2818" s="2"/>
      <c r="BY2818" s="2">
        <v>1200</v>
      </c>
      <c r="BZ2818" s="2"/>
      <c r="CA2818" s="2"/>
      <c r="CB2818" s="2"/>
      <c r="CC2818" s="2" t="s">
        <v>99</v>
      </c>
      <c r="CD2818" s="2">
        <v>6012</v>
      </c>
      <c r="CE2818" s="2" t="s">
        <v>108</v>
      </c>
      <c r="CF2818" s="5">
        <v>42675</v>
      </c>
      <c r="CG2818" s="2"/>
      <c r="CH2818" s="2"/>
      <c r="CI2818" s="2">
        <v>1</v>
      </c>
      <c r="CJ2818" s="2">
        <v>1</v>
      </c>
      <c r="CK2818" s="2">
        <v>21</v>
      </c>
      <c r="CL2818" s="2" t="s">
        <v>88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"FES1162510111"</f>
        <v>FES1162510111</v>
      </c>
      <c r="F2819" s="3">
        <v>42671</v>
      </c>
      <c r="G2819" s="2">
        <v>201704</v>
      </c>
      <c r="H2819" s="2" t="s">
        <v>74</v>
      </c>
      <c r="I2819" s="2" t="s">
        <v>75</v>
      </c>
      <c r="J2819" s="2" t="s">
        <v>76</v>
      </c>
      <c r="K2819" s="2" t="s">
        <v>77</v>
      </c>
      <c r="L2819" s="2" t="s">
        <v>143</v>
      </c>
      <c r="M2819" s="2" t="s">
        <v>144</v>
      </c>
      <c r="N2819" s="2" t="s">
        <v>909</v>
      </c>
      <c r="O2819" s="2" t="s">
        <v>96</v>
      </c>
      <c r="P2819" s="2" t="str">
        <f>"2170532787                    "</f>
        <v xml:space="preserve">2170532787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3.32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0.5</v>
      </c>
      <c r="BJ2819" s="2">
        <v>0.2</v>
      </c>
      <c r="BK2819" s="2">
        <v>0.5</v>
      </c>
      <c r="BL2819" s="2">
        <v>40.76</v>
      </c>
      <c r="BM2819" s="2">
        <v>5.71</v>
      </c>
      <c r="BN2819" s="2">
        <v>46.47</v>
      </c>
      <c r="BO2819" s="2">
        <v>46.47</v>
      </c>
      <c r="BP2819" s="2"/>
      <c r="BQ2819" s="2" t="s">
        <v>117</v>
      </c>
      <c r="BR2819" s="2" t="s">
        <v>83</v>
      </c>
      <c r="BS2819" s="3">
        <v>42674</v>
      </c>
      <c r="BT2819" s="4">
        <v>0.42708333333333331</v>
      </c>
      <c r="BU2819" s="2" t="s">
        <v>1926</v>
      </c>
      <c r="BV2819" s="2"/>
      <c r="BW2819" s="2"/>
      <c r="BX2819" s="2"/>
      <c r="BY2819" s="2">
        <v>1200</v>
      </c>
      <c r="BZ2819" s="2"/>
      <c r="CA2819" s="2"/>
      <c r="CB2819" s="2"/>
      <c r="CC2819" s="2" t="s">
        <v>144</v>
      </c>
      <c r="CD2819" s="2">
        <v>5201</v>
      </c>
      <c r="CE2819" s="2" t="s">
        <v>108</v>
      </c>
      <c r="CF2819" s="5">
        <v>42676</v>
      </c>
      <c r="CG2819" s="2"/>
      <c r="CH2819" s="2"/>
      <c r="CI2819" s="2">
        <v>0</v>
      </c>
      <c r="CJ2819" s="2">
        <v>0</v>
      </c>
      <c r="CK2819" s="2">
        <v>21</v>
      </c>
      <c r="CL2819" s="2" t="s">
        <v>88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"FES1162510102"</f>
        <v>FES1162510102</v>
      </c>
      <c r="F2820" s="3">
        <v>42671</v>
      </c>
      <c r="G2820" s="2">
        <v>201704</v>
      </c>
      <c r="H2820" s="2" t="s">
        <v>74</v>
      </c>
      <c r="I2820" s="2" t="s">
        <v>75</v>
      </c>
      <c r="J2820" s="2" t="s">
        <v>76</v>
      </c>
      <c r="K2820" s="2" t="s">
        <v>77</v>
      </c>
      <c r="L2820" s="2" t="s">
        <v>119</v>
      </c>
      <c r="M2820" s="2" t="s">
        <v>120</v>
      </c>
      <c r="N2820" s="2" t="s">
        <v>2594</v>
      </c>
      <c r="O2820" s="2" t="s">
        <v>96</v>
      </c>
      <c r="P2820" s="2" t="str">
        <f>"2170533229                    "</f>
        <v xml:space="preserve">2170533229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3.32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0.5</v>
      </c>
      <c r="BJ2820" s="2">
        <v>0.2</v>
      </c>
      <c r="BK2820" s="2">
        <v>0.5</v>
      </c>
      <c r="BL2820" s="2">
        <v>40.76</v>
      </c>
      <c r="BM2820" s="2">
        <v>5.71</v>
      </c>
      <c r="BN2820" s="2">
        <v>46.47</v>
      </c>
      <c r="BO2820" s="2">
        <v>46.47</v>
      </c>
      <c r="BP2820" s="2"/>
      <c r="BQ2820" s="2" t="s">
        <v>2595</v>
      </c>
      <c r="BR2820" s="2" t="s">
        <v>83</v>
      </c>
      <c r="BS2820" s="3">
        <v>42674</v>
      </c>
      <c r="BT2820" s="4">
        <v>0.40138888888888885</v>
      </c>
      <c r="BU2820" s="2" t="s">
        <v>2596</v>
      </c>
      <c r="BV2820" s="2" t="s">
        <v>85</v>
      </c>
      <c r="BW2820" s="2"/>
      <c r="BX2820" s="2"/>
      <c r="BY2820" s="2">
        <v>1200</v>
      </c>
      <c r="BZ2820" s="2"/>
      <c r="CA2820" s="2"/>
      <c r="CB2820" s="2"/>
      <c r="CC2820" s="2" t="s">
        <v>120</v>
      </c>
      <c r="CD2820" s="2">
        <v>6229</v>
      </c>
      <c r="CE2820" s="2" t="s">
        <v>108</v>
      </c>
      <c r="CF2820" s="5">
        <v>42675</v>
      </c>
      <c r="CG2820" s="2"/>
      <c r="CH2820" s="2"/>
      <c r="CI2820" s="2">
        <v>1</v>
      </c>
      <c r="CJ2820" s="2">
        <v>1</v>
      </c>
      <c r="CK2820" s="2">
        <v>21</v>
      </c>
      <c r="CL2820" s="2" t="s">
        <v>88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"FES1162510131"</f>
        <v>FES1162510131</v>
      </c>
      <c r="F2821" s="3">
        <v>42671</v>
      </c>
      <c r="G2821" s="2">
        <v>201704</v>
      </c>
      <c r="H2821" s="2" t="s">
        <v>74</v>
      </c>
      <c r="I2821" s="2" t="s">
        <v>75</v>
      </c>
      <c r="J2821" s="2" t="s">
        <v>76</v>
      </c>
      <c r="K2821" s="2" t="s">
        <v>77</v>
      </c>
      <c r="L2821" s="2" t="s">
        <v>98</v>
      </c>
      <c r="M2821" s="2" t="s">
        <v>99</v>
      </c>
      <c r="N2821" s="2" t="s">
        <v>224</v>
      </c>
      <c r="O2821" s="2" t="s">
        <v>96</v>
      </c>
      <c r="P2821" s="2" t="str">
        <f>"2170532548                    "</f>
        <v xml:space="preserve">2170532548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3.32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0.5</v>
      </c>
      <c r="BJ2821" s="2">
        <v>0.2</v>
      </c>
      <c r="BK2821" s="2">
        <v>0.5</v>
      </c>
      <c r="BL2821" s="2">
        <v>40.76</v>
      </c>
      <c r="BM2821" s="2">
        <v>5.71</v>
      </c>
      <c r="BN2821" s="2">
        <v>46.47</v>
      </c>
      <c r="BO2821" s="2">
        <v>46.47</v>
      </c>
      <c r="BP2821" s="2"/>
      <c r="BQ2821" s="2" t="s">
        <v>1403</v>
      </c>
      <c r="BR2821" s="2" t="s">
        <v>83</v>
      </c>
      <c r="BS2821" s="3">
        <v>42674</v>
      </c>
      <c r="BT2821" s="4">
        <v>0.34722222222222227</v>
      </c>
      <c r="BU2821" s="2" t="s">
        <v>719</v>
      </c>
      <c r="BV2821" s="2" t="s">
        <v>85</v>
      </c>
      <c r="BW2821" s="2"/>
      <c r="BX2821" s="2"/>
      <c r="BY2821" s="2">
        <v>1200</v>
      </c>
      <c r="BZ2821" s="2"/>
      <c r="CA2821" s="2" t="s">
        <v>437</v>
      </c>
      <c r="CB2821" s="2"/>
      <c r="CC2821" s="2" t="s">
        <v>99</v>
      </c>
      <c r="CD2821" s="2">
        <v>6001</v>
      </c>
      <c r="CE2821" s="2" t="s">
        <v>108</v>
      </c>
      <c r="CF2821" s="5">
        <v>42674</v>
      </c>
      <c r="CG2821" s="2"/>
      <c r="CH2821" s="2"/>
      <c r="CI2821" s="2">
        <v>1</v>
      </c>
      <c r="CJ2821" s="2">
        <v>1</v>
      </c>
      <c r="CK2821" s="2">
        <v>21</v>
      </c>
      <c r="CL2821" s="2" t="s">
        <v>88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"FES1162510029"</f>
        <v>FES1162510029</v>
      </c>
      <c r="F2822" s="3">
        <v>42671</v>
      </c>
      <c r="G2822" s="2">
        <v>201704</v>
      </c>
      <c r="H2822" s="2" t="s">
        <v>74</v>
      </c>
      <c r="I2822" s="2" t="s">
        <v>75</v>
      </c>
      <c r="J2822" s="2" t="s">
        <v>76</v>
      </c>
      <c r="K2822" s="2" t="s">
        <v>77</v>
      </c>
      <c r="L2822" s="2" t="s">
        <v>156</v>
      </c>
      <c r="M2822" s="2" t="s">
        <v>157</v>
      </c>
      <c r="N2822" s="2" t="s">
        <v>507</v>
      </c>
      <c r="O2822" s="2" t="s">
        <v>96</v>
      </c>
      <c r="P2822" s="2" t="str">
        <f>"2170533156                    "</f>
        <v xml:space="preserve">2170533156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7.46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4</v>
      </c>
      <c r="BJ2822" s="2">
        <v>4.0999999999999996</v>
      </c>
      <c r="BK2822" s="2">
        <v>4.5</v>
      </c>
      <c r="BL2822" s="2">
        <v>91.7</v>
      </c>
      <c r="BM2822" s="2">
        <v>12.84</v>
      </c>
      <c r="BN2822" s="2">
        <v>104.54</v>
      </c>
      <c r="BO2822" s="2">
        <v>104.54</v>
      </c>
      <c r="BP2822" s="2"/>
      <c r="BQ2822" s="2" t="s">
        <v>508</v>
      </c>
      <c r="BR2822" s="2" t="s">
        <v>83</v>
      </c>
      <c r="BS2822" s="3">
        <v>42674</v>
      </c>
      <c r="BT2822" s="4">
        <v>0.41666666666666669</v>
      </c>
      <c r="BU2822" s="2" t="s">
        <v>238</v>
      </c>
      <c r="BV2822" s="2" t="s">
        <v>85</v>
      </c>
      <c r="BW2822" s="2"/>
      <c r="BX2822" s="2"/>
      <c r="BY2822" s="2">
        <v>20358</v>
      </c>
      <c r="BZ2822" s="2"/>
      <c r="CA2822" s="2"/>
      <c r="CB2822" s="2"/>
      <c r="CC2822" s="2" t="s">
        <v>157</v>
      </c>
      <c r="CD2822" s="2">
        <v>7130</v>
      </c>
      <c r="CE2822" s="2" t="s">
        <v>86</v>
      </c>
      <c r="CF2822" s="5">
        <v>42675</v>
      </c>
      <c r="CG2822" s="2"/>
      <c r="CH2822" s="2"/>
      <c r="CI2822" s="2">
        <v>1</v>
      </c>
      <c r="CJ2822" s="2">
        <v>1</v>
      </c>
      <c r="CK2822" s="2">
        <v>21</v>
      </c>
      <c r="CL2822" s="2" t="s">
        <v>88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"FES1162510177"</f>
        <v>FES1162510177</v>
      </c>
      <c r="F2823" s="3">
        <v>42671</v>
      </c>
      <c r="G2823" s="2">
        <v>201704</v>
      </c>
      <c r="H2823" s="2" t="s">
        <v>74</v>
      </c>
      <c r="I2823" s="2" t="s">
        <v>75</v>
      </c>
      <c r="J2823" s="2" t="s">
        <v>76</v>
      </c>
      <c r="K2823" s="2" t="s">
        <v>77</v>
      </c>
      <c r="L2823" s="2" t="s">
        <v>269</v>
      </c>
      <c r="M2823" s="2" t="s">
        <v>270</v>
      </c>
      <c r="N2823" s="2" t="s">
        <v>299</v>
      </c>
      <c r="O2823" s="2" t="s">
        <v>96</v>
      </c>
      <c r="P2823" s="2" t="str">
        <f>"2170533282                    "</f>
        <v xml:space="preserve">2170533282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3.32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0.5</v>
      </c>
      <c r="BJ2823" s="2">
        <v>0.2</v>
      </c>
      <c r="BK2823" s="2">
        <v>0.5</v>
      </c>
      <c r="BL2823" s="2">
        <v>40.76</v>
      </c>
      <c r="BM2823" s="2">
        <v>5.71</v>
      </c>
      <c r="BN2823" s="2">
        <v>46.47</v>
      </c>
      <c r="BO2823" s="2">
        <v>46.47</v>
      </c>
      <c r="BP2823" s="2"/>
      <c r="BQ2823" s="2" t="s">
        <v>300</v>
      </c>
      <c r="BR2823" s="2" t="s">
        <v>83</v>
      </c>
      <c r="BS2823" s="3">
        <v>42674</v>
      </c>
      <c r="BT2823" s="4">
        <v>0.4375</v>
      </c>
      <c r="BU2823" s="2" t="s">
        <v>2597</v>
      </c>
      <c r="BV2823" s="2" t="s">
        <v>85</v>
      </c>
      <c r="BW2823" s="2"/>
      <c r="BX2823" s="2"/>
      <c r="BY2823" s="2">
        <v>1200</v>
      </c>
      <c r="BZ2823" s="2"/>
      <c r="CA2823" s="2"/>
      <c r="CB2823" s="2"/>
      <c r="CC2823" s="2" t="s">
        <v>270</v>
      </c>
      <c r="CD2823" s="2">
        <v>3610</v>
      </c>
      <c r="CE2823" s="2" t="s">
        <v>108</v>
      </c>
      <c r="CF2823" s="5">
        <v>42675</v>
      </c>
      <c r="CG2823" s="2"/>
      <c r="CH2823" s="2"/>
      <c r="CI2823" s="2">
        <v>1</v>
      </c>
      <c r="CJ2823" s="2">
        <v>1</v>
      </c>
      <c r="CK2823" s="2">
        <v>21</v>
      </c>
      <c r="CL2823" s="2" t="s">
        <v>88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"FES1162509837"</f>
        <v>FES1162509837</v>
      </c>
      <c r="F2824" s="3">
        <v>42671</v>
      </c>
      <c r="G2824" s="2">
        <v>201704</v>
      </c>
      <c r="H2824" s="2" t="s">
        <v>74</v>
      </c>
      <c r="I2824" s="2" t="s">
        <v>75</v>
      </c>
      <c r="J2824" s="2" t="s">
        <v>76</v>
      </c>
      <c r="K2824" s="2" t="s">
        <v>77</v>
      </c>
      <c r="L2824" s="2" t="s">
        <v>160</v>
      </c>
      <c r="M2824" s="2" t="s">
        <v>161</v>
      </c>
      <c r="N2824" s="2" t="s">
        <v>1866</v>
      </c>
      <c r="O2824" s="2" t="s">
        <v>96</v>
      </c>
      <c r="P2824" s="2" t="str">
        <f>"2170530864                    "</f>
        <v xml:space="preserve">2170530864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3.32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0.5</v>
      </c>
      <c r="BJ2824" s="2">
        <v>0.2</v>
      </c>
      <c r="BK2824" s="2">
        <v>0.5</v>
      </c>
      <c r="BL2824" s="2">
        <v>40.76</v>
      </c>
      <c r="BM2824" s="2">
        <v>5.71</v>
      </c>
      <c r="BN2824" s="2">
        <v>46.47</v>
      </c>
      <c r="BO2824" s="2">
        <v>46.47</v>
      </c>
      <c r="BP2824" s="2"/>
      <c r="BQ2824" s="2" t="s">
        <v>1867</v>
      </c>
      <c r="BR2824" s="2" t="s">
        <v>83</v>
      </c>
      <c r="BS2824" s="3">
        <v>42674</v>
      </c>
      <c r="BT2824" s="4">
        <v>0.41666666666666669</v>
      </c>
      <c r="BU2824" s="2" t="s">
        <v>2598</v>
      </c>
      <c r="BV2824" s="2" t="s">
        <v>85</v>
      </c>
      <c r="BW2824" s="2"/>
      <c r="BX2824" s="2"/>
      <c r="BY2824" s="2">
        <v>1200</v>
      </c>
      <c r="BZ2824" s="2"/>
      <c r="CA2824" s="2"/>
      <c r="CB2824" s="2"/>
      <c r="CC2824" s="2" t="s">
        <v>161</v>
      </c>
      <c r="CD2824" s="2">
        <v>7405</v>
      </c>
      <c r="CE2824" s="2" t="s">
        <v>108</v>
      </c>
      <c r="CF2824" s="5">
        <v>42675</v>
      </c>
      <c r="CG2824" s="2"/>
      <c r="CH2824" s="2"/>
      <c r="CI2824" s="2">
        <v>1</v>
      </c>
      <c r="CJ2824" s="2">
        <v>1</v>
      </c>
      <c r="CK2824" s="2">
        <v>21</v>
      </c>
      <c r="CL2824" s="2" t="s">
        <v>88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"FES1162509989"</f>
        <v>FES1162509989</v>
      </c>
      <c r="F2825" s="3">
        <v>42671</v>
      </c>
      <c r="G2825" s="2">
        <v>201704</v>
      </c>
      <c r="H2825" s="2" t="s">
        <v>74</v>
      </c>
      <c r="I2825" s="2" t="s">
        <v>75</v>
      </c>
      <c r="J2825" s="2" t="s">
        <v>76</v>
      </c>
      <c r="K2825" s="2" t="s">
        <v>77</v>
      </c>
      <c r="L2825" s="2" t="s">
        <v>269</v>
      </c>
      <c r="M2825" s="2" t="s">
        <v>270</v>
      </c>
      <c r="N2825" s="2" t="s">
        <v>455</v>
      </c>
      <c r="O2825" s="2" t="s">
        <v>96</v>
      </c>
      <c r="P2825" s="2" t="str">
        <f>"2170531073                    "</f>
        <v xml:space="preserve">2170531073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3.32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0.5</v>
      </c>
      <c r="BJ2825" s="2">
        <v>0.2</v>
      </c>
      <c r="BK2825" s="2">
        <v>0.5</v>
      </c>
      <c r="BL2825" s="2">
        <v>40.76</v>
      </c>
      <c r="BM2825" s="2">
        <v>5.71</v>
      </c>
      <c r="BN2825" s="2">
        <v>46.47</v>
      </c>
      <c r="BO2825" s="2">
        <v>46.47</v>
      </c>
      <c r="BP2825" s="2"/>
      <c r="BQ2825" s="2" t="s">
        <v>1793</v>
      </c>
      <c r="BR2825" s="2" t="s">
        <v>83</v>
      </c>
      <c r="BS2825" s="3">
        <v>42674</v>
      </c>
      <c r="BT2825" s="4">
        <v>0.4375</v>
      </c>
      <c r="BU2825" s="2" t="s">
        <v>1794</v>
      </c>
      <c r="BV2825" s="2" t="s">
        <v>85</v>
      </c>
      <c r="BW2825" s="2"/>
      <c r="BX2825" s="2"/>
      <c r="BY2825" s="2">
        <v>1200</v>
      </c>
      <c r="BZ2825" s="2"/>
      <c r="CA2825" s="2"/>
      <c r="CB2825" s="2"/>
      <c r="CC2825" s="2" t="s">
        <v>270</v>
      </c>
      <c r="CD2825" s="2">
        <v>3610</v>
      </c>
      <c r="CE2825" s="2" t="s">
        <v>108</v>
      </c>
      <c r="CF2825" s="5">
        <v>42675</v>
      </c>
      <c r="CG2825" s="2"/>
      <c r="CH2825" s="2"/>
      <c r="CI2825" s="2">
        <v>1</v>
      </c>
      <c r="CJ2825" s="2">
        <v>1</v>
      </c>
      <c r="CK2825" s="2">
        <v>21</v>
      </c>
      <c r="CL2825" s="2" t="s">
        <v>88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"FES1162510034"</f>
        <v>FES1162510034</v>
      </c>
      <c r="F2826" s="3">
        <v>42671</v>
      </c>
      <c r="G2826" s="2">
        <v>201704</v>
      </c>
      <c r="H2826" s="2" t="s">
        <v>74</v>
      </c>
      <c r="I2826" s="2" t="s">
        <v>75</v>
      </c>
      <c r="J2826" s="2" t="s">
        <v>76</v>
      </c>
      <c r="K2826" s="2" t="s">
        <v>77</v>
      </c>
      <c r="L2826" s="2" t="s">
        <v>310</v>
      </c>
      <c r="M2826" s="2" t="s">
        <v>311</v>
      </c>
      <c r="N2826" s="2" t="s">
        <v>2398</v>
      </c>
      <c r="O2826" s="2" t="s">
        <v>96</v>
      </c>
      <c r="P2826" s="2" t="str">
        <f>"2170530739                    "</f>
        <v xml:space="preserve">2170530739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6.43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0.5</v>
      </c>
      <c r="BJ2826" s="2">
        <v>0.2</v>
      </c>
      <c r="BK2826" s="2">
        <v>0.5</v>
      </c>
      <c r="BL2826" s="2">
        <v>78.97</v>
      </c>
      <c r="BM2826" s="2">
        <v>11.06</v>
      </c>
      <c r="BN2826" s="2">
        <v>90.03</v>
      </c>
      <c r="BO2826" s="2">
        <v>90.03</v>
      </c>
      <c r="BP2826" s="2"/>
      <c r="BQ2826" s="2" t="s">
        <v>82</v>
      </c>
      <c r="BR2826" s="2" t="s">
        <v>83</v>
      </c>
      <c r="BS2826" s="3">
        <v>42674</v>
      </c>
      <c r="BT2826" s="4">
        <v>0.54166666666666663</v>
      </c>
      <c r="BU2826" s="2" t="s">
        <v>431</v>
      </c>
      <c r="BV2826" s="2" t="s">
        <v>85</v>
      </c>
      <c r="BW2826" s="2"/>
      <c r="BX2826" s="2"/>
      <c r="BY2826" s="2">
        <v>1200</v>
      </c>
      <c r="BZ2826" s="2"/>
      <c r="CA2826" s="2"/>
      <c r="CB2826" s="2"/>
      <c r="CC2826" s="2" t="s">
        <v>311</v>
      </c>
      <c r="CD2826" s="2">
        <v>4170</v>
      </c>
      <c r="CE2826" s="2" t="s">
        <v>108</v>
      </c>
      <c r="CF2826" s="5">
        <v>42675</v>
      </c>
      <c r="CG2826" s="2"/>
      <c r="CH2826" s="2"/>
      <c r="CI2826" s="2">
        <v>1</v>
      </c>
      <c r="CJ2826" s="2">
        <v>1</v>
      </c>
      <c r="CK2826" s="2">
        <v>23</v>
      </c>
      <c r="CL2826" s="2" t="s">
        <v>88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"FES1162509956"</f>
        <v>FES1162509956</v>
      </c>
      <c r="F2827" s="3">
        <v>42671</v>
      </c>
      <c r="G2827" s="2">
        <v>201704</v>
      </c>
      <c r="H2827" s="2" t="s">
        <v>74</v>
      </c>
      <c r="I2827" s="2" t="s">
        <v>75</v>
      </c>
      <c r="J2827" s="2" t="s">
        <v>76</v>
      </c>
      <c r="K2827" s="2" t="s">
        <v>77</v>
      </c>
      <c r="L2827" s="2" t="s">
        <v>160</v>
      </c>
      <c r="M2827" s="2" t="s">
        <v>161</v>
      </c>
      <c r="N2827" s="2" t="s">
        <v>710</v>
      </c>
      <c r="O2827" s="2" t="s">
        <v>96</v>
      </c>
      <c r="P2827" s="2" t="str">
        <f>"2170533121                    "</f>
        <v xml:space="preserve">2170533121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3.32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0.5</v>
      </c>
      <c r="BJ2827" s="2">
        <v>0.2</v>
      </c>
      <c r="BK2827" s="2">
        <v>0.5</v>
      </c>
      <c r="BL2827" s="2">
        <v>40.76</v>
      </c>
      <c r="BM2827" s="2">
        <v>5.71</v>
      </c>
      <c r="BN2827" s="2">
        <v>46.47</v>
      </c>
      <c r="BO2827" s="2">
        <v>46.47</v>
      </c>
      <c r="BP2827" s="2"/>
      <c r="BQ2827" s="2" t="s">
        <v>711</v>
      </c>
      <c r="BR2827" s="2" t="s">
        <v>83</v>
      </c>
      <c r="BS2827" s="3">
        <v>42674</v>
      </c>
      <c r="BT2827" s="4">
        <v>0.41666666666666669</v>
      </c>
      <c r="BU2827" s="2" t="s">
        <v>2599</v>
      </c>
      <c r="BV2827" s="2" t="s">
        <v>85</v>
      </c>
      <c r="BW2827" s="2"/>
      <c r="BX2827" s="2"/>
      <c r="BY2827" s="2">
        <v>1200</v>
      </c>
      <c r="BZ2827" s="2"/>
      <c r="CA2827" s="2"/>
      <c r="CB2827" s="2"/>
      <c r="CC2827" s="2" t="s">
        <v>161</v>
      </c>
      <c r="CD2827" s="2">
        <v>7441</v>
      </c>
      <c r="CE2827" s="2" t="s">
        <v>108</v>
      </c>
      <c r="CF2827" s="5">
        <v>42675</v>
      </c>
      <c r="CG2827" s="2"/>
      <c r="CH2827" s="2"/>
      <c r="CI2827" s="2">
        <v>1</v>
      </c>
      <c r="CJ2827" s="2">
        <v>1</v>
      </c>
      <c r="CK2827" s="2">
        <v>21</v>
      </c>
      <c r="CL2827" s="2" t="s">
        <v>88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"FES1162510063"</f>
        <v>FES1162510063</v>
      </c>
      <c r="F2828" s="3">
        <v>42671</v>
      </c>
      <c r="G2828" s="2">
        <v>201704</v>
      </c>
      <c r="H2828" s="2" t="s">
        <v>74</v>
      </c>
      <c r="I2828" s="2" t="s">
        <v>75</v>
      </c>
      <c r="J2828" s="2" t="s">
        <v>76</v>
      </c>
      <c r="K2828" s="2" t="s">
        <v>77</v>
      </c>
      <c r="L2828" s="2" t="s">
        <v>160</v>
      </c>
      <c r="M2828" s="2" t="s">
        <v>161</v>
      </c>
      <c r="N2828" s="2" t="s">
        <v>2600</v>
      </c>
      <c r="O2828" s="2" t="s">
        <v>96</v>
      </c>
      <c r="P2828" s="2" t="str">
        <f>"2170533181                    "</f>
        <v xml:space="preserve">2170533181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3.32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1</v>
      </c>
      <c r="BJ2828" s="2">
        <v>0.3</v>
      </c>
      <c r="BK2828" s="2">
        <v>1</v>
      </c>
      <c r="BL2828" s="2">
        <v>40.76</v>
      </c>
      <c r="BM2828" s="2">
        <v>5.71</v>
      </c>
      <c r="BN2828" s="2">
        <v>46.47</v>
      </c>
      <c r="BO2828" s="2">
        <v>46.47</v>
      </c>
      <c r="BP2828" s="2"/>
      <c r="BQ2828" s="2" t="s">
        <v>2468</v>
      </c>
      <c r="BR2828" s="2" t="s">
        <v>83</v>
      </c>
      <c r="BS2828" s="3">
        <v>42677</v>
      </c>
      <c r="BT2828" s="4">
        <v>0.41666666666666669</v>
      </c>
      <c r="BU2828" s="2" t="s">
        <v>2601</v>
      </c>
      <c r="BV2828" s="2" t="s">
        <v>88</v>
      </c>
      <c r="BW2828" s="2" t="s">
        <v>277</v>
      </c>
      <c r="BX2828" s="2" t="s">
        <v>2399</v>
      </c>
      <c r="BY2828" s="2">
        <v>1496</v>
      </c>
      <c r="BZ2828" s="2"/>
      <c r="CA2828" s="2" t="s">
        <v>129</v>
      </c>
      <c r="CB2828" s="2"/>
      <c r="CC2828" s="2" t="s">
        <v>161</v>
      </c>
      <c r="CD2828" s="2">
        <v>7460</v>
      </c>
      <c r="CE2828" s="2" t="s">
        <v>108</v>
      </c>
      <c r="CF2828" s="2"/>
      <c r="CG2828" s="2"/>
      <c r="CH2828" s="2"/>
      <c r="CI2828" s="2">
        <v>1</v>
      </c>
      <c r="CJ2828" s="2">
        <v>4</v>
      </c>
      <c r="CK2828" s="2">
        <v>21</v>
      </c>
      <c r="CL2828" s="2" t="s">
        <v>88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"FES1162510061"</f>
        <v>FES1162510061</v>
      </c>
      <c r="F2829" s="3">
        <v>42671</v>
      </c>
      <c r="G2829" s="2">
        <v>201704</v>
      </c>
      <c r="H2829" s="2" t="s">
        <v>74</v>
      </c>
      <c r="I2829" s="2" t="s">
        <v>75</v>
      </c>
      <c r="J2829" s="2" t="s">
        <v>76</v>
      </c>
      <c r="K2829" s="2" t="s">
        <v>77</v>
      </c>
      <c r="L2829" s="2" t="s">
        <v>160</v>
      </c>
      <c r="M2829" s="2" t="s">
        <v>161</v>
      </c>
      <c r="N2829" s="2" t="s">
        <v>2462</v>
      </c>
      <c r="O2829" s="2" t="s">
        <v>96</v>
      </c>
      <c r="P2829" s="2" t="str">
        <f>"2170532856                    "</f>
        <v xml:space="preserve">2170532856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3.32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0.5</v>
      </c>
      <c r="BJ2829" s="2">
        <v>0.2</v>
      </c>
      <c r="BK2829" s="2">
        <v>0.5</v>
      </c>
      <c r="BL2829" s="2">
        <v>40.76</v>
      </c>
      <c r="BM2829" s="2">
        <v>5.71</v>
      </c>
      <c r="BN2829" s="2">
        <v>46.47</v>
      </c>
      <c r="BO2829" s="2">
        <v>46.47</v>
      </c>
      <c r="BP2829" s="2"/>
      <c r="BQ2829" s="2" t="s">
        <v>168</v>
      </c>
      <c r="BR2829" s="2" t="s">
        <v>83</v>
      </c>
      <c r="BS2829" s="3">
        <v>42674</v>
      </c>
      <c r="BT2829" s="4">
        <v>0.375</v>
      </c>
      <c r="BU2829" s="2" t="s">
        <v>2602</v>
      </c>
      <c r="BV2829" s="2" t="s">
        <v>85</v>
      </c>
      <c r="BW2829" s="2"/>
      <c r="BX2829" s="2"/>
      <c r="BY2829" s="2">
        <v>1200</v>
      </c>
      <c r="BZ2829" s="2"/>
      <c r="CA2829" s="2"/>
      <c r="CB2829" s="2"/>
      <c r="CC2829" s="2" t="s">
        <v>161</v>
      </c>
      <c r="CD2829" s="2">
        <v>7780</v>
      </c>
      <c r="CE2829" s="2" t="s">
        <v>108</v>
      </c>
      <c r="CF2829" s="5">
        <v>42675</v>
      </c>
      <c r="CG2829" s="2"/>
      <c r="CH2829" s="2"/>
      <c r="CI2829" s="2">
        <v>1</v>
      </c>
      <c r="CJ2829" s="2">
        <v>1</v>
      </c>
      <c r="CK2829" s="2">
        <v>21</v>
      </c>
      <c r="CL2829" s="2" t="s">
        <v>88</v>
      </c>
      <c r="CM2829" s="2"/>
    </row>
    <row r="2830" spans="1:91">
      <c r="A2830" s="2" t="s">
        <v>71</v>
      </c>
      <c r="B2830" s="2" t="s">
        <v>72</v>
      </c>
      <c r="C2830" s="2" t="s">
        <v>73</v>
      </c>
      <c r="D2830" s="2"/>
      <c r="E2830" s="2" t="str">
        <f>"FES1162510005"</f>
        <v>FES1162510005</v>
      </c>
      <c r="F2830" s="3">
        <v>42671</v>
      </c>
      <c r="G2830" s="2">
        <v>201704</v>
      </c>
      <c r="H2830" s="2" t="s">
        <v>74</v>
      </c>
      <c r="I2830" s="2" t="s">
        <v>75</v>
      </c>
      <c r="J2830" s="2" t="s">
        <v>76</v>
      </c>
      <c r="K2830" s="2" t="s">
        <v>77</v>
      </c>
      <c r="L2830" s="2" t="s">
        <v>160</v>
      </c>
      <c r="M2830" s="2" t="s">
        <v>161</v>
      </c>
      <c r="N2830" s="2" t="s">
        <v>455</v>
      </c>
      <c r="O2830" s="2" t="s">
        <v>96</v>
      </c>
      <c r="P2830" s="2" t="str">
        <f>"2170531410                    "</f>
        <v xml:space="preserve">2170531410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12.44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7.2</v>
      </c>
      <c r="BJ2830" s="2">
        <v>5.5</v>
      </c>
      <c r="BK2830" s="2">
        <v>7.5</v>
      </c>
      <c r="BL2830" s="2">
        <v>152.84</v>
      </c>
      <c r="BM2830" s="2">
        <v>21.4</v>
      </c>
      <c r="BN2830" s="2">
        <v>174.24</v>
      </c>
      <c r="BO2830" s="2">
        <v>174.24</v>
      </c>
      <c r="BP2830" s="2"/>
      <c r="BQ2830" s="2" t="s">
        <v>82</v>
      </c>
      <c r="BR2830" s="2" t="s">
        <v>83</v>
      </c>
      <c r="BS2830" s="3">
        <v>42674</v>
      </c>
      <c r="BT2830" s="4">
        <v>0.39652777777777781</v>
      </c>
      <c r="BU2830" s="2" t="s">
        <v>2603</v>
      </c>
      <c r="BV2830" s="2" t="s">
        <v>85</v>
      </c>
      <c r="BW2830" s="2"/>
      <c r="BX2830" s="2"/>
      <c r="BY2830" s="2">
        <v>27560.74</v>
      </c>
      <c r="BZ2830" s="2"/>
      <c r="CA2830" s="2" t="s">
        <v>933</v>
      </c>
      <c r="CB2830" s="2"/>
      <c r="CC2830" s="2" t="s">
        <v>161</v>
      </c>
      <c r="CD2830" s="2">
        <v>7460</v>
      </c>
      <c r="CE2830" s="2" t="s">
        <v>86</v>
      </c>
      <c r="CF2830" s="5">
        <v>42674</v>
      </c>
      <c r="CG2830" s="2"/>
      <c r="CH2830" s="2"/>
      <c r="CI2830" s="2">
        <v>1</v>
      </c>
      <c r="CJ2830" s="2">
        <v>1</v>
      </c>
      <c r="CK2830" s="2">
        <v>21</v>
      </c>
      <c r="CL2830" s="2" t="s">
        <v>88</v>
      </c>
      <c r="CM2830" s="2"/>
    </row>
    <row r="2831" spans="1:91">
      <c r="A2831" s="2" t="s">
        <v>71</v>
      </c>
      <c r="B2831" s="2" t="s">
        <v>72</v>
      </c>
      <c r="C2831" s="2" t="s">
        <v>73</v>
      </c>
      <c r="D2831" s="2"/>
      <c r="E2831" s="2" t="str">
        <f>"FES1162510050"</f>
        <v>FES1162510050</v>
      </c>
      <c r="F2831" s="3">
        <v>42671</v>
      </c>
      <c r="G2831" s="2">
        <v>201704</v>
      </c>
      <c r="H2831" s="2" t="s">
        <v>74</v>
      </c>
      <c r="I2831" s="2" t="s">
        <v>75</v>
      </c>
      <c r="J2831" s="2" t="s">
        <v>76</v>
      </c>
      <c r="K2831" s="2" t="s">
        <v>77</v>
      </c>
      <c r="L2831" s="2" t="s">
        <v>153</v>
      </c>
      <c r="M2831" s="2" t="s">
        <v>153</v>
      </c>
      <c r="N2831" s="2" t="s">
        <v>501</v>
      </c>
      <c r="O2831" s="2" t="s">
        <v>96</v>
      </c>
      <c r="P2831" s="2" t="str">
        <f>"2170531414                    "</f>
        <v xml:space="preserve">2170531414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6.63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3.6</v>
      </c>
      <c r="BJ2831" s="2">
        <v>1.7</v>
      </c>
      <c r="BK2831" s="2">
        <v>4</v>
      </c>
      <c r="BL2831" s="2">
        <v>81.510000000000005</v>
      </c>
      <c r="BM2831" s="2">
        <v>11.41</v>
      </c>
      <c r="BN2831" s="2">
        <v>92.92</v>
      </c>
      <c r="BO2831" s="2">
        <v>92.92</v>
      </c>
      <c r="BP2831" s="2"/>
      <c r="BQ2831" s="2" t="s">
        <v>82</v>
      </c>
      <c r="BR2831" s="2" t="s">
        <v>83</v>
      </c>
      <c r="BS2831" s="3">
        <v>42674</v>
      </c>
      <c r="BT2831" s="4">
        <v>0.55486111111111114</v>
      </c>
      <c r="BU2831" s="2" t="s">
        <v>1486</v>
      </c>
      <c r="BV2831" s="2" t="s">
        <v>85</v>
      </c>
      <c r="BW2831" s="2"/>
      <c r="BX2831" s="2"/>
      <c r="BY2831" s="2">
        <v>8591.0400000000009</v>
      </c>
      <c r="BZ2831" s="2"/>
      <c r="CA2831" s="2"/>
      <c r="CB2831" s="2"/>
      <c r="CC2831" s="2" t="s">
        <v>153</v>
      </c>
      <c r="CD2831" s="2">
        <v>7620</v>
      </c>
      <c r="CE2831" s="2" t="s">
        <v>86</v>
      </c>
      <c r="CF2831" s="5">
        <v>42675</v>
      </c>
      <c r="CG2831" s="2"/>
      <c r="CH2831" s="2"/>
      <c r="CI2831" s="2">
        <v>1</v>
      </c>
      <c r="CJ2831" s="2">
        <v>1</v>
      </c>
      <c r="CK2831" s="2">
        <v>21</v>
      </c>
      <c r="CL2831" s="2" t="s">
        <v>88</v>
      </c>
      <c r="CM2831" s="2"/>
    </row>
    <row r="2832" spans="1:91">
      <c r="A2832" s="2" t="s">
        <v>71</v>
      </c>
      <c r="B2832" s="2" t="s">
        <v>72</v>
      </c>
      <c r="C2832" s="2" t="s">
        <v>73</v>
      </c>
      <c r="D2832" s="2"/>
      <c r="E2832" s="2" t="str">
        <f>"FES1162509974"</f>
        <v>FES1162509974</v>
      </c>
      <c r="F2832" s="3">
        <v>42671</v>
      </c>
      <c r="G2832" s="2">
        <v>201704</v>
      </c>
      <c r="H2832" s="2" t="s">
        <v>74</v>
      </c>
      <c r="I2832" s="2" t="s">
        <v>75</v>
      </c>
      <c r="J2832" s="2" t="s">
        <v>76</v>
      </c>
      <c r="K2832" s="2" t="s">
        <v>77</v>
      </c>
      <c r="L2832" s="2" t="s">
        <v>1954</v>
      </c>
      <c r="M2832" s="2" t="s">
        <v>1955</v>
      </c>
      <c r="N2832" s="2" t="s">
        <v>1956</v>
      </c>
      <c r="O2832" s="2" t="s">
        <v>96</v>
      </c>
      <c r="P2832" s="2" t="str">
        <f>"2170530544                    "</f>
        <v xml:space="preserve">2170530544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23.84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8</v>
      </c>
      <c r="BJ2832" s="2">
        <v>2.9</v>
      </c>
      <c r="BK2832" s="2">
        <v>8</v>
      </c>
      <c r="BL2832" s="2">
        <v>292.94</v>
      </c>
      <c r="BM2832" s="2">
        <v>41.01</v>
      </c>
      <c r="BN2832" s="2">
        <v>333.95</v>
      </c>
      <c r="BO2832" s="2">
        <v>333.95</v>
      </c>
      <c r="BP2832" s="2"/>
      <c r="BQ2832" s="2" t="s">
        <v>1981</v>
      </c>
      <c r="BR2832" s="2" t="s">
        <v>83</v>
      </c>
      <c r="BS2832" s="3">
        <v>42674</v>
      </c>
      <c r="BT2832" s="4">
        <v>0.45833333333333331</v>
      </c>
      <c r="BU2832" s="2" t="s">
        <v>554</v>
      </c>
      <c r="BV2832" s="2" t="s">
        <v>85</v>
      </c>
      <c r="BW2832" s="2"/>
      <c r="BX2832" s="2"/>
      <c r="BY2832" s="2">
        <v>14560</v>
      </c>
      <c r="BZ2832" s="2"/>
      <c r="CA2832" s="2"/>
      <c r="CB2832" s="2"/>
      <c r="CC2832" s="2" t="s">
        <v>1955</v>
      </c>
      <c r="CD2832" s="2">
        <v>4252</v>
      </c>
      <c r="CE2832" s="2" t="s">
        <v>86</v>
      </c>
      <c r="CF2832" s="5">
        <v>42675</v>
      </c>
      <c r="CG2832" s="2"/>
      <c r="CH2832" s="2"/>
      <c r="CI2832" s="2">
        <v>1</v>
      </c>
      <c r="CJ2832" s="2">
        <v>1</v>
      </c>
      <c r="CK2832" s="2">
        <v>23</v>
      </c>
      <c r="CL2832" s="2" t="s">
        <v>88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"FES1162510064"</f>
        <v>FES1162510064</v>
      </c>
      <c r="F2833" s="3">
        <v>42671</v>
      </c>
      <c r="G2833" s="2">
        <v>201704</v>
      </c>
      <c r="H2833" s="2" t="s">
        <v>74</v>
      </c>
      <c r="I2833" s="2" t="s">
        <v>75</v>
      </c>
      <c r="J2833" s="2" t="s">
        <v>76</v>
      </c>
      <c r="K2833" s="2" t="s">
        <v>77</v>
      </c>
      <c r="L2833" s="2" t="s">
        <v>148</v>
      </c>
      <c r="M2833" s="2" t="s">
        <v>149</v>
      </c>
      <c r="N2833" s="2" t="s">
        <v>473</v>
      </c>
      <c r="O2833" s="2" t="s">
        <v>96</v>
      </c>
      <c r="P2833" s="2" t="str">
        <f>"2170533184                    "</f>
        <v xml:space="preserve">2170533184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3.32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0.5</v>
      </c>
      <c r="BJ2833" s="2">
        <v>0.2</v>
      </c>
      <c r="BK2833" s="2">
        <v>0.5</v>
      </c>
      <c r="BL2833" s="2">
        <v>40.76</v>
      </c>
      <c r="BM2833" s="2">
        <v>5.71</v>
      </c>
      <c r="BN2833" s="2">
        <v>46.47</v>
      </c>
      <c r="BO2833" s="2">
        <v>46.47</v>
      </c>
      <c r="BP2833" s="2"/>
      <c r="BQ2833" s="2" t="s">
        <v>117</v>
      </c>
      <c r="BR2833" s="2" t="s">
        <v>83</v>
      </c>
      <c r="BS2833" s="3">
        <v>42674</v>
      </c>
      <c r="BT2833" s="4">
        <v>0.4375</v>
      </c>
      <c r="BU2833" s="2" t="s">
        <v>1254</v>
      </c>
      <c r="BV2833" s="2" t="s">
        <v>85</v>
      </c>
      <c r="BW2833" s="2"/>
      <c r="BX2833" s="2"/>
      <c r="BY2833" s="2">
        <v>1200</v>
      </c>
      <c r="BZ2833" s="2"/>
      <c r="CA2833" s="2"/>
      <c r="CB2833" s="2"/>
      <c r="CC2833" s="2" t="s">
        <v>149</v>
      </c>
      <c r="CD2833" s="2">
        <v>4052</v>
      </c>
      <c r="CE2833" s="2" t="s">
        <v>108</v>
      </c>
      <c r="CF2833" s="5">
        <v>42675</v>
      </c>
      <c r="CG2833" s="2"/>
      <c r="CH2833" s="2"/>
      <c r="CI2833" s="2">
        <v>1</v>
      </c>
      <c r="CJ2833" s="2">
        <v>1</v>
      </c>
      <c r="CK2833" s="2">
        <v>21</v>
      </c>
      <c r="CL2833" s="2" t="s">
        <v>88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"FES1162510103"</f>
        <v>FES1162510103</v>
      </c>
      <c r="F2834" s="3">
        <v>42671</v>
      </c>
      <c r="G2834" s="2">
        <v>201704</v>
      </c>
      <c r="H2834" s="2" t="s">
        <v>74</v>
      </c>
      <c r="I2834" s="2" t="s">
        <v>75</v>
      </c>
      <c r="J2834" s="2" t="s">
        <v>76</v>
      </c>
      <c r="K2834" s="2" t="s">
        <v>77</v>
      </c>
      <c r="L2834" s="2" t="s">
        <v>269</v>
      </c>
      <c r="M2834" s="2" t="s">
        <v>270</v>
      </c>
      <c r="N2834" s="2" t="s">
        <v>299</v>
      </c>
      <c r="O2834" s="2" t="s">
        <v>96</v>
      </c>
      <c r="P2834" s="2" t="str">
        <f>"2170533230                    "</f>
        <v xml:space="preserve">2170533230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3.32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0.5</v>
      </c>
      <c r="BJ2834" s="2">
        <v>0.2</v>
      </c>
      <c r="BK2834" s="2">
        <v>0.5</v>
      </c>
      <c r="BL2834" s="2">
        <v>40.76</v>
      </c>
      <c r="BM2834" s="2">
        <v>5.71</v>
      </c>
      <c r="BN2834" s="2">
        <v>46.47</v>
      </c>
      <c r="BO2834" s="2">
        <v>46.47</v>
      </c>
      <c r="BP2834" s="2"/>
      <c r="BQ2834" s="2" t="s">
        <v>300</v>
      </c>
      <c r="BR2834" s="2" t="s">
        <v>83</v>
      </c>
      <c r="BS2834" s="3">
        <v>42674</v>
      </c>
      <c r="BT2834" s="4">
        <v>0.4375</v>
      </c>
      <c r="BU2834" s="2" t="s">
        <v>431</v>
      </c>
      <c r="BV2834" s="2" t="s">
        <v>85</v>
      </c>
      <c r="BW2834" s="2"/>
      <c r="BX2834" s="2"/>
      <c r="BY2834" s="2">
        <v>1200</v>
      </c>
      <c r="BZ2834" s="2"/>
      <c r="CA2834" s="2"/>
      <c r="CB2834" s="2"/>
      <c r="CC2834" s="2" t="s">
        <v>270</v>
      </c>
      <c r="CD2834" s="2">
        <v>3610</v>
      </c>
      <c r="CE2834" s="2" t="s">
        <v>108</v>
      </c>
      <c r="CF2834" s="5">
        <v>42675</v>
      </c>
      <c r="CG2834" s="2"/>
      <c r="CH2834" s="2"/>
      <c r="CI2834" s="2">
        <v>1</v>
      </c>
      <c r="CJ2834" s="2">
        <v>1</v>
      </c>
      <c r="CK2834" s="2">
        <v>21</v>
      </c>
      <c r="CL2834" s="2" t="s">
        <v>88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"FES1162510136"</f>
        <v>FES1162510136</v>
      </c>
      <c r="F2835" s="3">
        <v>42671</v>
      </c>
      <c r="G2835" s="2">
        <v>201704</v>
      </c>
      <c r="H2835" s="2" t="s">
        <v>74</v>
      </c>
      <c r="I2835" s="2" t="s">
        <v>75</v>
      </c>
      <c r="J2835" s="2" t="s">
        <v>76</v>
      </c>
      <c r="K2835" s="2" t="s">
        <v>77</v>
      </c>
      <c r="L2835" s="2" t="s">
        <v>93</v>
      </c>
      <c r="M2835" s="2" t="s">
        <v>94</v>
      </c>
      <c r="N2835" s="2" t="s">
        <v>2472</v>
      </c>
      <c r="O2835" s="2" t="s">
        <v>96</v>
      </c>
      <c r="P2835" s="2" t="str">
        <f>"2170532871                    "</f>
        <v xml:space="preserve">2170532871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3.32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0.5</v>
      </c>
      <c r="BJ2835" s="2">
        <v>0.2</v>
      </c>
      <c r="BK2835" s="2">
        <v>0.5</v>
      </c>
      <c r="BL2835" s="2">
        <v>40.76</v>
      </c>
      <c r="BM2835" s="2">
        <v>5.71</v>
      </c>
      <c r="BN2835" s="2">
        <v>46.47</v>
      </c>
      <c r="BO2835" s="2">
        <v>46.47</v>
      </c>
      <c r="BP2835" s="2"/>
      <c r="BQ2835" s="2" t="s">
        <v>2473</v>
      </c>
      <c r="BR2835" s="2" t="s">
        <v>83</v>
      </c>
      <c r="BS2835" s="3">
        <v>42674</v>
      </c>
      <c r="BT2835" s="4">
        <v>0.4375</v>
      </c>
      <c r="BU2835" s="2" t="s">
        <v>2604</v>
      </c>
      <c r="BV2835" s="2" t="s">
        <v>85</v>
      </c>
      <c r="BW2835" s="2"/>
      <c r="BX2835" s="2"/>
      <c r="BY2835" s="2">
        <v>1200</v>
      </c>
      <c r="BZ2835" s="2"/>
      <c r="CA2835" s="2"/>
      <c r="CB2835" s="2"/>
      <c r="CC2835" s="2" t="s">
        <v>94</v>
      </c>
      <c r="CD2835" s="2">
        <v>4302</v>
      </c>
      <c r="CE2835" s="2" t="s">
        <v>108</v>
      </c>
      <c r="CF2835" s="5">
        <v>42675</v>
      </c>
      <c r="CG2835" s="2"/>
      <c r="CH2835" s="2"/>
      <c r="CI2835" s="2">
        <v>1</v>
      </c>
      <c r="CJ2835" s="2">
        <v>1</v>
      </c>
      <c r="CK2835" s="2">
        <v>21</v>
      </c>
      <c r="CL2835" s="2" t="s">
        <v>88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"FES1162510101"</f>
        <v>FES1162510101</v>
      </c>
      <c r="F2836" s="3">
        <v>42671</v>
      </c>
      <c r="G2836" s="2">
        <v>201704</v>
      </c>
      <c r="H2836" s="2" t="s">
        <v>74</v>
      </c>
      <c r="I2836" s="2" t="s">
        <v>75</v>
      </c>
      <c r="J2836" s="2" t="s">
        <v>76</v>
      </c>
      <c r="K2836" s="2" t="s">
        <v>77</v>
      </c>
      <c r="L2836" s="2" t="s">
        <v>137</v>
      </c>
      <c r="M2836" s="2" t="s">
        <v>138</v>
      </c>
      <c r="N2836" s="2" t="s">
        <v>139</v>
      </c>
      <c r="O2836" s="2" t="s">
        <v>96</v>
      </c>
      <c r="P2836" s="2" t="str">
        <f>"2170533226                    "</f>
        <v xml:space="preserve">2170533226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3.32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0.5</v>
      </c>
      <c r="BJ2836" s="2">
        <v>0.2</v>
      </c>
      <c r="BK2836" s="2">
        <v>0.5</v>
      </c>
      <c r="BL2836" s="2">
        <v>40.76</v>
      </c>
      <c r="BM2836" s="2">
        <v>5.71</v>
      </c>
      <c r="BN2836" s="2">
        <v>46.47</v>
      </c>
      <c r="BO2836" s="2">
        <v>46.47</v>
      </c>
      <c r="BP2836" s="2"/>
      <c r="BQ2836" s="2" t="s">
        <v>140</v>
      </c>
      <c r="BR2836" s="2" t="s">
        <v>83</v>
      </c>
      <c r="BS2836" s="3">
        <v>42674</v>
      </c>
      <c r="BT2836" s="4">
        <v>0.35416666666666669</v>
      </c>
      <c r="BU2836" s="2" t="s">
        <v>708</v>
      </c>
      <c r="BV2836" s="2"/>
      <c r="BW2836" s="2"/>
      <c r="BX2836" s="2"/>
      <c r="BY2836" s="2">
        <v>1200</v>
      </c>
      <c r="BZ2836" s="2"/>
      <c r="CA2836" s="2" t="s">
        <v>170</v>
      </c>
      <c r="CB2836" s="2"/>
      <c r="CC2836" s="2" t="s">
        <v>138</v>
      </c>
      <c r="CD2836" s="2">
        <v>3201</v>
      </c>
      <c r="CE2836" s="2" t="s">
        <v>108</v>
      </c>
      <c r="CF2836" s="5">
        <v>42674</v>
      </c>
      <c r="CG2836" s="2"/>
      <c r="CH2836" s="2"/>
      <c r="CI2836" s="2">
        <v>0</v>
      </c>
      <c r="CJ2836" s="2">
        <v>0</v>
      </c>
      <c r="CK2836" s="2">
        <v>21</v>
      </c>
      <c r="CL2836" s="2" t="s">
        <v>88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"FES1162510138"</f>
        <v>FES1162510138</v>
      </c>
      <c r="F2837" s="3">
        <v>42671</v>
      </c>
      <c r="G2837" s="2">
        <v>201704</v>
      </c>
      <c r="H2837" s="2" t="s">
        <v>74</v>
      </c>
      <c r="I2837" s="2" t="s">
        <v>75</v>
      </c>
      <c r="J2837" s="2" t="s">
        <v>76</v>
      </c>
      <c r="K2837" s="2" t="s">
        <v>77</v>
      </c>
      <c r="L2837" s="2" t="s">
        <v>269</v>
      </c>
      <c r="M2837" s="2" t="s">
        <v>270</v>
      </c>
      <c r="N2837" s="2" t="s">
        <v>1720</v>
      </c>
      <c r="O2837" s="2" t="s">
        <v>96</v>
      </c>
      <c r="P2837" s="2" t="str">
        <f>"2170532950                    "</f>
        <v xml:space="preserve">2170532950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3.32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0.5</v>
      </c>
      <c r="BJ2837" s="2">
        <v>0.2</v>
      </c>
      <c r="BK2837" s="2">
        <v>0.5</v>
      </c>
      <c r="BL2837" s="2">
        <v>40.76</v>
      </c>
      <c r="BM2837" s="2">
        <v>5.71</v>
      </c>
      <c r="BN2837" s="2">
        <v>46.47</v>
      </c>
      <c r="BO2837" s="2">
        <v>46.47</v>
      </c>
      <c r="BP2837" s="2"/>
      <c r="BQ2837" s="2" t="s">
        <v>91</v>
      </c>
      <c r="BR2837" s="2" t="s">
        <v>83</v>
      </c>
      <c r="BS2837" s="3">
        <v>42674</v>
      </c>
      <c r="BT2837" s="4">
        <v>0.4375</v>
      </c>
      <c r="BU2837" s="2" t="s">
        <v>1786</v>
      </c>
      <c r="BV2837" s="2" t="s">
        <v>85</v>
      </c>
      <c r="BW2837" s="2"/>
      <c r="BX2837" s="2"/>
      <c r="BY2837" s="2">
        <v>1200</v>
      </c>
      <c r="BZ2837" s="2"/>
      <c r="CA2837" s="2"/>
      <c r="CB2837" s="2"/>
      <c r="CC2837" s="2" t="s">
        <v>270</v>
      </c>
      <c r="CD2837" s="2">
        <v>3610</v>
      </c>
      <c r="CE2837" s="2" t="s">
        <v>108</v>
      </c>
      <c r="CF2837" s="5">
        <v>42675</v>
      </c>
      <c r="CG2837" s="2"/>
      <c r="CH2837" s="2"/>
      <c r="CI2837" s="2">
        <v>1</v>
      </c>
      <c r="CJ2837" s="2">
        <v>1</v>
      </c>
      <c r="CK2837" s="2">
        <v>21</v>
      </c>
      <c r="CL2837" s="2" t="s">
        <v>88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"FES1162510149"</f>
        <v>FES1162510149</v>
      </c>
      <c r="F2838" s="3">
        <v>42671</v>
      </c>
      <c r="G2838" s="2">
        <v>201704</v>
      </c>
      <c r="H2838" s="2" t="s">
        <v>74</v>
      </c>
      <c r="I2838" s="2" t="s">
        <v>75</v>
      </c>
      <c r="J2838" s="2" t="s">
        <v>76</v>
      </c>
      <c r="K2838" s="2" t="s">
        <v>77</v>
      </c>
      <c r="L2838" s="2" t="s">
        <v>93</v>
      </c>
      <c r="M2838" s="2" t="s">
        <v>94</v>
      </c>
      <c r="N2838" s="2" t="s">
        <v>536</v>
      </c>
      <c r="O2838" s="2" t="s">
        <v>96</v>
      </c>
      <c r="P2838" s="2" t="str">
        <f>"2170533233                    "</f>
        <v xml:space="preserve">2170533233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3.32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1</v>
      </c>
      <c r="BI2838" s="2">
        <v>0.5</v>
      </c>
      <c r="BJ2838" s="2">
        <v>0.2</v>
      </c>
      <c r="BK2838" s="2">
        <v>0.5</v>
      </c>
      <c r="BL2838" s="2">
        <v>40.76</v>
      </c>
      <c r="BM2838" s="2">
        <v>5.71</v>
      </c>
      <c r="BN2838" s="2">
        <v>46.47</v>
      </c>
      <c r="BO2838" s="2">
        <v>46.47</v>
      </c>
      <c r="BP2838" s="2"/>
      <c r="BQ2838" s="2" t="s">
        <v>537</v>
      </c>
      <c r="BR2838" s="2" t="s">
        <v>83</v>
      </c>
      <c r="BS2838" s="3">
        <v>42674</v>
      </c>
      <c r="BT2838" s="4">
        <v>0.38541666666666669</v>
      </c>
      <c r="BU2838" s="2" t="s">
        <v>852</v>
      </c>
      <c r="BV2838" s="2" t="s">
        <v>85</v>
      </c>
      <c r="BW2838" s="2"/>
      <c r="BX2838" s="2"/>
      <c r="BY2838" s="2">
        <v>1200</v>
      </c>
      <c r="BZ2838" s="2"/>
      <c r="CA2838" s="2"/>
      <c r="CB2838" s="2"/>
      <c r="CC2838" s="2" t="s">
        <v>94</v>
      </c>
      <c r="CD2838" s="2">
        <v>4300</v>
      </c>
      <c r="CE2838" s="2" t="s">
        <v>108</v>
      </c>
      <c r="CF2838" s="5">
        <v>42675</v>
      </c>
      <c r="CG2838" s="2"/>
      <c r="CH2838" s="2"/>
      <c r="CI2838" s="2">
        <v>1</v>
      </c>
      <c r="CJ2838" s="2">
        <v>1</v>
      </c>
      <c r="CK2838" s="2">
        <v>21</v>
      </c>
      <c r="CL2838" s="2" t="s">
        <v>88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"FES1162510162"</f>
        <v>FES1162510162</v>
      </c>
      <c r="F2839" s="3">
        <v>42671</v>
      </c>
      <c r="G2839" s="2">
        <v>201704</v>
      </c>
      <c r="H2839" s="2" t="s">
        <v>74</v>
      </c>
      <c r="I2839" s="2" t="s">
        <v>75</v>
      </c>
      <c r="J2839" s="2" t="s">
        <v>76</v>
      </c>
      <c r="K2839" s="2" t="s">
        <v>77</v>
      </c>
      <c r="L2839" s="2" t="s">
        <v>160</v>
      </c>
      <c r="M2839" s="2" t="s">
        <v>161</v>
      </c>
      <c r="N2839" s="2" t="s">
        <v>236</v>
      </c>
      <c r="O2839" s="2" t="s">
        <v>96</v>
      </c>
      <c r="P2839" s="2" t="str">
        <f>"2170533270                    "</f>
        <v xml:space="preserve">2170533270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14.93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5.6</v>
      </c>
      <c r="BJ2839" s="2">
        <v>9</v>
      </c>
      <c r="BK2839" s="2">
        <v>9</v>
      </c>
      <c r="BL2839" s="2">
        <v>183.41</v>
      </c>
      <c r="BM2839" s="2">
        <v>25.68</v>
      </c>
      <c r="BN2839" s="2">
        <v>209.09</v>
      </c>
      <c r="BO2839" s="2">
        <v>209.09</v>
      </c>
      <c r="BP2839" s="2"/>
      <c r="BQ2839" s="2" t="s">
        <v>237</v>
      </c>
      <c r="BR2839" s="2" t="s">
        <v>83</v>
      </c>
      <c r="BS2839" s="3">
        <v>42674</v>
      </c>
      <c r="BT2839" s="4">
        <v>0.41666666666666669</v>
      </c>
      <c r="BU2839" s="2" t="s">
        <v>238</v>
      </c>
      <c r="BV2839" s="2" t="s">
        <v>85</v>
      </c>
      <c r="BW2839" s="2"/>
      <c r="BX2839" s="2"/>
      <c r="BY2839" s="2">
        <v>45097.29</v>
      </c>
      <c r="BZ2839" s="2"/>
      <c r="CA2839" s="2"/>
      <c r="CB2839" s="2"/>
      <c r="CC2839" s="2" t="s">
        <v>161</v>
      </c>
      <c r="CD2839" s="2">
        <v>7405</v>
      </c>
      <c r="CE2839" s="2" t="s">
        <v>86</v>
      </c>
      <c r="CF2839" s="5">
        <v>42675</v>
      </c>
      <c r="CG2839" s="2"/>
      <c r="CH2839" s="2"/>
      <c r="CI2839" s="2">
        <v>1</v>
      </c>
      <c r="CJ2839" s="2">
        <v>1</v>
      </c>
      <c r="CK2839" s="2">
        <v>21</v>
      </c>
      <c r="CL2839" s="2" t="s">
        <v>88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"FES1162510011"</f>
        <v>FES1162510011</v>
      </c>
      <c r="F2840" s="3">
        <v>42671</v>
      </c>
      <c r="G2840" s="2">
        <v>201704</v>
      </c>
      <c r="H2840" s="2" t="s">
        <v>74</v>
      </c>
      <c r="I2840" s="2" t="s">
        <v>75</v>
      </c>
      <c r="J2840" s="2" t="s">
        <v>76</v>
      </c>
      <c r="K2840" s="2" t="s">
        <v>77</v>
      </c>
      <c r="L2840" s="2" t="s">
        <v>160</v>
      </c>
      <c r="M2840" s="2" t="s">
        <v>161</v>
      </c>
      <c r="N2840" s="2" t="s">
        <v>279</v>
      </c>
      <c r="O2840" s="2" t="s">
        <v>96</v>
      </c>
      <c r="P2840" s="2" t="str">
        <f>"2170532169                    "</f>
        <v xml:space="preserve">2170532169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4.1500000000000004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2.2000000000000002</v>
      </c>
      <c r="BJ2840" s="2">
        <v>1</v>
      </c>
      <c r="BK2840" s="2">
        <v>2.5</v>
      </c>
      <c r="BL2840" s="2">
        <v>50.95</v>
      </c>
      <c r="BM2840" s="2">
        <v>7.13</v>
      </c>
      <c r="BN2840" s="2">
        <v>58.08</v>
      </c>
      <c r="BO2840" s="2">
        <v>58.08</v>
      </c>
      <c r="BP2840" s="2"/>
      <c r="BQ2840" s="2" t="s">
        <v>280</v>
      </c>
      <c r="BR2840" s="2" t="s">
        <v>83</v>
      </c>
      <c r="BS2840" s="3">
        <v>42674</v>
      </c>
      <c r="BT2840" s="4">
        <v>0.41666666666666669</v>
      </c>
      <c r="BU2840" s="2" t="s">
        <v>2192</v>
      </c>
      <c r="BV2840" s="2" t="s">
        <v>85</v>
      </c>
      <c r="BW2840" s="2"/>
      <c r="BX2840" s="2"/>
      <c r="BY2840" s="2">
        <v>5193.7700000000004</v>
      </c>
      <c r="BZ2840" s="2"/>
      <c r="CA2840" s="2"/>
      <c r="CB2840" s="2"/>
      <c r="CC2840" s="2" t="s">
        <v>161</v>
      </c>
      <c r="CD2840" s="2">
        <v>7441</v>
      </c>
      <c r="CE2840" s="2" t="s">
        <v>86</v>
      </c>
      <c r="CF2840" s="5">
        <v>42675</v>
      </c>
      <c r="CG2840" s="2"/>
      <c r="CH2840" s="2"/>
      <c r="CI2840" s="2">
        <v>1</v>
      </c>
      <c r="CJ2840" s="2">
        <v>1</v>
      </c>
      <c r="CK2840" s="2">
        <v>21</v>
      </c>
      <c r="CL2840" s="2" t="s">
        <v>88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"FES1162510016"</f>
        <v>FES1162510016</v>
      </c>
      <c r="F2841" s="3">
        <v>42671</v>
      </c>
      <c r="G2841" s="2">
        <v>201704</v>
      </c>
      <c r="H2841" s="2" t="s">
        <v>74</v>
      </c>
      <c r="I2841" s="2" t="s">
        <v>75</v>
      </c>
      <c r="J2841" s="2" t="s">
        <v>76</v>
      </c>
      <c r="K2841" s="2" t="s">
        <v>77</v>
      </c>
      <c r="L2841" s="2" t="s">
        <v>160</v>
      </c>
      <c r="M2841" s="2" t="s">
        <v>161</v>
      </c>
      <c r="N2841" s="2" t="s">
        <v>279</v>
      </c>
      <c r="O2841" s="2" t="s">
        <v>96</v>
      </c>
      <c r="P2841" s="2" t="str">
        <f>"2170532442                    "</f>
        <v xml:space="preserve">2170532442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3.32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1</v>
      </c>
      <c r="BJ2841" s="2">
        <v>0.2</v>
      </c>
      <c r="BK2841" s="2">
        <v>1</v>
      </c>
      <c r="BL2841" s="2">
        <v>40.76</v>
      </c>
      <c r="BM2841" s="2">
        <v>5.71</v>
      </c>
      <c r="BN2841" s="2">
        <v>46.47</v>
      </c>
      <c r="BO2841" s="2">
        <v>46.47</v>
      </c>
      <c r="BP2841" s="2"/>
      <c r="BQ2841" s="2" t="s">
        <v>280</v>
      </c>
      <c r="BR2841" s="2" t="s">
        <v>83</v>
      </c>
      <c r="BS2841" s="3">
        <v>42674</v>
      </c>
      <c r="BT2841" s="4">
        <v>0.41666666666666669</v>
      </c>
      <c r="BU2841" s="2" t="s">
        <v>2192</v>
      </c>
      <c r="BV2841" s="2" t="s">
        <v>85</v>
      </c>
      <c r="BW2841" s="2"/>
      <c r="BX2841" s="2"/>
      <c r="BY2841" s="2">
        <v>1200</v>
      </c>
      <c r="BZ2841" s="2"/>
      <c r="CA2841" s="2"/>
      <c r="CB2841" s="2"/>
      <c r="CC2841" s="2" t="s">
        <v>161</v>
      </c>
      <c r="CD2841" s="2">
        <v>7441</v>
      </c>
      <c r="CE2841" s="2" t="s">
        <v>108</v>
      </c>
      <c r="CF2841" s="5">
        <v>42675</v>
      </c>
      <c r="CG2841" s="2"/>
      <c r="CH2841" s="2"/>
      <c r="CI2841" s="2">
        <v>1</v>
      </c>
      <c r="CJ2841" s="2">
        <v>1</v>
      </c>
      <c r="CK2841" s="2">
        <v>21</v>
      </c>
      <c r="CL2841" s="2" t="s">
        <v>88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"FES1162509961"</f>
        <v>FES1162509961</v>
      </c>
      <c r="F2842" s="3">
        <v>42671</v>
      </c>
      <c r="G2842" s="2">
        <v>201704</v>
      </c>
      <c r="H2842" s="2" t="s">
        <v>74</v>
      </c>
      <c r="I2842" s="2" t="s">
        <v>75</v>
      </c>
      <c r="J2842" s="2" t="s">
        <v>76</v>
      </c>
      <c r="K2842" s="2" t="s">
        <v>77</v>
      </c>
      <c r="L2842" s="2" t="s">
        <v>160</v>
      </c>
      <c r="M2842" s="2" t="s">
        <v>161</v>
      </c>
      <c r="N2842" s="2" t="s">
        <v>2605</v>
      </c>
      <c r="O2842" s="2" t="s">
        <v>96</v>
      </c>
      <c r="P2842" s="2" t="str">
        <f>"2170533040                    "</f>
        <v xml:space="preserve">2170533040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3.32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0.2</v>
      </c>
      <c r="BJ2842" s="2">
        <v>1.7</v>
      </c>
      <c r="BK2842" s="2">
        <v>2</v>
      </c>
      <c r="BL2842" s="2">
        <v>40.76</v>
      </c>
      <c r="BM2842" s="2">
        <v>5.71</v>
      </c>
      <c r="BN2842" s="2">
        <v>46.47</v>
      </c>
      <c r="BO2842" s="2">
        <v>46.47</v>
      </c>
      <c r="BP2842" s="2"/>
      <c r="BQ2842" s="2" t="s">
        <v>2606</v>
      </c>
      <c r="BR2842" s="2" t="s">
        <v>83</v>
      </c>
      <c r="BS2842" s="3">
        <v>42674</v>
      </c>
      <c r="BT2842" s="4">
        <v>0.40972222222222227</v>
      </c>
      <c r="BU2842" s="2" t="s">
        <v>2607</v>
      </c>
      <c r="BV2842" s="2" t="s">
        <v>85</v>
      </c>
      <c r="BW2842" s="2"/>
      <c r="BX2842" s="2"/>
      <c r="BY2842" s="2">
        <v>8447.01</v>
      </c>
      <c r="BZ2842" s="2"/>
      <c r="CA2842" s="2" t="s">
        <v>129</v>
      </c>
      <c r="CB2842" s="2"/>
      <c r="CC2842" s="2" t="s">
        <v>161</v>
      </c>
      <c r="CD2842" s="2">
        <v>7800</v>
      </c>
      <c r="CE2842" s="2" t="s">
        <v>108</v>
      </c>
      <c r="CF2842" s="5">
        <v>42675</v>
      </c>
      <c r="CG2842" s="2"/>
      <c r="CH2842" s="2"/>
      <c r="CI2842" s="2">
        <v>1</v>
      </c>
      <c r="CJ2842" s="2">
        <v>1</v>
      </c>
      <c r="CK2842" s="2">
        <v>21</v>
      </c>
      <c r="CL2842" s="2" t="s">
        <v>88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"FES1162510007"</f>
        <v>FES1162510007</v>
      </c>
      <c r="F2843" s="3">
        <v>42671</v>
      </c>
      <c r="G2843" s="2">
        <v>201704</v>
      </c>
      <c r="H2843" s="2" t="s">
        <v>74</v>
      </c>
      <c r="I2843" s="2" t="s">
        <v>75</v>
      </c>
      <c r="J2843" s="2" t="s">
        <v>76</v>
      </c>
      <c r="K2843" s="2" t="s">
        <v>77</v>
      </c>
      <c r="L2843" s="2" t="s">
        <v>160</v>
      </c>
      <c r="M2843" s="2" t="s">
        <v>161</v>
      </c>
      <c r="N2843" s="2" t="s">
        <v>279</v>
      </c>
      <c r="O2843" s="2" t="s">
        <v>96</v>
      </c>
      <c r="P2843" s="2" t="str">
        <f>"2170531614                    "</f>
        <v xml:space="preserve">2170531614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3.32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0.5</v>
      </c>
      <c r="BJ2843" s="2">
        <v>0.2</v>
      </c>
      <c r="BK2843" s="2">
        <v>0.5</v>
      </c>
      <c r="BL2843" s="2">
        <v>40.76</v>
      </c>
      <c r="BM2843" s="2">
        <v>5.71</v>
      </c>
      <c r="BN2843" s="2">
        <v>46.47</v>
      </c>
      <c r="BO2843" s="2">
        <v>46.47</v>
      </c>
      <c r="BP2843" s="2"/>
      <c r="BQ2843" s="2" t="s">
        <v>280</v>
      </c>
      <c r="BR2843" s="2" t="s">
        <v>83</v>
      </c>
      <c r="BS2843" s="3">
        <v>42674</v>
      </c>
      <c r="BT2843" s="4">
        <v>0.41666666666666669</v>
      </c>
      <c r="BU2843" s="2" t="s">
        <v>2192</v>
      </c>
      <c r="BV2843" s="2" t="s">
        <v>85</v>
      </c>
      <c r="BW2843" s="2"/>
      <c r="BX2843" s="2"/>
      <c r="BY2843" s="2">
        <v>1200</v>
      </c>
      <c r="BZ2843" s="2"/>
      <c r="CA2843" s="2"/>
      <c r="CB2843" s="2"/>
      <c r="CC2843" s="2" t="s">
        <v>161</v>
      </c>
      <c r="CD2843" s="2">
        <v>7441</v>
      </c>
      <c r="CE2843" s="2" t="s">
        <v>108</v>
      </c>
      <c r="CF2843" s="5">
        <v>42675</v>
      </c>
      <c r="CG2843" s="2"/>
      <c r="CH2843" s="2"/>
      <c r="CI2843" s="2">
        <v>1</v>
      </c>
      <c r="CJ2843" s="2">
        <v>1</v>
      </c>
      <c r="CK2843" s="2">
        <v>21</v>
      </c>
      <c r="CL2843" s="2" t="s">
        <v>88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"FES1162510015"</f>
        <v>FES1162510015</v>
      </c>
      <c r="F2844" s="3">
        <v>42671</v>
      </c>
      <c r="G2844" s="2">
        <v>201704</v>
      </c>
      <c r="H2844" s="2" t="s">
        <v>74</v>
      </c>
      <c r="I2844" s="2" t="s">
        <v>75</v>
      </c>
      <c r="J2844" s="2" t="s">
        <v>76</v>
      </c>
      <c r="K2844" s="2" t="s">
        <v>77</v>
      </c>
      <c r="L2844" s="2" t="s">
        <v>260</v>
      </c>
      <c r="M2844" s="2" t="s">
        <v>261</v>
      </c>
      <c r="N2844" s="2" t="s">
        <v>347</v>
      </c>
      <c r="O2844" s="2" t="s">
        <v>96</v>
      </c>
      <c r="P2844" s="2" t="str">
        <f>"2170532407                    "</f>
        <v xml:space="preserve">2170532407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3.32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1.7</v>
      </c>
      <c r="BJ2844" s="2">
        <v>0.2</v>
      </c>
      <c r="BK2844" s="2">
        <v>2</v>
      </c>
      <c r="BL2844" s="2">
        <v>40.76</v>
      </c>
      <c r="BM2844" s="2">
        <v>5.71</v>
      </c>
      <c r="BN2844" s="2">
        <v>46.47</v>
      </c>
      <c r="BO2844" s="2">
        <v>46.47</v>
      </c>
      <c r="BP2844" s="2"/>
      <c r="BQ2844" s="2"/>
      <c r="BR2844" s="2" t="s">
        <v>83</v>
      </c>
      <c r="BS2844" s="3">
        <v>42674</v>
      </c>
      <c r="BT2844" s="4">
        <v>0.45902777777777781</v>
      </c>
      <c r="BU2844" s="2" t="s">
        <v>450</v>
      </c>
      <c r="BV2844" s="2" t="s">
        <v>85</v>
      </c>
      <c r="BW2844" s="2"/>
      <c r="BX2844" s="2"/>
      <c r="BY2844" s="2">
        <v>1200</v>
      </c>
      <c r="BZ2844" s="2"/>
      <c r="CA2844" s="2" t="s">
        <v>451</v>
      </c>
      <c r="CB2844" s="2"/>
      <c r="CC2844" s="2" t="s">
        <v>261</v>
      </c>
      <c r="CD2844" s="2">
        <v>6850</v>
      </c>
      <c r="CE2844" s="2" t="s">
        <v>108</v>
      </c>
      <c r="CF2844" s="5">
        <v>42674</v>
      </c>
      <c r="CG2844" s="2"/>
      <c r="CH2844" s="2"/>
      <c r="CI2844" s="2">
        <v>3</v>
      </c>
      <c r="CJ2844" s="2">
        <v>1</v>
      </c>
      <c r="CK2844" s="2">
        <v>21</v>
      </c>
      <c r="CL2844" s="2" t="s">
        <v>88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"FES1162510153"</f>
        <v>FES1162510153</v>
      </c>
      <c r="F2845" s="3">
        <v>42671</v>
      </c>
      <c r="G2845" s="2">
        <v>201704</v>
      </c>
      <c r="H2845" s="2" t="s">
        <v>74</v>
      </c>
      <c r="I2845" s="2" t="s">
        <v>75</v>
      </c>
      <c r="J2845" s="2" t="s">
        <v>76</v>
      </c>
      <c r="K2845" s="2" t="s">
        <v>77</v>
      </c>
      <c r="L2845" s="2" t="s">
        <v>148</v>
      </c>
      <c r="M2845" s="2" t="s">
        <v>149</v>
      </c>
      <c r="N2845" s="2" t="s">
        <v>2244</v>
      </c>
      <c r="O2845" s="2" t="s">
        <v>96</v>
      </c>
      <c r="P2845" s="2" t="str">
        <f>"2170532970                    "</f>
        <v xml:space="preserve">2170532970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13.27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7.7</v>
      </c>
      <c r="BJ2845" s="2">
        <v>2.9</v>
      </c>
      <c r="BK2845" s="2">
        <v>8</v>
      </c>
      <c r="BL2845" s="2">
        <v>163.03</v>
      </c>
      <c r="BM2845" s="2">
        <v>22.82</v>
      </c>
      <c r="BN2845" s="2">
        <v>185.85</v>
      </c>
      <c r="BO2845" s="2">
        <v>185.85</v>
      </c>
      <c r="BP2845" s="2"/>
      <c r="BQ2845" s="2" t="s">
        <v>91</v>
      </c>
      <c r="BR2845" s="2" t="s">
        <v>83</v>
      </c>
      <c r="BS2845" s="3">
        <v>42674</v>
      </c>
      <c r="BT2845" s="4">
        <v>0.4375</v>
      </c>
      <c r="BU2845" s="2" t="s">
        <v>2608</v>
      </c>
      <c r="BV2845" s="2" t="s">
        <v>85</v>
      </c>
      <c r="BW2845" s="2"/>
      <c r="BX2845" s="2"/>
      <c r="BY2845" s="2">
        <v>14296.04</v>
      </c>
      <c r="BZ2845" s="2"/>
      <c r="CA2845" s="2"/>
      <c r="CB2845" s="2"/>
      <c r="CC2845" s="2" t="s">
        <v>149</v>
      </c>
      <c r="CD2845" s="2">
        <v>4064</v>
      </c>
      <c r="CE2845" s="2" t="s">
        <v>86</v>
      </c>
      <c r="CF2845" s="5">
        <v>42675</v>
      </c>
      <c r="CG2845" s="2"/>
      <c r="CH2845" s="2"/>
      <c r="CI2845" s="2">
        <v>1</v>
      </c>
      <c r="CJ2845" s="2">
        <v>1</v>
      </c>
      <c r="CK2845" s="2">
        <v>21</v>
      </c>
      <c r="CL2845" s="2" t="s">
        <v>88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"FES1162510083"</f>
        <v>FES1162510083</v>
      </c>
      <c r="F2846" s="3">
        <v>42671</v>
      </c>
      <c r="G2846" s="2">
        <v>201704</v>
      </c>
      <c r="H2846" s="2" t="s">
        <v>74</v>
      </c>
      <c r="I2846" s="2" t="s">
        <v>75</v>
      </c>
      <c r="J2846" s="2" t="s">
        <v>76</v>
      </c>
      <c r="K2846" s="2" t="s">
        <v>77</v>
      </c>
      <c r="L2846" s="2" t="s">
        <v>160</v>
      </c>
      <c r="M2846" s="2" t="s">
        <v>161</v>
      </c>
      <c r="N2846" s="2" t="s">
        <v>227</v>
      </c>
      <c r="O2846" s="2" t="s">
        <v>96</v>
      </c>
      <c r="P2846" s="2" t="str">
        <f>"2170532576                    "</f>
        <v xml:space="preserve">2170532576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3.32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1</v>
      </c>
      <c r="BJ2846" s="2">
        <v>0.2</v>
      </c>
      <c r="BK2846" s="2">
        <v>1</v>
      </c>
      <c r="BL2846" s="2">
        <v>40.76</v>
      </c>
      <c r="BM2846" s="2">
        <v>5.71</v>
      </c>
      <c r="BN2846" s="2">
        <v>46.47</v>
      </c>
      <c r="BO2846" s="2">
        <v>46.47</v>
      </c>
      <c r="BP2846" s="2"/>
      <c r="BQ2846" s="2" t="s">
        <v>91</v>
      </c>
      <c r="BR2846" s="2" t="s">
        <v>83</v>
      </c>
      <c r="BS2846" s="3">
        <v>42674</v>
      </c>
      <c r="BT2846" s="4">
        <v>0.4993055555555555</v>
      </c>
      <c r="BU2846" s="2" t="s">
        <v>2609</v>
      </c>
      <c r="BV2846" s="2" t="s">
        <v>88</v>
      </c>
      <c r="BW2846" s="2" t="s">
        <v>277</v>
      </c>
      <c r="BX2846" s="2" t="s">
        <v>223</v>
      </c>
      <c r="BY2846" s="2">
        <v>1200</v>
      </c>
      <c r="BZ2846" s="2"/>
      <c r="CA2846" s="2" t="s">
        <v>933</v>
      </c>
      <c r="CB2846" s="2"/>
      <c r="CC2846" s="2" t="s">
        <v>161</v>
      </c>
      <c r="CD2846" s="2">
        <v>7460</v>
      </c>
      <c r="CE2846" s="2" t="s">
        <v>108</v>
      </c>
      <c r="CF2846" s="5">
        <v>42674</v>
      </c>
      <c r="CG2846" s="2"/>
      <c r="CH2846" s="2"/>
      <c r="CI2846" s="2">
        <v>1</v>
      </c>
      <c r="CJ2846" s="2">
        <v>1</v>
      </c>
      <c r="CK2846" s="2">
        <v>21</v>
      </c>
      <c r="CL2846" s="2" t="s">
        <v>88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"FES1162509996"</f>
        <v>FES1162509996</v>
      </c>
      <c r="F2847" s="3">
        <v>42671</v>
      </c>
      <c r="G2847" s="2">
        <v>201704</v>
      </c>
      <c r="H2847" s="2" t="s">
        <v>74</v>
      </c>
      <c r="I2847" s="2" t="s">
        <v>75</v>
      </c>
      <c r="J2847" s="2" t="s">
        <v>76</v>
      </c>
      <c r="K2847" s="2" t="s">
        <v>77</v>
      </c>
      <c r="L2847" s="2" t="s">
        <v>160</v>
      </c>
      <c r="M2847" s="2" t="s">
        <v>161</v>
      </c>
      <c r="N2847" s="2" t="s">
        <v>643</v>
      </c>
      <c r="O2847" s="2" t="s">
        <v>96</v>
      </c>
      <c r="P2847" s="2" t="str">
        <f>"2170531212                    "</f>
        <v xml:space="preserve">2170531212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7.46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4.3</v>
      </c>
      <c r="BJ2847" s="2">
        <v>1.7</v>
      </c>
      <c r="BK2847" s="2">
        <v>4.5</v>
      </c>
      <c r="BL2847" s="2">
        <v>91.7</v>
      </c>
      <c r="BM2847" s="2">
        <v>12.84</v>
      </c>
      <c r="BN2847" s="2">
        <v>104.54</v>
      </c>
      <c r="BO2847" s="2">
        <v>104.54</v>
      </c>
      <c r="BP2847" s="2"/>
      <c r="BQ2847" s="2" t="s">
        <v>644</v>
      </c>
      <c r="BR2847" s="2" t="s">
        <v>83</v>
      </c>
      <c r="BS2847" s="3">
        <v>42674</v>
      </c>
      <c r="BT2847" s="4">
        <v>0.41666666666666669</v>
      </c>
      <c r="BU2847" s="2" t="s">
        <v>645</v>
      </c>
      <c r="BV2847" s="2" t="s">
        <v>85</v>
      </c>
      <c r="BW2847" s="2"/>
      <c r="BX2847" s="2"/>
      <c r="BY2847" s="2">
        <v>8392.69</v>
      </c>
      <c r="BZ2847" s="2"/>
      <c r="CA2847" s="2" t="s">
        <v>129</v>
      </c>
      <c r="CB2847" s="2"/>
      <c r="CC2847" s="2" t="s">
        <v>161</v>
      </c>
      <c r="CD2847" s="2">
        <v>7925</v>
      </c>
      <c r="CE2847" s="2" t="s">
        <v>86</v>
      </c>
      <c r="CF2847" s="5">
        <v>42675</v>
      </c>
      <c r="CG2847" s="2"/>
      <c r="CH2847" s="2"/>
      <c r="CI2847" s="2">
        <v>1</v>
      </c>
      <c r="CJ2847" s="2">
        <v>1</v>
      </c>
      <c r="CK2847" s="2">
        <v>21</v>
      </c>
      <c r="CL2847" s="2" t="s">
        <v>88</v>
      </c>
      <c r="CM2847" s="2"/>
    </row>
    <row r="2848" spans="1:91">
      <c r="A2848" s="2" t="s">
        <v>71</v>
      </c>
      <c r="B2848" s="2" t="s">
        <v>72</v>
      </c>
      <c r="C2848" s="2" t="s">
        <v>73</v>
      </c>
      <c r="D2848" s="2"/>
      <c r="E2848" s="2" t="str">
        <f>"FES1162510118"</f>
        <v>FES1162510118</v>
      </c>
      <c r="F2848" s="3">
        <v>42671</v>
      </c>
      <c r="G2848" s="2">
        <v>201704</v>
      </c>
      <c r="H2848" s="2" t="s">
        <v>74</v>
      </c>
      <c r="I2848" s="2" t="s">
        <v>75</v>
      </c>
      <c r="J2848" s="2" t="s">
        <v>76</v>
      </c>
      <c r="K2848" s="2" t="s">
        <v>77</v>
      </c>
      <c r="L2848" s="2" t="s">
        <v>1225</v>
      </c>
      <c r="M2848" s="2" t="s">
        <v>1226</v>
      </c>
      <c r="N2848" s="2" t="s">
        <v>2610</v>
      </c>
      <c r="O2848" s="2" t="s">
        <v>96</v>
      </c>
      <c r="P2848" s="2" t="str">
        <f>"2170531055                    "</f>
        <v xml:space="preserve">2170531055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54.32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6</v>
      </c>
      <c r="BJ2848" s="2">
        <v>18.3</v>
      </c>
      <c r="BK2848" s="2">
        <v>18.5</v>
      </c>
      <c r="BL2848" s="2">
        <v>667.4</v>
      </c>
      <c r="BM2848" s="2">
        <v>93.44</v>
      </c>
      <c r="BN2848" s="2">
        <v>760.84</v>
      </c>
      <c r="BO2848" s="2">
        <v>760.84</v>
      </c>
      <c r="BP2848" s="2"/>
      <c r="BQ2848" s="2" t="s">
        <v>168</v>
      </c>
      <c r="BR2848" s="2" t="s">
        <v>83</v>
      </c>
      <c r="BS2848" s="3">
        <v>42674</v>
      </c>
      <c r="BT2848" s="4">
        <v>0</v>
      </c>
      <c r="BU2848" s="2" t="s">
        <v>2611</v>
      </c>
      <c r="BV2848" s="2" t="s">
        <v>85</v>
      </c>
      <c r="BW2848" s="2"/>
      <c r="BX2848" s="2"/>
      <c r="BY2848" s="2">
        <v>91264</v>
      </c>
      <c r="BZ2848" s="2"/>
      <c r="CA2848" s="2"/>
      <c r="CB2848" s="2"/>
      <c r="CC2848" s="2" t="s">
        <v>1226</v>
      </c>
      <c r="CD2848" s="2">
        <v>5660</v>
      </c>
      <c r="CE2848" s="2" t="s">
        <v>86</v>
      </c>
      <c r="CF2848" s="5">
        <v>42676</v>
      </c>
      <c r="CG2848" s="2"/>
      <c r="CH2848" s="2"/>
      <c r="CI2848" s="2">
        <v>3</v>
      </c>
      <c r="CJ2848" s="2">
        <v>1</v>
      </c>
      <c r="CK2848" s="2">
        <v>23</v>
      </c>
      <c r="CL2848" s="2" t="s">
        <v>88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"FES1162510122"</f>
        <v>FES1162510122</v>
      </c>
      <c r="F2849" s="3">
        <v>42671</v>
      </c>
      <c r="G2849" s="2">
        <v>201704</v>
      </c>
      <c r="H2849" s="2" t="s">
        <v>74</v>
      </c>
      <c r="I2849" s="2" t="s">
        <v>75</v>
      </c>
      <c r="J2849" s="2" t="s">
        <v>76</v>
      </c>
      <c r="K2849" s="2" t="s">
        <v>77</v>
      </c>
      <c r="L2849" s="2" t="s">
        <v>119</v>
      </c>
      <c r="M2849" s="2" t="s">
        <v>120</v>
      </c>
      <c r="N2849" s="2" t="s">
        <v>121</v>
      </c>
      <c r="O2849" s="2" t="s">
        <v>96</v>
      </c>
      <c r="P2849" s="2" t="str">
        <f>"2170531887                    "</f>
        <v xml:space="preserve">2170531887 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32.340000000000003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19.2</v>
      </c>
      <c r="BJ2849" s="2">
        <v>13.4</v>
      </c>
      <c r="BK2849" s="2">
        <v>19.5</v>
      </c>
      <c r="BL2849" s="2">
        <v>397.38</v>
      </c>
      <c r="BM2849" s="2">
        <v>55.63</v>
      </c>
      <c r="BN2849" s="2">
        <v>453.01</v>
      </c>
      <c r="BO2849" s="2">
        <v>453.01</v>
      </c>
      <c r="BP2849" s="2"/>
      <c r="BQ2849" s="2" t="s">
        <v>122</v>
      </c>
      <c r="BR2849" s="2" t="s">
        <v>83</v>
      </c>
      <c r="BS2849" s="3">
        <v>42674</v>
      </c>
      <c r="BT2849" s="4">
        <v>0.31805555555555554</v>
      </c>
      <c r="BU2849" s="2" t="s">
        <v>871</v>
      </c>
      <c r="BV2849" s="2" t="s">
        <v>85</v>
      </c>
      <c r="BW2849" s="2"/>
      <c r="BX2849" s="2"/>
      <c r="BY2849" s="2">
        <v>67117.570000000007</v>
      </c>
      <c r="BZ2849" s="2"/>
      <c r="CA2849" s="2"/>
      <c r="CB2849" s="2"/>
      <c r="CC2849" s="2" t="s">
        <v>120</v>
      </c>
      <c r="CD2849" s="2">
        <v>6229</v>
      </c>
      <c r="CE2849" s="2" t="s">
        <v>86</v>
      </c>
      <c r="CF2849" s="5">
        <v>42675</v>
      </c>
      <c r="CG2849" s="2"/>
      <c r="CH2849" s="2"/>
      <c r="CI2849" s="2">
        <v>1</v>
      </c>
      <c r="CJ2849" s="2">
        <v>1</v>
      </c>
      <c r="CK2849" s="2">
        <v>21</v>
      </c>
      <c r="CL2849" s="2" t="s">
        <v>88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"FES1162510018"</f>
        <v>FES1162510018</v>
      </c>
      <c r="F2850" s="3">
        <v>42671</v>
      </c>
      <c r="G2850" s="2">
        <v>201704</v>
      </c>
      <c r="H2850" s="2" t="s">
        <v>74</v>
      </c>
      <c r="I2850" s="2" t="s">
        <v>75</v>
      </c>
      <c r="J2850" s="2" t="s">
        <v>76</v>
      </c>
      <c r="K2850" s="2" t="s">
        <v>77</v>
      </c>
      <c r="L2850" s="2" t="s">
        <v>160</v>
      </c>
      <c r="M2850" s="2" t="s">
        <v>161</v>
      </c>
      <c r="N2850" s="2" t="s">
        <v>279</v>
      </c>
      <c r="O2850" s="2" t="s">
        <v>96</v>
      </c>
      <c r="P2850" s="2" t="str">
        <f>"2170532692                    "</f>
        <v xml:space="preserve">2170532692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3.32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0.5</v>
      </c>
      <c r="BJ2850" s="2">
        <v>0.2</v>
      </c>
      <c r="BK2850" s="2">
        <v>0.5</v>
      </c>
      <c r="BL2850" s="2">
        <v>40.76</v>
      </c>
      <c r="BM2850" s="2">
        <v>5.71</v>
      </c>
      <c r="BN2850" s="2">
        <v>46.47</v>
      </c>
      <c r="BO2850" s="2">
        <v>46.47</v>
      </c>
      <c r="BP2850" s="2"/>
      <c r="BQ2850" s="2" t="s">
        <v>280</v>
      </c>
      <c r="BR2850" s="2" t="s">
        <v>83</v>
      </c>
      <c r="BS2850" s="3">
        <v>42674</v>
      </c>
      <c r="BT2850" s="4">
        <v>0.41666666666666669</v>
      </c>
      <c r="BU2850" s="2" t="s">
        <v>2192</v>
      </c>
      <c r="BV2850" s="2" t="s">
        <v>85</v>
      </c>
      <c r="BW2850" s="2"/>
      <c r="BX2850" s="2"/>
      <c r="BY2850" s="2">
        <v>1200</v>
      </c>
      <c r="BZ2850" s="2"/>
      <c r="CA2850" s="2"/>
      <c r="CB2850" s="2"/>
      <c r="CC2850" s="2" t="s">
        <v>161</v>
      </c>
      <c r="CD2850" s="2">
        <v>7441</v>
      </c>
      <c r="CE2850" s="2" t="s">
        <v>108</v>
      </c>
      <c r="CF2850" s="5">
        <v>42675</v>
      </c>
      <c r="CG2850" s="2"/>
      <c r="CH2850" s="2"/>
      <c r="CI2850" s="2">
        <v>1</v>
      </c>
      <c r="CJ2850" s="2">
        <v>1</v>
      </c>
      <c r="CK2850" s="2">
        <v>21</v>
      </c>
      <c r="CL2850" s="2" t="s">
        <v>88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"FES1162510147"</f>
        <v>FES1162510147</v>
      </c>
      <c r="F2851" s="3">
        <v>42671</v>
      </c>
      <c r="G2851" s="2">
        <v>201704</v>
      </c>
      <c r="H2851" s="2" t="s">
        <v>74</v>
      </c>
      <c r="I2851" s="2" t="s">
        <v>75</v>
      </c>
      <c r="J2851" s="2" t="s">
        <v>76</v>
      </c>
      <c r="K2851" s="2" t="s">
        <v>77</v>
      </c>
      <c r="L2851" s="2" t="s">
        <v>260</v>
      </c>
      <c r="M2851" s="2" t="s">
        <v>261</v>
      </c>
      <c r="N2851" s="2" t="s">
        <v>347</v>
      </c>
      <c r="O2851" s="2" t="s">
        <v>96</v>
      </c>
      <c r="P2851" s="2" t="str">
        <f>"2170533231                    "</f>
        <v xml:space="preserve">2170533231 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4.1500000000000004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2.2999999999999998</v>
      </c>
      <c r="BJ2851" s="2">
        <v>1</v>
      </c>
      <c r="BK2851" s="2">
        <v>2.5</v>
      </c>
      <c r="BL2851" s="2">
        <v>50.95</v>
      </c>
      <c r="BM2851" s="2">
        <v>7.13</v>
      </c>
      <c r="BN2851" s="2">
        <v>58.08</v>
      </c>
      <c r="BO2851" s="2">
        <v>58.08</v>
      </c>
      <c r="BP2851" s="2"/>
      <c r="BQ2851" s="2"/>
      <c r="BR2851" s="2" t="s">
        <v>83</v>
      </c>
      <c r="BS2851" s="3">
        <v>42674</v>
      </c>
      <c r="BT2851" s="4">
        <v>0.45902777777777781</v>
      </c>
      <c r="BU2851" s="2" t="s">
        <v>450</v>
      </c>
      <c r="BV2851" s="2" t="s">
        <v>85</v>
      </c>
      <c r="BW2851" s="2"/>
      <c r="BX2851" s="2"/>
      <c r="BY2851" s="2">
        <v>4963.2</v>
      </c>
      <c r="BZ2851" s="2"/>
      <c r="CA2851" s="2" t="s">
        <v>451</v>
      </c>
      <c r="CB2851" s="2"/>
      <c r="CC2851" s="2" t="s">
        <v>261</v>
      </c>
      <c r="CD2851" s="2">
        <v>6850</v>
      </c>
      <c r="CE2851" s="2" t="s">
        <v>86</v>
      </c>
      <c r="CF2851" s="5">
        <v>42674</v>
      </c>
      <c r="CG2851" s="2"/>
      <c r="CH2851" s="2"/>
      <c r="CI2851" s="2">
        <v>3</v>
      </c>
      <c r="CJ2851" s="2">
        <v>1</v>
      </c>
      <c r="CK2851" s="2">
        <v>21</v>
      </c>
      <c r="CL2851" s="2" t="s">
        <v>88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"FES1162510012"</f>
        <v>FES1162510012</v>
      </c>
      <c r="F2852" s="3">
        <v>42671</v>
      </c>
      <c r="G2852" s="2">
        <v>201704</v>
      </c>
      <c r="H2852" s="2" t="s">
        <v>74</v>
      </c>
      <c r="I2852" s="2" t="s">
        <v>75</v>
      </c>
      <c r="J2852" s="2" t="s">
        <v>76</v>
      </c>
      <c r="K2852" s="2" t="s">
        <v>77</v>
      </c>
      <c r="L2852" s="2" t="s">
        <v>160</v>
      </c>
      <c r="M2852" s="2" t="s">
        <v>161</v>
      </c>
      <c r="N2852" s="2" t="s">
        <v>279</v>
      </c>
      <c r="O2852" s="2" t="s">
        <v>96</v>
      </c>
      <c r="P2852" s="2" t="str">
        <f>"2170532172                    "</f>
        <v xml:space="preserve">2170532172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13.27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8</v>
      </c>
      <c r="BJ2852" s="2">
        <v>4.0999999999999996</v>
      </c>
      <c r="BK2852" s="2">
        <v>8</v>
      </c>
      <c r="BL2852" s="2">
        <v>163.03</v>
      </c>
      <c r="BM2852" s="2">
        <v>22.82</v>
      </c>
      <c r="BN2852" s="2">
        <v>185.85</v>
      </c>
      <c r="BO2852" s="2">
        <v>185.85</v>
      </c>
      <c r="BP2852" s="2"/>
      <c r="BQ2852" s="2" t="s">
        <v>280</v>
      </c>
      <c r="BR2852" s="2" t="s">
        <v>83</v>
      </c>
      <c r="BS2852" s="3">
        <v>42674</v>
      </c>
      <c r="BT2852" s="4">
        <v>0.41666666666666669</v>
      </c>
      <c r="BU2852" s="2" t="s">
        <v>2192</v>
      </c>
      <c r="BV2852" s="2" t="s">
        <v>85</v>
      </c>
      <c r="BW2852" s="2"/>
      <c r="BX2852" s="2"/>
      <c r="BY2852" s="2">
        <v>20358</v>
      </c>
      <c r="BZ2852" s="2"/>
      <c r="CA2852" s="2"/>
      <c r="CB2852" s="2"/>
      <c r="CC2852" s="2" t="s">
        <v>161</v>
      </c>
      <c r="CD2852" s="2">
        <v>7441</v>
      </c>
      <c r="CE2852" s="2" t="s">
        <v>86</v>
      </c>
      <c r="CF2852" s="5">
        <v>42675</v>
      </c>
      <c r="CG2852" s="2"/>
      <c r="CH2852" s="2"/>
      <c r="CI2852" s="2">
        <v>1</v>
      </c>
      <c r="CJ2852" s="2">
        <v>1</v>
      </c>
      <c r="CK2852" s="2">
        <v>21</v>
      </c>
      <c r="CL2852" s="2" t="s">
        <v>88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"FES1162510120"</f>
        <v>FES1162510120</v>
      </c>
      <c r="F2853" s="3">
        <v>42671</v>
      </c>
      <c r="G2853" s="2">
        <v>201704</v>
      </c>
      <c r="H2853" s="2" t="s">
        <v>74</v>
      </c>
      <c r="I2853" s="2" t="s">
        <v>75</v>
      </c>
      <c r="J2853" s="2" t="s">
        <v>76</v>
      </c>
      <c r="K2853" s="2" t="s">
        <v>77</v>
      </c>
      <c r="L2853" s="2" t="s">
        <v>898</v>
      </c>
      <c r="M2853" s="2" t="s">
        <v>899</v>
      </c>
      <c r="N2853" s="2" t="s">
        <v>2027</v>
      </c>
      <c r="O2853" s="2" t="s">
        <v>96</v>
      </c>
      <c r="P2853" s="2" t="str">
        <f>"2170531341                    "</f>
        <v xml:space="preserve">2170531341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10.78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6.5</v>
      </c>
      <c r="BJ2853" s="2">
        <v>4.9000000000000004</v>
      </c>
      <c r="BK2853" s="2">
        <v>6.5</v>
      </c>
      <c r="BL2853" s="2">
        <v>132.46</v>
      </c>
      <c r="BM2853" s="2">
        <v>18.54</v>
      </c>
      <c r="BN2853" s="2">
        <v>151</v>
      </c>
      <c r="BO2853" s="2">
        <v>151</v>
      </c>
      <c r="BP2853" s="2"/>
      <c r="BQ2853" s="2" t="s">
        <v>2028</v>
      </c>
      <c r="BR2853" s="2" t="s">
        <v>83</v>
      </c>
      <c r="BS2853" s="3">
        <v>42674</v>
      </c>
      <c r="BT2853" s="4">
        <v>0.57638888888888895</v>
      </c>
      <c r="BU2853" s="2" t="s">
        <v>2029</v>
      </c>
      <c r="BV2853" s="2" t="s">
        <v>85</v>
      </c>
      <c r="BW2853" s="2"/>
      <c r="BX2853" s="2"/>
      <c r="BY2853" s="2">
        <v>24383.46</v>
      </c>
      <c r="BZ2853" s="2"/>
      <c r="CA2853" s="2"/>
      <c r="CB2853" s="2"/>
      <c r="CC2853" s="2" t="s">
        <v>899</v>
      </c>
      <c r="CD2853" s="2">
        <v>7655</v>
      </c>
      <c r="CE2853" s="2" t="s">
        <v>86</v>
      </c>
      <c r="CF2853" s="5">
        <v>42675</v>
      </c>
      <c r="CG2853" s="2"/>
      <c r="CH2853" s="2"/>
      <c r="CI2853" s="2">
        <v>1</v>
      </c>
      <c r="CJ2853" s="2">
        <v>1</v>
      </c>
      <c r="CK2853" s="2">
        <v>21</v>
      </c>
      <c r="CL2853" s="2" t="s">
        <v>88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"FES1162510227"</f>
        <v>FES1162510227</v>
      </c>
      <c r="F2854" s="3">
        <v>42671</v>
      </c>
      <c r="G2854" s="2">
        <v>201704</v>
      </c>
      <c r="H2854" s="2" t="s">
        <v>74</v>
      </c>
      <c r="I2854" s="2" t="s">
        <v>75</v>
      </c>
      <c r="J2854" s="2" t="s">
        <v>76</v>
      </c>
      <c r="K2854" s="2" t="s">
        <v>77</v>
      </c>
      <c r="L2854" s="2" t="s">
        <v>160</v>
      </c>
      <c r="M2854" s="2" t="s">
        <v>161</v>
      </c>
      <c r="N2854" s="2" t="s">
        <v>1334</v>
      </c>
      <c r="O2854" s="2" t="s">
        <v>96</v>
      </c>
      <c r="P2854" s="2" t="str">
        <f>"2170533329                    "</f>
        <v xml:space="preserve">2170533329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3.32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1</v>
      </c>
      <c r="BJ2854" s="2">
        <v>0.2</v>
      </c>
      <c r="BK2854" s="2">
        <v>1</v>
      </c>
      <c r="BL2854" s="2">
        <v>40.76</v>
      </c>
      <c r="BM2854" s="2">
        <v>5.71</v>
      </c>
      <c r="BN2854" s="2">
        <v>46.47</v>
      </c>
      <c r="BO2854" s="2">
        <v>46.47</v>
      </c>
      <c r="BP2854" s="2"/>
      <c r="BQ2854" s="2" t="s">
        <v>1335</v>
      </c>
      <c r="BR2854" s="2" t="s">
        <v>83</v>
      </c>
      <c r="BS2854" s="3">
        <v>42674</v>
      </c>
      <c r="BT2854" s="4">
        <v>0.41319444444444442</v>
      </c>
      <c r="BU2854" s="2" t="s">
        <v>2612</v>
      </c>
      <c r="BV2854" s="2" t="s">
        <v>85</v>
      </c>
      <c r="BW2854" s="2"/>
      <c r="BX2854" s="2"/>
      <c r="BY2854" s="2">
        <v>1200</v>
      </c>
      <c r="BZ2854" s="2"/>
      <c r="CA2854" s="2"/>
      <c r="CB2854" s="2"/>
      <c r="CC2854" s="2" t="s">
        <v>161</v>
      </c>
      <c r="CD2854" s="2">
        <v>7560</v>
      </c>
      <c r="CE2854" s="2" t="s">
        <v>108</v>
      </c>
      <c r="CF2854" s="5">
        <v>42675</v>
      </c>
      <c r="CG2854" s="2"/>
      <c r="CH2854" s="2"/>
      <c r="CI2854" s="2">
        <v>1</v>
      </c>
      <c r="CJ2854" s="2">
        <v>1</v>
      </c>
      <c r="CK2854" s="2">
        <v>21</v>
      </c>
      <c r="CL2854" s="2" t="s">
        <v>88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"FES1162510230"</f>
        <v>FES1162510230</v>
      </c>
      <c r="F2855" s="3">
        <v>42671</v>
      </c>
      <c r="G2855" s="2">
        <v>201704</v>
      </c>
      <c r="H2855" s="2" t="s">
        <v>74</v>
      </c>
      <c r="I2855" s="2" t="s">
        <v>75</v>
      </c>
      <c r="J2855" s="2" t="s">
        <v>76</v>
      </c>
      <c r="K2855" s="2" t="s">
        <v>77</v>
      </c>
      <c r="L2855" s="2" t="s">
        <v>143</v>
      </c>
      <c r="M2855" s="2" t="s">
        <v>144</v>
      </c>
      <c r="N2855" s="2" t="s">
        <v>216</v>
      </c>
      <c r="O2855" s="2" t="s">
        <v>96</v>
      </c>
      <c r="P2855" s="2" t="str">
        <f>"2170530082                    "</f>
        <v xml:space="preserve">2170530082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4.9800000000000004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3</v>
      </c>
      <c r="BJ2855" s="2">
        <v>0.2</v>
      </c>
      <c r="BK2855" s="2">
        <v>3</v>
      </c>
      <c r="BL2855" s="2">
        <v>61.14</v>
      </c>
      <c r="BM2855" s="2">
        <v>8.56</v>
      </c>
      <c r="BN2855" s="2">
        <v>69.7</v>
      </c>
      <c r="BO2855" s="2">
        <v>69.7</v>
      </c>
      <c r="BP2855" s="2"/>
      <c r="BQ2855" s="2" t="s">
        <v>91</v>
      </c>
      <c r="BR2855" s="2" t="s">
        <v>83</v>
      </c>
      <c r="BS2855" s="3">
        <v>42674</v>
      </c>
      <c r="BT2855" s="4">
        <v>0.41666666666666669</v>
      </c>
      <c r="BU2855" s="2" t="s">
        <v>276</v>
      </c>
      <c r="BV2855" s="2" t="s">
        <v>85</v>
      </c>
      <c r="BW2855" s="2"/>
      <c r="BX2855" s="2"/>
      <c r="BY2855" s="2">
        <v>1200</v>
      </c>
      <c r="BZ2855" s="2"/>
      <c r="CA2855" s="2"/>
      <c r="CB2855" s="2"/>
      <c r="CC2855" s="2" t="s">
        <v>144</v>
      </c>
      <c r="CD2855" s="2">
        <v>5201</v>
      </c>
      <c r="CE2855" s="2" t="s">
        <v>108</v>
      </c>
      <c r="CF2855" s="5">
        <v>42676</v>
      </c>
      <c r="CG2855" s="2"/>
      <c r="CH2855" s="2"/>
      <c r="CI2855" s="2">
        <v>1</v>
      </c>
      <c r="CJ2855" s="2">
        <v>1</v>
      </c>
      <c r="CK2855" s="2">
        <v>21</v>
      </c>
      <c r="CL2855" s="2" t="s">
        <v>88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"FES1162510244"</f>
        <v>FES1162510244</v>
      </c>
      <c r="F2856" s="3">
        <v>42671</v>
      </c>
      <c r="G2856" s="2">
        <v>201704</v>
      </c>
      <c r="H2856" s="2" t="s">
        <v>74</v>
      </c>
      <c r="I2856" s="2" t="s">
        <v>75</v>
      </c>
      <c r="J2856" s="2" t="s">
        <v>76</v>
      </c>
      <c r="K2856" s="2" t="s">
        <v>77</v>
      </c>
      <c r="L2856" s="2" t="s">
        <v>98</v>
      </c>
      <c r="M2856" s="2" t="s">
        <v>99</v>
      </c>
      <c r="N2856" s="2" t="s">
        <v>1687</v>
      </c>
      <c r="O2856" s="2" t="s">
        <v>96</v>
      </c>
      <c r="P2856" s="2" t="str">
        <f>"2170532753                    "</f>
        <v xml:space="preserve">2170532753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3.32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1</v>
      </c>
      <c r="BJ2856" s="2">
        <v>0.2</v>
      </c>
      <c r="BK2856" s="2">
        <v>1</v>
      </c>
      <c r="BL2856" s="2">
        <v>40.76</v>
      </c>
      <c r="BM2856" s="2">
        <v>5.71</v>
      </c>
      <c r="BN2856" s="2">
        <v>46.47</v>
      </c>
      <c r="BO2856" s="2">
        <v>46.47</v>
      </c>
      <c r="BP2856" s="2"/>
      <c r="BQ2856" s="2" t="s">
        <v>1688</v>
      </c>
      <c r="BR2856" s="2" t="s">
        <v>83</v>
      </c>
      <c r="BS2856" s="3">
        <v>42674</v>
      </c>
      <c r="BT2856" s="4">
        <v>0.34027777777777773</v>
      </c>
      <c r="BU2856" s="2" t="s">
        <v>2101</v>
      </c>
      <c r="BV2856" s="2" t="s">
        <v>85</v>
      </c>
      <c r="BW2856" s="2"/>
      <c r="BX2856" s="2"/>
      <c r="BY2856" s="2">
        <v>1200</v>
      </c>
      <c r="BZ2856" s="2"/>
      <c r="CA2856" s="2" t="s">
        <v>437</v>
      </c>
      <c r="CB2856" s="2"/>
      <c r="CC2856" s="2" t="s">
        <v>99</v>
      </c>
      <c r="CD2856" s="2">
        <v>6001</v>
      </c>
      <c r="CE2856" s="2" t="s">
        <v>108</v>
      </c>
      <c r="CF2856" s="5">
        <v>42674</v>
      </c>
      <c r="CG2856" s="2"/>
      <c r="CH2856" s="2"/>
      <c r="CI2856" s="2">
        <v>1</v>
      </c>
      <c r="CJ2856" s="2">
        <v>1</v>
      </c>
      <c r="CK2856" s="2">
        <v>21</v>
      </c>
      <c r="CL2856" s="2" t="s">
        <v>88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"FES1162510241"</f>
        <v>FES1162510241</v>
      </c>
      <c r="F2857" s="3">
        <v>42671</v>
      </c>
      <c r="G2857" s="2">
        <v>201704</v>
      </c>
      <c r="H2857" s="2" t="s">
        <v>74</v>
      </c>
      <c r="I2857" s="2" t="s">
        <v>75</v>
      </c>
      <c r="J2857" s="2" t="s">
        <v>76</v>
      </c>
      <c r="K2857" s="2" t="s">
        <v>77</v>
      </c>
      <c r="L2857" s="2" t="s">
        <v>1567</v>
      </c>
      <c r="M2857" s="2" t="s">
        <v>1568</v>
      </c>
      <c r="N2857" s="2" t="s">
        <v>312</v>
      </c>
      <c r="O2857" s="2" t="s">
        <v>96</v>
      </c>
      <c r="P2857" s="2" t="str">
        <f>"2170533346                    "</f>
        <v xml:space="preserve">2170533346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6.43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1</v>
      </c>
      <c r="BJ2857" s="2">
        <v>0.2</v>
      </c>
      <c r="BK2857" s="2">
        <v>1</v>
      </c>
      <c r="BL2857" s="2">
        <v>78.97</v>
      </c>
      <c r="BM2857" s="2">
        <v>11.06</v>
      </c>
      <c r="BN2857" s="2">
        <v>90.03</v>
      </c>
      <c r="BO2857" s="2">
        <v>90.03</v>
      </c>
      <c r="BP2857" s="2"/>
      <c r="BQ2857" s="2" t="s">
        <v>117</v>
      </c>
      <c r="BR2857" s="2" t="s">
        <v>83</v>
      </c>
      <c r="BS2857" s="3">
        <v>42674</v>
      </c>
      <c r="BT2857" s="4">
        <v>0.54166666666666663</v>
      </c>
      <c r="BU2857" s="2" t="s">
        <v>2613</v>
      </c>
      <c r="BV2857" s="2" t="s">
        <v>85</v>
      </c>
      <c r="BW2857" s="2"/>
      <c r="BX2857" s="2"/>
      <c r="BY2857" s="2">
        <v>1200</v>
      </c>
      <c r="BZ2857" s="2"/>
      <c r="CA2857" s="2"/>
      <c r="CB2857" s="2"/>
      <c r="CC2857" s="2" t="s">
        <v>1568</v>
      </c>
      <c r="CD2857" s="2">
        <v>4449</v>
      </c>
      <c r="CE2857" s="2" t="s">
        <v>108</v>
      </c>
      <c r="CF2857" s="5">
        <v>42675</v>
      </c>
      <c r="CG2857" s="2"/>
      <c r="CH2857" s="2"/>
      <c r="CI2857" s="2">
        <v>1</v>
      </c>
      <c r="CJ2857" s="2">
        <v>1</v>
      </c>
      <c r="CK2857" s="2">
        <v>23</v>
      </c>
      <c r="CL2857" s="2" t="s">
        <v>88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"FES1162510228"</f>
        <v>FES1162510228</v>
      </c>
      <c r="F2858" s="3">
        <v>42671</v>
      </c>
      <c r="G2858" s="2">
        <v>201704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160</v>
      </c>
      <c r="M2858" s="2" t="s">
        <v>161</v>
      </c>
      <c r="N2858" s="2" t="s">
        <v>980</v>
      </c>
      <c r="O2858" s="2" t="s">
        <v>96</v>
      </c>
      <c r="P2858" s="2" t="str">
        <f>"2170533330                    "</f>
        <v xml:space="preserve">2170533330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3.32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0.5</v>
      </c>
      <c r="BJ2858" s="2">
        <v>0.2</v>
      </c>
      <c r="BK2858" s="2">
        <v>0.5</v>
      </c>
      <c r="BL2858" s="2">
        <v>40.76</v>
      </c>
      <c r="BM2858" s="2">
        <v>5.71</v>
      </c>
      <c r="BN2858" s="2">
        <v>46.47</v>
      </c>
      <c r="BO2858" s="2">
        <v>46.47</v>
      </c>
      <c r="BP2858" s="2"/>
      <c r="BQ2858" s="2" t="s">
        <v>117</v>
      </c>
      <c r="BR2858" s="2" t="s">
        <v>83</v>
      </c>
      <c r="BS2858" s="3">
        <v>42674</v>
      </c>
      <c r="BT2858" s="4">
        <v>0.34722222222222227</v>
      </c>
      <c r="BU2858" s="2" t="s">
        <v>2614</v>
      </c>
      <c r="BV2858" s="2" t="s">
        <v>85</v>
      </c>
      <c r="BW2858" s="2"/>
      <c r="BX2858" s="2"/>
      <c r="BY2858" s="2">
        <v>1200</v>
      </c>
      <c r="BZ2858" s="2"/>
      <c r="CA2858" s="2"/>
      <c r="CB2858" s="2"/>
      <c r="CC2858" s="2" t="s">
        <v>161</v>
      </c>
      <c r="CD2858" s="2">
        <v>7530</v>
      </c>
      <c r="CE2858" s="2" t="s">
        <v>108</v>
      </c>
      <c r="CF2858" s="5">
        <v>42675</v>
      </c>
      <c r="CG2858" s="2"/>
      <c r="CH2858" s="2"/>
      <c r="CI2858" s="2">
        <v>1</v>
      </c>
      <c r="CJ2858" s="2">
        <v>1</v>
      </c>
      <c r="CK2858" s="2">
        <v>21</v>
      </c>
      <c r="CL2858" s="2" t="s">
        <v>88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"FES1162510036"</f>
        <v>FES1162510036</v>
      </c>
      <c r="F2859" s="3">
        <v>42671</v>
      </c>
      <c r="G2859" s="2">
        <v>201704</v>
      </c>
      <c r="H2859" s="2" t="s">
        <v>74</v>
      </c>
      <c r="I2859" s="2" t="s">
        <v>75</v>
      </c>
      <c r="J2859" s="2" t="s">
        <v>76</v>
      </c>
      <c r="K2859" s="2" t="s">
        <v>77</v>
      </c>
      <c r="L2859" s="2" t="s">
        <v>153</v>
      </c>
      <c r="M2859" s="2" t="s">
        <v>153</v>
      </c>
      <c r="N2859" s="2" t="s">
        <v>200</v>
      </c>
      <c r="O2859" s="2" t="s">
        <v>96</v>
      </c>
      <c r="P2859" s="2" t="str">
        <f>"2170529682                    "</f>
        <v xml:space="preserve">2170529682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10.78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2</v>
      </c>
      <c r="BI2859" s="2">
        <v>6.3</v>
      </c>
      <c r="BJ2859" s="2">
        <v>4.4000000000000004</v>
      </c>
      <c r="BK2859" s="2">
        <v>6.5</v>
      </c>
      <c r="BL2859" s="2">
        <v>132.46</v>
      </c>
      <c r="BM2859" s="2">
        <v>18.54</v>
      </c>
      <c r="BN2859" s="2">
        <v>151</v>
      </c>
      <c r="BO2859" s="2">
        <v>151</v>
      </c>
      <c r="BP2859" s="2"/>
      <c r="BQ2859" s="2" t="s">
        <v>201</v>
      </c>
      <c r="BR2859" s="2" t="s">
        <v>83</v>
      </c>
      <c r="BS2859" s="3">
        <v>42674</v>
      </c>
      <c r="BT2859" s="4">
        <v>0.54513888888888895</v>
      </c>
      <c r="BU2859" s="2" t="s">
        <v>2615</v>
      </c>
      <c r="BV2859" s="2" t="s">
        <v>85</v>
      </c>
      <c r="BW2859" s="2"/>
      <c r="BX2859" s="2"/>
      <c r="BY2859" s="2">
        <v>22126.799999999999</v>
      </c>
      <c r="BZ2859" s="2"/>
      <c r="CA2859" s="2"/>
      <c r="CB2859" s="2"/>
      <c r="CC2859" s="2" t="s">
        <v>153</v>
      </c>
      <c r="CD2859" s="2">
        <v>7646</v>
      </c>
      <c r="CE2859" s="2" t="s">
        <v>86</v>
      </c>
      <c r="CF2859" s="5">
        <v>42675</v>
      </c>
      <c r="CG2859" s="2"/>
      <c r="CH2859" s="2"/>
      <c r="CI2859" s="2">
        <v>1</v>
      </c>
      <c r="CJ2859" s="2">
        <v>1</v>
      </c>
      <c r="CK2859" s="2">
        <v>21</v>
      </c>
      <c r="CL2859" s="2" t="s">
        <v>88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"FES1162510246"</f>
        <v>FES1162510246</v>
      </c>
      <c r="F2860" s="3">
        <v>42671</v>
      </c>
      <c r="G2860" s="2">
        <v>201704</v>
      </c>
      <c r="H2860" s="2" t="s">
        <v>74</v>
      </c>
      <c r="I2860" s="2" t="s">
        <v>75</v>
      </c>
      <c r="J2860" s="2" t="s">
        <v>76</v>
      </c>
      <c r="K2860" s="2" t="s">
        <v>77</v>
      </c>
      <c r="L2860" s="2" t="s">
        <v>160</v>
      </c>
      <c r="M2860" s="2" t="s">
        <v>161</v>
      </c>
      <c r="N2860" s="2" t="s">
        <v>622</v>
      </c>
      <c r="O2860" s="2" t="s">
        <v>96</v>
      </c>
      <c r="P2860" s="2" t="str">
        <f>"2170533347                    "</f>
        <v xml:space="preserve">2170533347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3.32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0.5</v>
      </c>
      <c r="BJ2860" s="2">
        <v>0.2</v>
      </c>
      <c r="BK2860" s="2">
        <v>0.5</v>
      </c>
      <c r="BL2860" s="2">
        <v>40.76</v>
      </c>
      <c r="BM2860" s="2">
        <v>5.71</v>
      </c>
      <c r="BN2860" s="2">
        <v>46.47</v>
      </c>
      <c r="BO2860" s="2">
        <v>46.47</v>
      </c>
      <c r="BP2860" s="2"/>
      <c r="BQ2860" s="2" t="s">
        <v>623</v>
      </c>
      <c r="BR2860" s="2" t="s">
        <v>83</v>
      </c>
      <c r="BS2860" s="3">
        <v>42674</v>
      </c>
      <c r="BT2860" s="4">
        <v>0.41111111111111115</v>
      </c>
      <c r="BU2860" s="2" t="s">
        <v>1769</v>
      </c>
      <c r="BV2860" s="2" t="s">
        <v>85</v>
      </c>
      <c r="BW2860" s="2"/>
      <c r="BX2860" s="2"/>
      <c r="BY2860" s="2">
        <v>1200</v>
      </c>
      <c r="BZ2860" s="2"/>
      <c r="CA2860" s="2" t="s">
        <v>1193</v>
      </c>
      <c r="CB2860" s="2"/>
      <c r="CC2860" s="2" t="s">
        <v>161</v>
      </c>
      <c r="CD2860" s="2">
        <v>7490</v>
      </c>
      <c r="CE2860" s="2" t="s">
        <v>108</v>
      </c>
      <c r="CF2860" s="5">
        <v>42674</v>
      </c>
      <c r="CG2860" s="2"/>
      <c r="CH2860" s="2"/>
      <c r="CI2860" s="2">
        <v>1</v>
      </c>
      <c r="CJ2860" s="2">
        <v>1</v>
      </c>
      <c r="CK2860" s="2">
        <v>21</v>
      </c>
      <c r="CL2860" s="2" t="s">
        <v>88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"FES1162510253"</f>
        <v>FES1162510253</v>
      </c>
      <c r="F2861" s="3">
        <v>42671</v>
      </c>
      <c r="G2861" s="2">
        <v>201704</v>
      </c>
      <c r="H2861" s="2" t="s">
        <v>74</v>
      </c>
      <c r="I2861" s="2" t="s">
        <v>75</v>
      </c>
      <c r="J2861" s="2" t="s">
        <v>76</v>
      </c>
      <c r="K2861" s="2" t="s">
        <v>77</v>
      </c>
      <c r="L2861" s="2" t="s">
        <v>160</v>
      </c>
      <c r="M2861" s="2" t="s">
        <v>161</v>
      </c>
      <c r="N2861" s="2" t="s">
        <v>279</v>
      </c>
      <c r="O2861" s="2" t="s">
        <v>96</v>
      </c>
      <c r="P2861" s="2" t="str">
        <f>"2170533354                    "</f>
        <v xml:space="preserve">2170533354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4.9800000000000004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2.7</v>
      </c>
      <c r="BJ2861" s="2">
        <v>1.7</v>
      </c>
      <c r="BK2861" s="2">
        <v>3</v>
      </c>
      <c r="BL2861" s="2">
        <v>61.14</v>
      </c>
      <c r="BM2861" s="2">
        <v>8.56</v>
      </c>
      <c r="BN2861" s="2">
        <v>69.7</v>
      </c>
      <c r="BO2861" s="2">
        <v>69.7</v>
      </c>
      <c r="BP2861" s="2"/>
      <c r="BQ2861" s="2" t="s">
        <v>280</v>
      </c>
      <c r="BR2861" s="2" t="s">
        <v>83</v>
      </c>
      <c r="BS2861" s="3">
        <v>42674</v>
      </c>
      <c r="BT2861" s="4">
        <v>0.41666666666666669</v>
      </c>
      <c r="BU2861" s="2" t="s">
        <v>2192</v>
      </c>
      <c r="BV2861" s="2" t="s">
        <v>85</v>
      </c>
      <c r="BW2861" s="2"/>
      <c r="BX2861" s="2"/>
      <c r="BY2861" s="2">
        <v>8621.89</v>
      </c>
      <c r="BZ2861" s="2"/>
      <c r="CA2861" s="2"/>
      <c r="CB2861" s="2"/>
      <c r="CC2861" s="2" t="s">
        <v>161</v>
      </c>
      <c r="CD2861" s="2">
        <v>7441</v>
      </c>
      <c r="CE2861" s="2" t="s">
        <v>86</v>
      </c>
      <c r="CF2861" s="5">
        <v>42675</v>
      </c>
      <c r="CG2861" s="2"/>
      <c r="CH2861" s="2"/>
      <c r="CI2861" s="2">
        <v>1</v>
      </c>
      <c r="CJ2861" s="2">
        <v>1</v>
      </c>
      <c r="CK2861" s="2">
        <v>21</v>
      </c>
      <c r="CL2861" s="2" t="s">
        <v>88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"FES1162510248"</f>
        <v>FES1162510248</v>
      </c>
      <c r="F2862" s="3">
        <v>42671</v>
      </c>
      <c r="G2862" s="2">
        <v>201704</v>
      </c>
      <c r="H2862" s="2" t="s">
        <v>74</v>
      </c>
      <c r="I2862" s="2" t="s">
        <v>75</v>
      </c>
      <c r="J2862" s="2" t="s">
        <v>76</v>
      </c>
      <c r="K2862" s="2" t="s">
        <v>77</v>
      </c>
      <c r="L2862" s="2" t="s">
        <v>160</v>
      </c>
      <c r="M2862" s="2" t="s">
        <v>161</v>
      </c>
      <c r="N2862" s="2" t="s">
        <v>710</v>
      </c>
      <c r="O2862" s="2" t="s">
        <v>96</v>
      </c>
      <c r="P2862" s="2" t="str">
        <f>"2170533350                    "</f>
        <v xml:space="preserve">2170533350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3.32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0.5</v>
      </c>
      <c r="BJ2862" s="2">
        <v>0.2</v>
      </c>
      <c r="BK2862" s="2">
        <v>0.5</v>
      </c>
      <c r="BL2862" s="2">
        <v>40.76</v>
      </c>
      <c r="BM2862" s="2">
        <v>5.71</v>
      </c>
      <c r="BN2862" s="2">
        <v>46.47</v>
      </c>
      <c r="BO2862" s="2">
        <v>46.47</v>
      </c>
      <c r="BP2862" s="2"/>
      <c r="BQ2862" s="2" t="s">
        <v>711</v>
      </c>
      <c r="BR2862" s="2" t="s">
        <v>83</v>
      </c>
      <c r="BS2862" s="3">
        <v>42674</v>
      </c>
      <c r="BT2862" s="4">
        <v>0.41666666666666669</v>
      </c>
      <c r="BU2862" s="2" t="s">
        <v>2599</v>
      </c>
      <c r="BV2862" s="2" t="s">
        <v>85</v>
      </c>
      <c r="BW2862" s="2"/>
      <c r="BX2862" s="2"/>
      <c r="BY2862" s="2">
        <v>1200</v>
      </c>
      <c r="BZ2862" s="2"/>
      <c r="CA2862" s="2"/>
      <c r="CB2862" s="2"/>
      <c r="CC2862" s="2" t="s">
        <v>161</v>
      </c>
      <c r="CD2862" s="2">
        <v>7441</v>
      </c>
      <c r="CE2862" s="2" t="s">
        <v>108</v>
      </c>
      <c r="CF2862" s="5">
        <v>42675</v>
      </c>
      <c r="CG2862" s="2"/>
      <c r="CH2862" s="2"/>
      <c r="CI2862" s="2">
        <v>1</v>
      </c>
      <c r="CJ2862" s="2">
        <v>1</v>
      </c>
      <c r="CK2862" s="2">
        <v>21</v>
      </c>
      <c r="CL2862" s="2" t="s">
        <v>88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"FES1162510055"</f>
        <v>FES1162510055</v>
      </c>
      <c r="F2863" s="3">
        <v>42671</v>
      </c>
      <c r="G2863" s="2">
        <v>201704</v>
      </c>
      <c r="H2863" s="2" t="s">
        <v>74</v>
      </c>
      <c r="I2863" s="2" t="s">
        <v>75</v>
      </c>
      <c r="J2863" s="2" t="s">
        <v>76</v>
      </c>
      <c r="K2863" s="2" t="s">
        <v>77</v>
      </c>
      <c r="L2863" s="2" t="s">
        <v>137</v>
      </c>
      <c r="M2863" s="2" t="s">
        <v>138</v>
      </c>
      <c r="N2863" s="2" t="s">
        <v>203</v>
      </c>
      <c r="O2863" s="2" t="s">
        <v>96</v>
      </c>
      <c r="P2863" s="2" t="str">
        <f>"2170533178                    "</f>
        <v xml:space="preserve">2170533178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29.85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7.4</v>
      </c>
      <c r="BJ2863" s="2">
        <v>17.899999999999999</v>
      </c>
      <c r="BK2863" s="2">
        <v>18</v>
      </c>
      <c r="BL2863" s="2">
        <v>366.81</v>
      </c>
      <c r="BM2863" s="2">
        <v>51.35</v>
      </c>
      <c r="BN2863" s="2">
        <v>418.16</v>
      </c>
      <c r="BO2863" s="2">
        <v>418.16</v>
      </c>
      <c r="BP2863" s="2"/>
      <c r="BQ2863" s="2" t="s">
        <v>168</v>
      </c>
      <c r="BR2863" s="2" t="s">
        <v>83</v>
      </c>
      <c r="BS2863" s="3">
        <v>42674</v>
      </c>
      <c r="BT2863" s="4">
        <v>0.42083333333333334</v>
      </c>
      <c r="BU2863" s="2" t="s">
        <v>768</v>
      </c>
      <c r="BV2863" s="2"/>
      <c r="BW2863" s="2"/>
      <c r="BX2863" s="2"/>
      <c r="BY2863" s="2">
        <v>89591.32</v>
      </c>
      <c r="BZ2863" s="2"/>
      <c r="CA2863" s="2" t="s">
        <v>613</v>
      </c>
      <c r="CB2863" s="2"/>
      <c r="CC2863" s="2" t="s">
        <v>138</v>
      </c>
      <c r="CD2863" s="2">
        <v>3201</v>
      </c>
      <c r="CE2863" s="2" t="s">
        <v>86</v>
      </c>
      <c r="CF2863" s="5">
        <v>42674</v>
      </c>
      <c r="CG2863" s="2"/>
      <c r="CH2863" s="2"/>
      <c r="CI2863" s="2">
        <v>0</v>
      </c>
      <c r="CJ2863" s="2">
        <v>0</v>
      </c>
      <c r="CK2863" s="2">
        <v>21</v>
      </c>
      <c r="CL2863" s="2" t="s">
        <v>88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"FES1162510114"</f>
        <v>FES1162510114</v>
      </c>
      <c r="F2864" s="3">
        <v>42671</v>
      </c>
      <c r="G2864" s="2">
        <v>201704</v>
      </c>
      <c r="H2864" s="2" t="s">
        <v>74</v>
      </c>
      <c r="I2864" s="2" t="s">
        <v>75</v>
      </c>
      <c r="J2864" s="2" t="s">
        <v>76</v>
      </c>
      <c r="K2864" s="2" t="s">
        <v>77</v>
      </c>
      <c r="L2864" s="2" t="s">
        <v>78</v>
      </c>
      <c r="M2864" s="2" t="s">
        <v>79</v>
      </c>
      <c r="N2864" s="2" t="s">
        <v>1397</v>
      </c>
      <c r="O2864" s="2" t="s">
        <v>81</v>
      </c>
      <c r="P2864" s="2" t="str">
        <f>"2170529239                    "</f>
        <v xml:space="preserve">2170529239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5.7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6.5</v>
      </c>
      <c r="BJ2864" s="2">
        <v>4.3</v>
      </c>
      <c r="BK2864" s="2">
        <v>7</v>
      </c>
      <c r="BL2864" s="2">
        <v>75.05</v>
      </c>
      <c r="BM2864" s="2">
        <v>10.51</v>
      </c>
      <c r="BN2864" s="2">
        <v>85.56</v>
      </c>
      <c r="BO2864" s="2">
        <v>85.56</v>
      </c>
      <c r="BP2864" s="2"/>
      <c r="BQ2864" s="2" t="s">
        <v>1398</v>
      </c>
      <c r="BR2864" s="2" t="s">
        <v>83</v>
      </c>
      <c r="BS2864" s="3">
        <v>42674</v>
      </c>
      <c r="BT2864" s="4">
        <v>0.41666666666666669</v>
      </c>
      <c r="BU2864" s="2" t="s">
        <v>1999</v>
      </c>
      <c r="BV2864" s="2" t="s">
        <v>85</v>
      </c>
      <c r="BW2864" s="2"/>
      <c r="BX2864" s="2"/>
      <c r="BY2864" s="2">
        <v>21600</v>
      </c>
      <c r="BZ2864" s="2"/>
      <c r="CA2864" s="2"/>
      <c r="CB2864" s="2"/>
      <c r="CC2864" s="2" t="s">
        <v>79</v>
      </c>
      <c r="CD2864" s="2">
        <v>1939</v>
      </c>
      <c r="CE2864" s="2" t="s">
        <v>86</v>
      </c>
      <c r="CF2864" s="5">
        <v>42676</v>
      </c>
      <c r="CG2864" s="2"/>
      <c r="CH2864" s="2"/>
      <c r="CI2864" s="2">
        <v>1</v>
      </c>
      <c r="CJ2864" s="2">
        <v>1</v>
      </c>
      <c r="CK2864" s="2" t="s">
        <v>87</v>
      </c>
      <c r="CL2864" s="2" t="s">
        <v>88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"FES1162510172"</f>
        <v>FES1162510172</v>
      </c>
      <c r="F2865" s="3">
        <v>42671</v>
      </c>
      <c r="G2865" s="2">
        <v>201704</v>
      </c>
      <c r="H2865" s="2" t="s">
        <v>74</v>
      </c>
      <c r="I2865" s="2" t="s">
        <v>75</v>
      </c>
      <c r="J2865" s="2" t="s">
        <v>76</v>
      </c>
      <c r="K2865" s="2" t="s">
        <v>77</v>
      </c>
      <c r="L2865" s="2" t="s">
        <v>269</v>
      </c>
      <c r="M2865" s="2" t="s">
        <v>270</v>
      </c>
      <c r="N2865" s="2" t="s">
        <v>804</v>
      </c>
      <c r="O2865" s="2" t="s">
        <v>81</v>
      </c>
      <c r="P2865" s="2" t="str">
        <f>"                              "</f>
        <v xml:space="preserve">          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7.22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2</v>
      </c>
      <c r="BI2865" s="2">
        <v>27.5</v>
      </c>
      <c r="BJ2865" s="2">
        <v>12.2</v>
      </c>
      <c r="BK2865" s="2">
        <v>28</v>
      </c>
      <c r="BL2865" s="2">
        <v>93.73</v>
      </c>
      <c r="BM2865" s="2">
        <v>13.12</v>
      </c>
      <c r="BN2865" s="2">
        <v>106.85</v>
      </c>
      <c r="BO2865" s="2">
        <v>106.85</v>
      </c>
      <c r="BP2865" s="2" t="s">
        <v>90</v>
      </c>
      <c r="BQ2865" s="2" t="s">
        <v>805</v>
      </c>
      <c r="BR2865" s="2" t="s">
        <v>83</v>
      </c>
      <c r="BS2865" s="3">
        <v>42674</v>
      </c>
      <c r="BT2865" s="4">
        <v>0.54166666666666663</v>
      </c>
      <c r="BU2865" s="2" t="s">
        <v>806</v>
      </c>
      <c r="BV2865" s="2" t="s">
        <v>85</v>
      </c>
      <c r="BW2865" s="2"/>
      <c r="BX2865" s="2"/>
      <c r="BY2865" s="2">
        <v>61054.71</v>
      </c>
      <c r="BZ2865" s="2"/>
      <c r="CA2865" s="2"/>
      <c r="CB2865" s="2"/>
      <c r="CC2865" s="2" t="s">
        <v>270</v>
      </c>
      <c r="CD2865" s="2">
        <v>3610</v>
      </c>
      <c r="CE2865" s="2" t="s">
        <v>86</v>
      </c>
      <c r="CF2865" s="5">
        <v>42675</v>
      </c>
      <c r="CG2865" s="2"/>
      <c r="CH2865" s="2"/>
      <c r="CI2865" s="2">
        <v>1</v>
      </c>
      <c r="CJ2865" s="2">
        <v>1</v>
      </c>
      <c r="CK2865" s="2" t="s">
        <v>1059</v>
      </c>
      <c r="CL2865" s="2" t="s">
        <v>88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"FES1162509975"</f>
        <v>FES1162509975</v>
      </c>
      <c r="F2866" s="3">
        <v>42671</v>
      </c>
      <c r="G2866" s="2">
        <v>201704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260</v>
      </c>
      <c r="M2866" s="2" t="s">
        <v>261</v>
      </c>
      <c r="N2866" s="2" t="s">
        <v>347</v>
      </c>
      <c r="O2866" s="2" t="s">
        <v>81</v>
      </c>
      <c r="P2866" s="2" t="str">
        <f>"2170530583                    "</f>
        <v xml:space="preserve">2170530583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16.190000000000001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2</v>
      </c>
      <c r="BI2866" s="2">
        <v>32</v>
      </c>
      <c r="BJ2866" s="2">
        <v>18.3</v>
      </c>
      <c r="BK2866" s="2">
        <v>32</v>
      </c>
      <c r="BL2866" s="2">
        <v>203.91</v>
      </c>
      <c r="BM2866" s="2">
        <v>28.55</v>
      </c>
      <c r="BN2866" s="2">
        <v>232.46</v>
      </c>
      <c r="BO2866" s="2">
        <v>232.46</v>
      </c>
      <c r="BP2866" s="2" t="s">
        <v>1836</v>
      </c>
      <c r="BQ2866" s="2"/>
      <c r="BR2866" s="2" t="s">
        <v>83</v>
      </c>
      <c r="BS2866" s="3">
        <v>42675</v>
      </c>
      <c r="BT2866" s="4">
        <v>0.35416666666666669</v>
      </c>
      <c r="BU2866" s="2" t="s">
        <v>2123</v>
      </c>
      <c r="BV2866" s="2" t="s">
        <v>85</v>
      </c>
      <c r="BW2866" s="2"/>
      <c r="BX2866" s="2"/>
      <c r="BY2866" s="2">
        <v>91264</v>
      </c>
      <c r="BZ2866" s="2"/>
      <c r="CA2866" s="2" t="s">
        <v>1537</v>
      </c>
      <c r="CB2866" s="2"/>
      <c r="CC2866" s="2" t="s">
        <v>261</v>
      </c>
      <c r="CD2866" s="2">
        <v>6850</v>
      </c>
      <c r="CE2866" s="2" t="s">
        <v>86</v>
      </c>
      <c r="CF2866" s="5">
        <v>42675</v>
      </c>
      <c r="CG2866" s="2"/>
      <c r="CH2866" s="2"/>
      <c r="CI2866" s="2">
        <v>4</v>
      </c>
      <c r="CJ2866" s="2">
        <v>2</v>
      </c>
      <c r="CK2866" s="2" t="s">
        <v>1289</v>
      </c>
      <c r="CL2866" s="2" t="s">
        <v>88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"FES1162509504"</f>
        <v>FES1162509504</v>
      </c>
      <c r="F2867" s="3">
        <v>42669</v>
      </c>
      <c r="G2867" s="2">
        <v>201704</v>
      </c>
      <c r="H2867" s="2" t="s">
        <v>74</v>
      </c>
      <c r="I2867" s="2" t="s">
        <v>75</v>
      </c>
      <c r="J2867" s="2" t="s">
        <v>189</v>
      </c>
      <c r="K2867" s="2" t="s">
        <v>77</v>
      </c>
      <c r="L2867" s="2" t="s">
        <v>148</v>
      </c>
      <c r="M2867" s="2" t="s">
        <v>149</v>
      </c>
      <c r="N2867" s="2" t="s">
        <v>2457</v>
      </c>
      <c r="O2867" s="2" t="s">
        <v>81</v>
      </c>
      <c r="P2867" s="2" t="str">
        <f>"2170532694                    "</f>
        <v xml:space="preserve">2170532694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4.66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1</v>
      </c>
      <c r="BI2867" s="2">
        <v>10</v>
      </c>
      <c r="BJ2867" s="2">
        <v>5.7</v>
      </c>
      <c r="BK2867" s="2">
        <v>10</v>
      </c>
      <c r="BL2867" s="2">
        <v>62.31</v>
      </c>
      <c r="BM2867" s="2">
        <v>8.7200000000000006</v>
      </c>
      <c r="BN2867" s="2">
        <v>71.03</v>
      </c>
      <c r="BO2867" s="2">
        <v>71.03</v>
      </c>
      <c r="BP2867" s="2" t="s">
        <v>90</v>
      </c>
      <c r="BQ2867" s="2" t="s">
        <v>91</v>
      </c>
      <c r="BR2867" s="2" t="s">
        <v>194</v>
      </c>
      <c r="BS2867" s="3">
        <v>42670</v>
      </c>
      <c r="BT2867" s="4">
        <v>0.4375</v>
      </c>
      <c r="BU2867" s="2" t="s">
        <v>433</v>
      </c>
      <c r="BV2867" s="2" t="s">
        <v>85</v>
      </c>
      <c r="BW2867" s="2"/>
      <c r="BX2867" s="2"/>
      <c r="BY2867" s="2">
        <v>28275</v>
      </c>
      <c r="BZ2867" s="2"/>
      <c r="CA2867" s="2"/>
      <c r="CB2867" s="2"/>
      <c r="CC2867" s="2" t="s">
        <v>149</v>
      </c>
      <c r="CD2867" s="2">
        <v>4051</v>
      </c>
      <c r="CE2867" s="2" t="s">
        <v>257</v>
      </c>
      <c r="CF2867" s="5">
        <v>42671</v>
      </c>
      <c r="CG2867" s="2"/>
      <c r="CH2867" s="2"/>
      <c r="CI2867" s="2">
        <v>1</v>
      </c>
      <c r="CJ2867" s="2">
        <v>1</v>
      </c>
      <c r="CK2867" s="2" t="s">
        <v>1059</v>
      </c>
      <c r="CL2867" s="2" t="s">
        <v>88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"FES1162504195"</f>
        <v>FES1162504195</v>
      </c>
      <c r="F2868" s="3">
        <v>42647</v>
      </c>
      <c r="G2868" s="2">
        <v>201704</v>
      </c>
      <c r="H2868" s="2" t="s">
        <v>74</v>
      </c>
      <c r="I2868" s="2" t="s">
        <v>75</v>
      </c>
      <c r="J2868" s="2" t="s">
        <v>189</v>
      </c>
      <c r="K2868" s="2" t="s">
        <v>77</v>
      </c>
      <c r="L2868" s="2" t="s">
        <v>78</v>
      </c>
      <c r="M2868" s="2" t="s">
        <v>79</v>
      </c>
      <c r="N2868" s="2" t="s">
        <v>1180</v>
      </c>
      <c r="O2868" s="2" t="s">
        <v>81</v>
      </c>
      <c r="P2868" s="2" t="str">
        <f>"2170524513                    "</f>
        <v xml:space="preserve">2170524513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5.21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2</v>
      </c>
      <c r="BJ2868" s="2">
        <v>0.8</v>
      </c>
      <c r="BK2868" s="2">
        <v>2</v>
      </c>
      <c r="BL2868" s="2">
        <v>74.56</v>
      </c>
      <c r="BM2868" s="2">
        <v>10.44</v>
      </c>
      <c r="BN2868" s="2">
        <v>85</v>
      </c>
      <c r="BO2868" s="2">
        <v>85</v>
      </c>
      <c r="BP2868" s="2"/>
      <c r="BQ2868" s="2" t="s">
        <v>1181</v>
      </c>
      <c r="BR2868" s="2" t="s">
        <v>194</v>
      </c>
      <c r="BS2868" s="3">
        <v>42653</v>
      </c>
      <c r="BT2868" s="4">
        <v>0.41666666666666669</v>
      </c>
      <c r="BU2868" s="2" t="s">
        <v>1024</v>
      </c>
      <c r="BV2868" s="2" t="s">
        <v>88</v>
      </c>
      <c r="BW2868" s="2"/>
      <c r="BX2868" s="2"/>
      <c r="BY2868" s="2">
        <v>4000</v>
      </c>
      <c r="BZ2868" s="2"/>
      <c r="CA2868" s="2"/>
      <c r="CB2868" s="2"/>
      <c r="CC2868" s="2" t="s">
        <v>79</v>
      </c>
      <c r="CD2868" s="2">
        <v>1871</v>
      </c>
      <c r="CE2868" s="2" t="s">
        <v>86</v>
      </c>
      <c r="CF2868" s="5">
        <v>42655</v>
      </c>
      <c r="CG2868" s="2"/>
      <c r="CH2868" s="2"/>
      <c r="CI2868" s="2">
        <v>1</v>
      </c>
      <c r="CJ2868" s="2">
        <v>4</v>
      </c>
      <c r="CK2868" s="2" t="s">
        <v>87</v>
      </c>
      <c r="CL2868" s="2" t="s">
        <v>88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"009935426860"</f>
        <v>009935426860</v>
      </c>
      <c r="F2869" s="3">
        <v>42671</v>
      </c>
      <c r="G2869" s="2">
        <v>201704</v>
      </c>
      <c r="H2869" s="2" t="s">
        <v>698</v>
      </c>
      <c r="I2869" s="2" t="s">
        <v>699</v>
      </c>
      <c r="J2869" s="2" t="s">
        <v>2616</v>
      </c>
      <c r="K2869" s="2" t="s">
        <v>77</v>
      </c>
      <c r="L2869" s="2" t="s">
        <v>74</v>
      </c>
      <c r="M2869" s="2" t="s">
        <v>75</v>
      </c>
      <c r="N2869" s="2" t="s">
        <v>189</v>
      </c>
      <c r="O2869" s="2" t="s">
        <v>81</v>
      </c>
      <c r="P2869" s="2" t="str">
        <f>"                              "</f>
        <v xml:space="preserve">          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4.66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1</v>
      </c>
      <c r="BJ2869" s="2">
        <v>0.5</v>
      </c>
      <c r="BK2869" s="2">
        <v>1</v>
      </c>
      <c r="BL2869" s="2">
        <v>62.31</v>
      </c>
      <c r="BM2869" s="2">
        <v>8.7200000000000006</v>
      </c>
      <c r="BN2869" s="2">
        <v>71.03</v>
      </c>
      <c r="BO2869" s="2">
        <v>71.03</v>
      </c>
      <c r="BP2869" s="2"/>
      <c r="BQ2869" s="2"/>
      <c r="BR2869" s="2"/>
      <c r="BS2869" s="3">
        <v>42674</v>
      </c>
      <c r="BT2869" s="4">
        <v>0.3756944444444445</v>
      </c>
      <c r="BU2869" s="2" t="s">
        <v>2617</v>
      </c>
      <c r="BV2869" s="2" t="s">
        <v>85</v>
      </c>
      <c r="BW2869" s="2"/>
      <c r="BX2869" s="2"/>
      <c r="BY2869" s="2">
        <v>2400</v>
      </c>
      <c r="BZ2869" s="2"/>
      <c r="CA2869" s="2"/>
      <c r="CB2869" s="2"/>
      <c r="CC2869" s="2" t="s">
        <v>75</v>
      </c>
      <c r="CD2869" s="2">
        <v>1600</v>
      </c>
      <c r="CE2869" s="2" t="s">
        <v>2618</v>
      </c>
      <c r="CF2869" s="5">
        <v>42676</v>
      </c>
      <c r="CG2869" s="2"/>
      <c r="CH2869" s="2"/>
      <c r="CI2869" s="2">
        <v>1</v>
      </c>
      <c r="CJ2869" s="2">
        <v>1</v>
      </c>
      <c r="CK2869" s="2" t="s">
        <v>1292</v>
      </c>
      <c r="CL2869" s="2" t="s">
        <v>88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"FES1162507959"</f>
        <v>FES1162507959</v>
      </c>
      <c r="F2870" s="3">
        <v>42662</v>
      </c>
      <c r="G2870" s="2">
        <v>201704</v>
      </c>
      <c r="H2870" s="2" t="s">
        <v>74</v>
      </c>
      <c r="I2870" s="2" t="s">
        <v>75</v>
      </c>
      <c r="J2870" s="2" t="s">
        <v>189</v>
      </c>
      <c r="K2870" s="2" t="s">
        <v>77</v>
      </c>
      <c r="L2870" s="2" t="s">
        <v>78</v>
      </c>
      <c r="M2870" s="2" t="s">
        <v>79</v>
      </c>
      <c r="N2870" s="2" t="s">
        <v>2619</v>
      </c>
      <c r="O2870" s="2" t="s">
        <v>81</v>
      </c>
      <c r="P2870" s="2" t="str">
        <f>"2170531268                    "</f>
        <v xml:space="preserve">2170531268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5.7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3</v>
      </c>
      <c r="BJ2870" s="2">
        <v>3.6</v>
      </c>
      <c r="BK2870" s="2">
        <v>4</v>
      </c>
      <c r="BL2870" s="2">
        <v>75.05</v>
      </c>
      <c r="BM2870" s="2">
        <v>10.51</v>
      </c>
      <c r="BN2870" s="2">
        <v>85.56</v>
      </c>
      <c r="BO2870" s="2">
        <v>85.56</v>
      </c>
      <c r="BP2870" s="2"/>
      <c r="BQ2870" s="2" t="s">
        <v>91</v>
      </c>
      <c r="BR2870" s="2" t="s">
        <v>194</v>
      </c>
      <c r="BS2870" s="3">
        <v>42663</v>
      </c>
      <c r="BT2870" s="4">
        <v>0.41666666666666669</v>
      </c>
      <c r="BU2870" s="2" t="s">
        <v>1999</v>
      </c>
      <c r="BV2870" s="2" t="s">
        <v>85</v>
      </c>
      <c r="BW2870" s="2"/>
      <c r="BX2870" s="2"/>
      <c r="BY2870" s="2">
        <v>18042.62</v>
      </c>
      <c r="BZ2870" s="2"/>
      <c r="CA2870" s="2"/>
      <c r="CB2870" s="2"/>
      <c r="CC2870" s="2" t="s">
        <v>79</v>
      </c>
      <c r="CD2870" s="2">
        <v>1930</v>
      </c>
      <c r="CE2870" s="2" t="s">
        <v>86</v>
      </c>
      <c r="CF2870" s="5">
        <v>42667</v>
      </c>
      <c r="CG2870" s="2"/>
      <c r="CH2870" s="2"/>
      <c r="CI2870" s="2">
        <v>1</v>
      </c>
      <c r="CJ2870" s="2">
        <v>1</v>
      </c>
      <c r="CK2870" s="2" t="s">
        <v>87</v>
      </c>
      <c r="CL2870" s="2" t="s">
        <v>88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"009932186824"</f>
        <v>009932186824</v>
      </c>
      <c r="F2871" s="3">
        <v>42672</v>
      </c>
      <c r="G2871" s="2">
        <v>201704</v>
      </c>
      <c r="H2871" s="2" t="s">
        <v>74</v>
      </c>
      <c r="I2871" s="2" t="s">
        <v>75</v>
      </c>
      <c r="J2871" s="2" t="s">
        <v>189</v>
      </c>
      <c r="K2871" s="2" t="s">
        <v>77</v>
      </c>
      <c r="L2871" s="2" t="s">
        <v>160</v>
      </c>
      <c r="M2871" s="2" t="s">
        <v>161</v>
      </c>
      <c r="N2871" s="2" t="s">
        <v>2620</v>
      </c>
      <c r="O2871" s="2" t="s">
        <v>191</v>
      </c>
      <c r="P2871" s="2" t="str">
        <f>"PAQ2831720                    "</f>
        <v xml:space="preserve">PAQ2831720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175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18.829999999999998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730</v>
      </c>
      <c r="BH2871" s="2">
        <v>1</v>
      </c>
      <c r="BI2871" s="2">
        <v>1</v>
      </c>
      <c r="BJ2871" s="2">
        <v>0.2</v>
      </c>
      <c r="BK2871" s="2">
        <v>1</v>
      </c>
      <c r="BL2871" s="2">
        <v>961.27</v>
      </c>
      <c r="BM2871" s="2">
        <v>134.58000000000001</v>
      </c>
      <c r="BN2871" s="2">
        <v>1095.8499999999999</v>
      </c>
      <c r="BO2871" s="2">
        <v>1095.8499999999999</v>
      </c>
      <c r="BP2871" s="2" t="s">
        <v>2621</v>
      </c>
      <c r="BQ2871" s="2" t="s">
        <v>354</v>
      </c>
      <c r="BR2871" s="2" t="s">
        <v>2622</v>
      </c>
      <c r="BS2871" s="3">
        <v>42673</v>
      </c>
      <c r="BT2871" s="4">
        <v>0.63541666666666663</v>
      </c>
      <c r="BU2871" s="2" t="s">
        <v>355</v>
      </c>
      <c r="BV2871" s="2" t="s">
        <v>88</v>
      </c>
      <c r="BW2871" s="2"/>
      <c r="BX2871" s="2"/>
      <c r="BY2871" s="2">
        <v>1200</v>
      </c>
      <c r="BZ2871" s="2" t="s">
        <v>2623</v>
      </c>
      <c r="CA2871" s="2" t="s">
        <v>2624</v>
      </c>
      <c r="CB2871" s="2"/>
      <c r="CC2871" s="2" t="s">
        <v>161</v>
      </c>
      <c r="CD2871" s="2">
        <v>8000</v>
      </c>
      <c r="CE2871" s="2" t="s">
        <v>108</v>
      </c>
      <c r="CF2871" s="5">
        <v>42675</v>
      </c>
      <c r="CG2871" s="2"/>
      <c r="CH2871" s="2"/>
      <c r="CI2871" s="2">
        <v>0</v>
      </c>
      <c r="CJ2871" s="2">
        <v>1</v>
      </c>
      <c r="CK2871" s="2">
        <v>21</v>
      </c>
      <c r="CL2871" s="2" t="s">
        <v>88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"FES1162510458"</f>
        <v>FES1162510458</v>
      </c>
      <c r="F2872" s="3">
        <v>42674</v>
      </c>
      <c r="G2872" s="2">
        <v>201704</v>
      </c>
      <c r="H2872" s="2" t="s">
        <v>74</v>
      </c>
      <c r="I2872" s="2" t="s">
        <v>75</v>
      </c>
      <c r="J2872" s="2" t="s">
        <v>76</v>
      </c>
      <c r="K2872" s="2" t="s">
        <v>77</v>
      </c>
      <c r="L2872" s="2" t="s">
        <v>269</v>
      </c>
      <c r="M2872" s="2" t="s">
        <v>270</v>
      </c>
      <c r="N2872" s="2" t="s">
        <v>1245</v>
      </c>
      <c r="O2872" s="2" t="s">
        <v>96</v>
      </c>
      <c r="P2872" s="2" t="str">
        <f>"2170533300                    "</f>
        <v xml:space="preserve">2170533300 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3.32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1</v>
      </c>
      <c r="BJ2872" s="2">
        <v>0.2</v>
      </c>
      <c r="BK2872" s="2">
        <v>1</v>
      </c>
      <c r="BL2872" s="2">
        <v>40.76</v>
      </c>
      <c r="BM2872" s="2">
        <v>5.71</v>
      </c>
      <c r="BN2872" s="2">
        <v>46.47</v>
      </c>
      <c r="BO2872" s="2">
        <v>46.47</v>
      </c>
      <c r="BP2872" s="2"/>
      <c r="BQ2872" s="2" t="s">
        <v>91</v>
      </c>
      <c r="BR2872" s="2" t="s">
        <v>83</v>
      </c>
      <c r="BS2872" s="3">
        <v>42675</v>
      </c>
      <c r="BT2872" s="4">
        <v>0.45833333333333331</v>
      </c>
      <c r="BU2872" s="2" t="s">
        <v>2625</v>
      </c>
      <c r="BV2872" s="2"/>
      <c r="BW2872" s="2"/>
      <c r="BX2872" s="2"/>
      <c r="BY2872" s="2">
        <v>1200</v>
      </c>
      <c r="BZ2872" s="2"/>
      <c r="CA2872" s="2"/>
      <c r="CB2872" s="2"/>
      <c r="CC2872" s="2" t="s">
        <v>270</v>
      </c>
      <c r="CD2872" s="2">
        <v>4037</v>
      </c>
      <c r="CE2872" s="2" t="s">
        <v>108</v>
      </c>
      <c r="CF2872" s="5">
        <v>42677</v>
      </c>
      <c r="CG2872" s="2"/>
      <c r="CH2872" s="2"/>
      <c r="CI2872" s="2">
        <v>0</v>
      </c>
      <c r="CJ2872" s="2">
        <v>0</v>
      </c>
      <c r="CK2872" s="2">
        <v>21</v>
      </c>
      <c r="CL2872" s="2" t="s">
        <v>88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"FES1162510321"</f>
        <v>FES1162510321</v>
      </c>
      <c r="F2873" s="3">
        <v>42674</v>
      </c>
      <c r="G2873" s="2">
        <v>201704</v>
      </c>
      <c r="H2873" s="2" t="s">
        <v>74</v>
      </c>
      <c r="I2873" s="2" t="s">
        <v>75</v>
      </c>
      <c r="J2873" s="2" t="s">
        <v>76</v>
      </c>
      <c r="K2873" s="2" t="s">
        <v>77</v>
      </c>
      <c r="L2873" s="2" t="s">
        <v>137</v>
      </c>
      <c r="M2873" s="2" t="s">
        <v>138</v>
      </c>
      <c r="N2873" s="2" t="s">
        <v>2626</v>
      </c>
      <c r="O2873" s="2" t="s">
        <v>96</v>
      </c>
      <c r="P2873" s="2" t="str">
        <f>"2170532857                    "</f>
        <v xml:space="preserve">2170532857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6.63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4</v>
      </c>
      <c r="BJ2873" s="2">
        <v>2</v>
      </c>
      <c r="BK2873" s="2">
        <v>4</v>
      </c>
      <c r="BL2873" s="2">
        <v>81.510000000000005</v>
      </c>
      <c r="BM2873" s="2">
        <v>11.41</v>
      </c>
      <c r="BN2873" s="2">
        <v>92.92</v>
      </c>
      <c r="BO2873" s="2">
        <v>92.92</v>
      </c>
      <c r="BP2873" s="2"/>
      <c r="BQ2873" s="2" t="s">
        <v>2627</v>
      </c>
      <c r="BR2873" s="2" t="s">
        <v>83</v>
      </c>
      <c r="BS2873" s="3">
        <v>42675</v>
      </c>
      <c r="BT2873" s="4">
        <v>0.39583333333333331</v>
      </c>
      <c r="BU2873" s="2" t="s">
        <v>584</v>
      </c>
      <c r="BV2873" s="2"/>
      <c r="BW2873" s="2"/>
      <c r="BX2873" s="2"/>
      <c r="BY2873" s="2">
        <v>10080</v>
      </c>
      <c r="BZ2873" s="2"/>
      <c r="CA2873" s="2"/>
      <c r="CB2873" s="2"/>
      <c r="CC2873" s="2" t="s">
        <v>138</v>
      </c>
      <c r="CD2873" s="2">
        <v>3201</v>
      </c>
      <c r="CE2873" s="2" t="s">
        <v>86</v>
      </c>
      <c r="CF2873" s="5">
        <v>42676</v>
      </c>
      <c r="CG2873" s="2"/>
      <c r="CH2873" s="2"/>
      <c r="CI2873" s="2">
        <v>0</v>
      </c>
      <c r="CJ2873" s="2">
        <v>0</v>
      </c>
      <c r="CK2873" s="2">
        <v>21</v>
      </c>
      <c r="CL2873" s="2" t="s">
        <v>88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"FES1162510302"</f>
        <v>FES1162510302</v>
      </c>
      <c r="F2874" s="3">
        <v>42674</v>
      </c>
      <c r="G2874" s="2">
        <v>201704</v>
      </c>
      <c r="H2874" s="2" t="s">
        <v>74</v>
      </c>
      <c r="I2874" s="2" t="s">
        <v>75</v>
      </c>
      <c r="J2874" s="2" t="s">
        <v>76</v>
      </c>
      <c r="K2874" s="2" t="s">
        <v>77</v>
      </c>
      <c r="L2874" s="2" t="s">
        <v>1122</v>
      </c>
      <c r="M2874" s="2" t="s">
        <v>1123</v>
      </c>
      <c r="N2874" s="2" t="s">
        <v>422</v>
      </c>
      <c r="O2874" s="2" t="s">
        <v>96</v>
      </c>
      <c r="P2874" s="2" t="str">
        <f>"2170531599                    "</f>
        <v xml:space="preserve">2170531599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3.32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1</v>
      </c>
      <c r="BJ2874" s="2">
        <v>0.2</v>
      </c>
      <c r="BK2874" s="2">
        <v>1</v>
      </c>
      <c r="BL2874" s="2">
        <v>40.76</v>
      </c>
      <c r="BM2874" s="2">
        <v>5.71</v>
      </c>
      <c r="BN2874" s="2">
        <v>46.47</v>
      </c>
      <c r="BO2874" s="2">
        <v>46.47</v>
      </c>
      <c r="BP2874" s="2"/>
      <c r="BQ2874" s="2" t="s">
        <v>91</v>
      </c>
      <c r="BR2874" s="2" t="s">
        <v>83</v>
      </c>
      <c r="BS2874" s="3">
        <v>42675</v>
      </c>
      <c r="BT2874" s="4">
        <v>0.41666666666666669</v>
      </c>
      <c r="BU2874" s="2" t="s">
        <v>1999</v>
      </c>
      <c r="BV2874" s="2" t="s">
        <v>85</v>
      </c>
      <c r="BW2874" s="2"/>
      <c r="BX2874" s="2"/>
      <c r="BY2874" s="2">
        <v>1200</v>
      </c>
      <c r="BZ2874" s="2"/>
      <c r="CA2874" s="2"/>
      <c r="CB2874" s="2"/>
      <c r="CC2874" s="2" t="s">
        <v>1123</v>
      </c>
      <c r="CD2874" s="2">
        <v>1911</v>
      </c>
      <c r="CE2874" s="2" t="s">
        <v>108</v>
      </c>
      <c r="CF2874" s="5">
        <v>42677</v>
      </c>
      <c r="CG2874" s="2"/>
      <c r="CH2874" s="2"/>
      <c r="CI2874" s="2">
        <v>1</v>
      </c>
      <c r="CJ2874" s="2">
        <v>1</v>
      </c>
      <c r="CK2874" s="2">
        <v>21</v>
      </c>
      <c r="CL2874" s="2" t="s">
        <v>88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"FES1162510323"</f>
        <v>FES1162510323</v>
      </c>
      <c r="F2875" s="3">
        <v>42674</v>
      </c>
      <c r="G2875" s="2">
        <v>201704</v>
      </c>
      <c r="H2875" s="2" t="s">
        <v>74</v>
      </c>
      <c r="I2875" s="2" t="s">
        <v>75</v>
      </c>
      <c r="J2875" s="2" t="s">
        <v>76</v>
      </c>
      <c r="K2875" s="2" t="s">
        <v>77</v>
      </c>
      <c r="L2875" s="2" t="s">
        <v>361</v>
      </c>
      <c r="M2875" s="2" t="s">
        <v>362</v>
      </c>
      <c r="N2875" s="2" t="s">
        <v>363</v>
      </c>
      <c r="O2875" s="2" t="s">
        <v>96</v>
      </c>
      <c r="P2875" s="2" t="str">
        <f>"2170532931                    "</f>
        <v xml:space="preserve">2170532931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4.66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</v>
      </c>
      <c r="BJ2875" s="2">
        <v>0.2</v>
      </c>
      <c r="BK2875" s="2">
        <v>1</v>
      </c>
      <c r="BL2875" s="2">
        <v>57.31</v>
      </c>
      <c r="BM2875" s="2">
        <v>8.02</v>
      </c>
      <c r="BN2875" s="2">
        <v>65.33</v>
      </c>
      <c r="BO2875" s="2">
        <v>65.33</v>
      </c>
      <c r="BP2875" s="2"/>
      <c r="BQ2875" s="2" t="s">
        <v>364</v>
      </c>
      <c r="BR2875" s="2" t="s">
        <v>83</v>
      </c>
      <c r="BS2875" s="3">
        <v>42675</v>
      </c>
      <c r="BT2875" s="4">
        <v>0.38541666666666669</v>
      </c>
      <c r="BU2875" s="2" t="s">
        <v>400</v>
      </c>
      <c r="BV2875" s="2" t="s">
        <v>85</v>
      </c>
      <c r="BW2875" s="2"/>
      <c r="BX2875" s="2"/>
      <c r="BY2875" s="2">
        <v>1200</v>
      </c>
      <c r="BZ2875" s="2"/>
      <c r="CA2875" s="2"/>
      <c r="CB2875" s="2"/>
      <c r="CC2875" s="2" t="s">
        <v>362</v>
      </c>
      <c r="CD2875" s="2">
        <v>1441</v>
      </c>
      <c r="CE2875" s="2" t="s">
        <v>108</v>
      </c>
      <c r="CF2875" s="5">
        <v>42676</v>
      </c>
      <c r="CG2875" s="2"/>
      <c r="CH2875" s="2"/>
      <c r="CI2875" s="2">
        <v>1</v>
      </c>
      <c r="CJ2875" s="2">
        <v>1</v>
      </c>
      <c r="CK2875" s="2">
        <v>24</v>
      </c>
      <c r="CL2875" s="2" t="s">
        <v>88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"FES1162510368"</f>
        <v>FES1162510368</v>
      </c>
      <c r="F2876" s="3">
        <v>42674</v>
      </c>
      <c r="G2876" s="2">
        <v>201704</v>
      </c>
      <c r="H2876" s="2" t="s">
        <v>74</v>
      </c>
      <c r="I2876" s="2" t="s">
        <v>75</v>
      </c>
      <c r="J2876" s="2" t="s">
        <v>76</v>
      </c>
      <c r="K2876" s="2" t="s">
        <v>77</v>
      </c>
      <c r="L2876" s="2" t="s">
        <v>98</v>
      </c>
      <c r="M2876" s="2" t="s">
        <v>99</v>
      </c>
      <c r="N2876" s="2" t="s">
        <v>2628</v>
      </c>
      <c r="O2876" s="2" t="s">
        <v>96</v>
      </c>
      <c r="P2876" s="2" t="str">
        <f>"2170533441                    "</f>
        <v xml:space="preserve">2170533441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3.32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1.3</v>
      </c>
      <c r="BJ2876" s="2">
        <v>0.2</v>
      </c>
      <c r="BK2876" s="2">
        <v>1.5</v>
      </c>
      <c r="BL2876" s="2">
        <v>40.76</v>
      </c>
      <c r="BM2876" s="2">
        <v>5.71</v>
      </c>
      <c r="BN2876" s="2">
        <v>46.47</v>
      </c>
      <c r="BO2876" s="2">
        <v>46.47</v>
      </c>
      <c r="BP2876" s="2"/>
      <c r="BQ2876" s="2" t="s">
        <v>180</v>
      </c>
      <c r="BR2876" s="2" t="s">
        <v>83</v>
      </c>
      <c r="BS2876" s="3">
        <v>42675</v>
      </c>
      <c r="BT2876" s="4">
        <v>0.375</v>
      </c>
      <c r="BU2876" s="2" t="s">
        <v>2629</v>
      </c>
      <c r="BV2876" s="2" t="s">
        <v>85</v>
      </c>
      <c r="BW2876" s="2"/>
      <c r="BX2876" s="2"/>
      <c r="BY2876" s="2">
        <v>1200</v>
      </c>
      <c r="BZ2876" s="2"/>
      <c r="CA2876" s="2" t="s">
        <v>129</v>
      </c>
      <c r="CB2876" s="2"/>
      <c r="CC2876" s="2" t="s">
        <v>99</v>
      </c>
      <c r="CD2876" s="2">
        <v>6001</v>
      </c>
      <c r="CE2876" s="2" t="s">
        <v>108</v>
      </c>
      <c r="CF2876" s="5">
        <v>42676</v>
      </c>
      <c r="CG2876" s="2"/>
      <c r="CH2876" s="2"/>
      <c r="CI2876" s="2">
        <v>1</v>
      </c>
      <c r="CJ2876" s="2">
        <v>1</v>
      </c>
      <c r="CK2876" s="2">
        <v>21</v>
      </c>
      <c r="CL2876" s="2" t="s">
        <v>88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"FES1162510365"</f>
        <v>FES1162510365</v>
      </c>
      <c r="F2877" s="3">
        <v>42674</v>
      </c>
      <c r="G2877" s="2">
        <v>201704</v>
      </c>
      <c r="H2877" s="2" t="s">
        <v>74</v>
      </c>
      <c r="I2877" s="2" t="s">
        <v>75</v>
      </c>
      <c r="J2877" s="2" t="s">
        <v>76</v>
      </c>
      <c r="K2877" s="2" t="s">
        <v>77</v>
      </c>
      <c r="L2877" s="2" t="s">
        <v>98</v>
      </c>
      <c r="M2877" s="2" t="s">
        <v>99</v>
      </c>
      <c r="N2877" s="2" t="s">
        <v>176</v>
      </c>
      <c r="O2877" s="2" t="s">
        <v>96</v>
      </c>
      <c r="P2877" s="2" t="str">
        <f>"2170533436                    "</f>
        <v xml:space="preserve">2170533436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3.32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1</v>
      </c>
      <c r="BJ2877" s="2">
        <v>0.2</v>
      </c>
      <c r="BK2877" s="2">
        <v>1</v>
      </c>
      <c r="BL2877" s="2">
        <v>40.76</v>
      </c>
      <c r="BM2877" s="2">
        <v>5.71</v>
      </c>
      <c r="BN2877" s="2">
        <v>46.47</v>
      </c>
      <c r="BO2877" s="2">
        <v>46.47</v>
      </c>
      <c r="BP2877" s="2"/>
      <c r="BQ2877" s="2" t="s">
        <v>91</v>
      </c>
      <c r="BR2877" s="2" t="s">
        <v>83</v>
      </c>
      <c r="BS2877" s="3">
        <v>42675</v>
      </c>
      <c r="BT2877" s="4">
        <v>0.34375</v>
      </c>
      <c r="BU2877" s="2" t="s">
        <v>431</v>
      </c>
      <c r="BV2877" s="2" t="s">
        <v>85</v>
      </c>
      <c r="BW2877" s="2"/>
      <c r="BX2877" s="2"/>
      <c r="BY2877" s="2">
        <v>1200</v>
      </c>
      <c r="BZ2877" s="2"/>
      <c r="CA2877" s="2"/>
      <c r="CB2877" s="2"/>
      <c r="CC2877" s="2" t="s">
        <v>99</v>
      </c>
      <c r="CD2877" s="2">
        <v>6020</v>
      </c>
      <c r="CE2877" s="2" t="s">
        <v>108</v>
      </c>
      <c r="CF2877" s="5">
        <v>42676</v>
      </c>
      <c r="CG2877" s="2"/>
      <c r="CH2877" s="2"/>
      <c r="CI2877" s="2">
        <v>1</v>
      </c>
      <c r="CJ2877" s="2">
        <v>1</v>
      </c>
      <c r="CK2877" s="2">
        <v>21</v>
      </c>
      <c r="CL2877" s="2" t="s">
        <v>88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"FES1162510364"</f>
        <v>FES1162510364</v>
      </c>
      <c r="F2878" s="3">
        <v>42674</v>
      </c>
      <c r="G2878" s="2">
        <v>201704</v>
      </c>
      <c r="H2878" s="2" t="s">
        <v>74</v>
      </c>
      <c r="I2878" s="2" t="s">
        <v>75</v>
      </c>
      <c r="J2878" s="2" t="s">
        <v>76</v>
      </c>
      <c r="K2878" s="2" t="s">
        <v>77</v>
      </c>
      <c r="L2878" s="2" t="s">
        <v>98</v>
      </c>
      <c r="M2878" s="2" t="s">
        <v>99</v>
      </c>
      <c r="N2878" s="2" t="s">
        <v>2630</v>
      </c>
      <c r="O2878" s="2" t="s">
        <v>96</v>
      </c>
      <c r="P2878" s="2" t="str">
        <f>"2170533435                    "</f>
        <v xml:space="preserve">2170533435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3.32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</v>
      </c>
      <c r="BJ2878" s="2">
        <v>0.2</v>
      </c>
      <c r="BK2878" s="2">
        <v>1</v>
      </c>
      <c r="BL2878" s="2">
        <v>40.76</v>
      </c>
      <c r="BM2878" s="2">
        <v>5.71</v>
      </c>
      <c r="BN2878" s="2">
        <v>46.47</v>
      </c>
      <c r="BO2878" s="2">
        <v>46.47</v>
      </c>
      <c r="BP2878" s="2"/>
      <c r="BQ2878" s="2" t="s">
        <v>2631</v>
      </c>
      <c r="BR2878" s="2" t="s">
        <v>83</v>
      </c>
      <c r="BS2878" s="3">
        <v>42675</v>
      </c>
      <c r="BT2878" s="4">
        <v>0.41944444444444445</v>
      </c>
      <c r="BU2878" s="2" t="s">
        <v>2632</v>
      </c>
      <c r="BV2878" s="2" t="s">
        <v>85</v>
      </c>
      <c r="BW2878" s="2"/>
      <c r="BX2878" s="2"/>
      <c r="BY2878" s="2">
        <v>1200</v>
      </c>
      <c r="BZ2878" s="2"/>
      <c r="CA2878" s="2"/>
      <c r="CB2878" s="2"/>
      <c r="CC2878" s="2" t="s">
        <v>99</v>
      </c>
      <c r="CD2878" s="2">
        <v>6001</v>
      </c>
      <c r="CE2878" s="2" t="s">
        <v>108</v>
      </c>
      <c r="CF2878" s="5">
        <v>42676</v>
      </c>
      <c r="CG2878" s="2"/>
      <c r="CH2878" s="2"/>
      <c r="CI2878" s="2">
        <v>1</v>
      </c>
      <c r="CJ2878" s="2">
        <v>1</v>
      </c>
      <c r="CK2878" s="2">
        <v>21</v>
      </c>
      <c r="CL2878" s="2" t="s">
        <v>88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"FES1162510373"</f>
        <v>FES1162510373</v>
      </c>
      <c r="F2879" s="3">
        <v>42674</v>
      </c>
      <c r="G2879" s="2">
        <v>201704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269</v>
      </c>
      <c r="M2879" s="2" t="s">
        <v>270</v>
      </c>
      <c r="N2879" s="2" t="s">
        <v>1543</v>
      </c>
      <c r="O2879" s="2" t="s">
        <v>96</v>
      </c>
      <c r="P2879" s="2" t="str">
        <f>"2170533445                    "</f>
        <v xml:space="preserve">2170533445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3.32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1</v>
      </c>
      <c r="BJ2879" s="2">
        <v>0.2</v>
      </c>
      <c r="BK2879" s="2">
        <v>1</v>
      </c>
      <c r="BL2879" s="2">
        <v>40.76</v>
      </c>
      <c r="BM2879" s="2">
        <v>5.71</v>
      </c>
      <c r="BN2879" s="2">
        <v>46.47</v>
      </c>
      <c r="BO2879" s="2">
        <v>46.47</v>
      </c>
      <c r="BP2879" s="2"/>
      <c r="BQ2879" s="2" t="s">
        <v>2554</v>
      </c>
      <c r="BR2879" s="2" t="s">
        <v>83</v>
      </c>
      <c r="BS2879" s="3">
        <v>42675</v>
      </c>
      <c r="BT2879" s="4">
        <v>0.41666666666666669</v>
      </c>
      <c r="BU2879" s="2" t="s">
        <v>2633</v>
      </c>
      <c r="BV2879" s="2" t="s">
        <v>85</v>
      </c>
      <c r="BW2879" s="2"/>
      <c r="BX2879" s="2"/>
      <c r="BY2879" s="2">
        <v>1200</v>
      </c>
      <c r="BZ2879" s="2"/>
      <c r="CA2879" s="2" t="s">
        <v>129</v>
      </c>
      <c r="CB2879" s="2"/>
      <c r="CC2879" s="2" t="s">
        <v>270</v>
      </c>
      <c r="CD2879" s="2">
        <v>3610</v>
      </c>
      <c r="CE2879" s="2" t="s">
        <v>108</v>
      </c>
      <c r="CF2879" s="5">
        <v>42677</v>
      </c>
      <c r="CG2879" s="2"/>
      <c r="CH2879" s="2"/>
      <c r="CI2879" s="2">
        <v>1</v>
      </c>
      <c r="CJ2879" s="2">
        <v>1</v>
      </c>
      <c r="CK2879" s="2">
        <v>21</v>
      </c>
      <c r="CL2879" s="2" t="s">
        <v>88</v>
      </c>
      <c r="CM2879" s="2"/>
    </row>
    <row r="2880" spans="1:91">
      <c r="A2880" s="2" t="s">
        <v>71</v>
      </c>
      <c r="B2880" s="2" t="s">
        <v>72</v>
      </c>
      <c r="C2880" s="2" t="s">
        <v>73</v>
      </c>
      <c r="D2880" s="2"/>
      <c r="E2880" s="2" t="str">
        <f>"FES1162510397"</f>
        <v>FES1162510397</v>
      </c>
      <c r="F2880" s="3">
        <v>42674</v>
      </c>
      <c r="G2880" s="2">
        <v>201704</v>
      </c>
      <c r="H2880" s="2" t="s">
        <v>74</v>
      </c>
      <c r="I2880" s="2" t="s">
        <v>75</v>
      </c>
      <c r="J2880" s="2" t="s">
        <v>76</v>
      </c>
      <c r="K2880" s="2" t="s">
        <v>77</v>
      </c>
      <c r="L2880" s="2" t="s">
        <v>93</v>
      </c>
      <c r="M2880" s="2" t="s">
        <v>94</v>
      </c>
      <c r="N2880" s="2" t="s">
        <v>2496</v>
      </c>
      <c r="O2880" s="2" t="s">
        <v>96</v>
      </c>
      <c r="P2880" s="2" t="str">
        <f>"2170533469                    "</f>
        <v xml:space="preserve">2170533469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3.32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1</v>
      </c>
      <c r="BJ2880" s="2">
        <v>0.2</v>
      </c>
      <c r="BK2880" s="2">
        <v>1</v>
      </c>
      <c r="BL2880" s="2">
        <v>40.76</v>
      </c>
      <c r="BM2880" s="2">
        <v>5.71</v>
      </c>
      <c r="BN2880" s="2">
        <v>46.47</v>
      </c>
      <c r="BO2880" s="2">
        <v>46.47</v>
      </c>
      <c r="BP2880" s="2"/>
      <c r="BQ2880" s="2" t="s">
        <v>117</v>
      </c>
      <c r="BR2880" s="2" t="s">
        <v>83</v>
      </c>
      <c r="BS2880" s="3">
        <v>42675</v>
      </c>
      <c r="BT2880" s="4">
        <v>0.36805555555555558</v>
      </c>
      <c r="BU2880" s="2" t="s">
        <v>830</v>
      </c>
      <c r="BV2880" s="2" t="s">
        <v>85</v>
      </c>
      <c r="BW2880" s="2"/>
      <c r="BX2880" s="2"/>
      <c r="BY2880" s="2">
        <v>1200</v>
      </c>
      <c r="BZ2880" s="2"/>
      <c r="CA2880" s="2"/>
      <c r="CB2880" s="2"/>
      <c r="CC2880" s="2" t="s">
        <v>94</v>
      </c>
      <c r="CD2880" s="2">
        <v>4300</v>
      </c>
      <c r="CE2880" s="2" t="s">
        <v>108</v>
      </c>
      <c r="CF2880" s="5">
        <v>42677</v>
      </c>
      <c r="CG2880" s="2"/>
      <c r="CH2880" s="2"/>
      <c r="CI2880" s="2">
        <v>1</v>
      </c>
      <c r="CJ2880" s="2">
        <v>1</v>
      </c>
      <c r="CK2880" s="2">
        <v>21</v>
      </c>
      <c r="CL2880" s="2" t="s">
        <v>88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"FES1162510381"</f>
        <v>FES1162510381</v>
      </c>
      <c r="F2881" s="3">
        <v>42674</v>
      </c>
      <c r="G2881" s="2">
        <v>201704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148</v>
      </c>
      <c r="M2881" s="2" t="s">
        <v>149</v>
      </c>
      <c r="N2881" s="2" t="s">
        <v>1739</v>
      </c>
      <c r="O2881" s="2" t="s">
        <v>96</v>
      </c>
      <c r="P2881" s="2" t="str">
        <f>"2170533454                    "</f>
        <v xml:space="preserve">2170533454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3.32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1</v>
      </c>
      <c r="BJ2881" s="2">
        <v>0.2</v>
      </c>
      <c r="BK2881" s="2">
        <v>1</v>
      </c>
      <c r="BL2881" s="2">
        <v>40.76</v>
      </c>
      <c r="BM2881" s="2">
        <v>5.71</v>
      </c>
      <c r="BN2881" s="2">
        <v>46.47</v>
      </c>
      <c r="BO2881" s="2">
        <v>46.47</v>
      </c>
      <c r="BP2881" s="2"/>
      <c r="BQ2881" s="2"/>
      <c r="BR2881" s="2" t="s">
        <v>83</v>
      </c>
      <c r="BS2881" s="3">
        <v>42675</v>
      </c>
      <c r="BT2881" s="4">
        <v>0.41666666666666669</v>
      </c>
      <c r="BU2881" s="2" t="s">
        <v>2634</v>
      </c>
      <c r="BV2881" s="2"/>
      <c r="BW2881" s="2"/>
      <c r="BX2881" s="2"/>
      <c r="BY2881" s="2">
        <v>1200</v>
      </c>
      <c r="BZ2881" s="2"/>
      <c r="CA2881" s="2"/>
      <c r="CB2881" s="2"/>
      <c r="CC2881" s="2" t="s">
        <v>149</v>
      </c>
      <c r="CD2881" s="2">
        <v>4000</v>
      </c>
      <c r="CE2881" s="2" t="s">
        <v>108</v>
      </c>
      <c r="CF2881" s="5">
        <v>42676</v>
      </c>
      <c r="CG2881" s="2"/>
      <c r="CH2881" s="2"/>
      <c r="CI2881" s="2">
        <v>0</v>
      </c>
      <c r="CJ2881" s="2">
        <v>0</v>
      </c>
      <c r="CK2881" s="2">
        <v>21</v>
      </c>
      <c r="CL2881" s="2" t="s">
        <v>88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"FES1162510385"</f>
        <v>FES1162510385</v>
      </c>
      <c r="F2882" s="3">
        <v>42674</v>
      </c>
      <c r="G2882" s="2">
        <v>201704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510</v>
      </c>
      <c r="M2882" s="2" t="s">
        <v>511</v>
      </c>
      <c r="N2882" s="2" t="s">
        <v>1495</v>
      </c>
      <c r="O2882" s="2" t="s">
        <v>96</v>
      </c>
      <c r="P2882" s="2" t="str">
        <f>"2170533460                    "</f>
        <v xml:space="preserve">2170533460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3.32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1</v>
      </c>
      <c r="BJ2882" s="2">
        <v>0.2</v>
      </c>
      <c r="BK2882" s="2">
        <v>1</v>
      </c>
      <c r="BL2882" s="2">
        <v>40.76</v>
      </c>
      <c r="BM2882" s="2">
        <v>5.71</v>
      </c>
      <c r="BN2882" s="2">
        <v>46.47</v>
      </c>
      <c r="BO2882" s="2">
        <v>46.47</v>
      </c>
      <c r="BP2882" s="2"/>
      <c r="BQ2882" s="2" t="s">
        <v>82</v>
      </c>
      <c r="BR2882" s="2" t="s">
        <v>83</v>
      </c>
      <c r="BS2882" s="3">
        <v>42675</v>
      </c>
      <c r="BT2882" s="4">
        <v>0.5541666666666667</v>
      </c>
      <c r="BU2882" s="2" t="s">
        <v>2635</v>
      </c>
      <c r="BV2882" s="2" t="s">
        <v>85</v>
      </c>
      <c r="BW2882" s="2"/>
      <c r="BX2882" s="2"/>
      <c r="BY2882" s="2">
        <v>1200</v>
      </c>
      <c r="BZ2882" s="2"/>
      <c r="CA2882" s="2"/>
      <c r="CB2882" s="2"/>
      <c r="CC2882" s="2" t="s">
        <v>511</v>
      </c>
      <c r="CD2882" s="2">
        <v>3280</v>
      </c>
      <c r="CE2882" s="2" t="s">
        <v>108</v>
      </c>
      <c r="CF2882" s="5">
        <v>42676</v>
      </c>
      <c r="CG2882" s="2"/>
      <c r="CH2882" s="2"/>
      <c r="CI2882" s="2">
        <v>1</v>
      </c>
      <c r="CJ2882" s="2">
        <v>1</v>
      </c>
      <c r="CK2882" s="2">
        <v>21</v>
      </c>
      <c r="CL2882" s="2" t="s">
        <v>88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"FES1162510350"</f>
        <v>FES1162510350</v>
      </c>
      <c r="F2883" s="3">
        <v>42674</v>
      </c>
      <c r="G2883" s="2">
        <v>201704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260</v>
      </c>
      <c r="M2883" s="2" t="s">
        <v>261</v>
      </c>
      <c r="N2883" s="2" t="s">
        <v>347</v>
      </c>
      <c r="O2883" s="2" t="s">
        <v>96</v>
      </c>
      <c r="P2883" s="2" t="str">
        <f>"2170530583                    "</f>
        <v xml:space="preserve">2170530583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3.32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1</v>
      </c>
      <c r="BJ2883" s="2">
        <v>0.2</v>
      </c>
      <c r="BK2883" s="2">
        <v>1</v>
      </c>
      <c r="BL2883" s="2">
        <v>40.76</v>
      </c>
      <c r="BM2883" s="2">
        <v>5.71</v>
      </c>
      <c r="BN2883" s="2">
        <v>46.47</v>
      </c>
      <c r="BO2883" s="2">
        <v>46.47</v>
      </c>
      <c r="BP2883" s="2"/>
      <c r="BQ2883" s="2"/>
      <c r="BR2883" s="2" t="s">
        <v>83</v>
      </c>
      <c r="BS2883" s="3">
        <v>42675</v>
      </c>
      <c r="BT2883" s="4">
        <v>0.41388888888888892</v>
      </c>
      <c r="BU2883" s="2" t="s">
        <v>2543</v>
      </c>
      <c r="BV2883" s="2" t="s">
        <v>85</v>
      </c>
      <c r="BW2883" s="2"/>
      <c r="BX2883" s="2"/>
      <c r="BY2883" s="2">
        <v>1200</v>
      </c>
      <c r="BZ2883" s="2"/>
      <c r="CA2883" s="2" t="s">
        <v>451</v>
      </c>
      <c r="CB2883" s="2"/>
      <c r="CC2883" s="2" t="s">
        <v>261</v>
      </c>
      <c r="CD2883" s="2">
        <v>6850</v>
      </c>
      <c r="CE2883" s="2" t="s">
        <v>108</v>
      </c>
      <c r="CF2883" s="5">
        <v>42675</v>
      </c>
      <c r="CG2883" s="2"/>
      <c r="CH2883" s="2"/>
      <c r="CI2883" s="2">
        <v>3</v>
      </c>
      <c r="CJ2883" s="2">
        <v>1</v>
      </c>
      <c r="CK2883" s="2">
        <v>21</v>
      </c>
      <c r="CL2883" s="2" t="s">
        <v>88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"FES1162510334"</f>
        <v>FES1162510334</v>
      </c>
      <c r="F2884" s="3">
        <v>42674</v>
      </c>
      <c r="G2884" s="2">
        <v>201704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377</v>
      </c>
      <c r="M2884" s="2" t="s">
        <v>378</v>
      </c>
      <c r="N2884" s="2" t="s">
        <v>379</v>
      </c>
      <c r="O2884" s="2" t="s">
        <v>96</v>
      </c>
      <c r="P2884" s="2" t="str">
        <f>"2170533396                    "</f>
        <v xml:space="preserve">2170533396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3.32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1</v>
      </c>
      <c r="BJ2884" s="2">
        <v>0.2</v>
      </c>
      <c r="BK2884" s="2">
        <v>1</v>
      </c>
      <c r="BL2884" s="2">
        <v>40.76</v>
      </c>
      <c r="BM2884" s="2">
        <v>5.71</v>
      </c>
      <c r="BN2884" s="2">
        <v>46.47</v>
      </c>
      <c r="BO2884" s="2">
        <v>46.47</v>
      </c>
      <c r="BP2884" s="2"/>
      <c r="BQ2884" s="2" t="s">
        <v>382</v>
      </c>
      <c r="BR2884" s="2" t="s">
        <v>83</v>
      </c>
      <c r="BS2884" s="3">
        <v>42675</v>
      </c>
      <c r="BT2884" s="4">
        <v>0.34722222222222227</v>
      </c>
      <c r="BU2884" s="2" t="s">
        <v>2636</v>
      </c>
      <c r="BV2884" s="2" t="s">
        <v>85</v>
      </c>
      <c r="BW2884" s="2"/>
      <c r="BX2884" s="2"/>
      <c r="BY2884" s="2">
        <v>1200</v>
      </c>
      <c r="BZ2884" s="2"/>
      <c r="CA2884" s="2" t="s">
        <v>2637</v>
      </c>
      <c r="CB2884" s="2"/>
      <c r="CC2884" s="2" t="s">
        <v>378</v>
      </c>
      <c r="CD2884" s="2">
        <v>6536</v>
      </c>
      <c r="CE2884" s="2" t="s">
        <v>108</v>
      </c>
      <c r="CF2884" s="5">
        <v>42675</v>
      </c>
      <c r="CG2884" s="2"/>
      <c r="CH2884" s="2"/>
      <c r="CI2884" s="2">
        <v>1</v>
      </c>
      <c r="CJ2884" s="2">
        <v>1</v>
      </c>
      <c r="CK2884" s="2">
        <v>21</v>
      </c>
      <c r="CL2884" s="2" t="s">
        <v>88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"FES1162510382"</f>
        <v>FES1162510382</v>
      </c>
      <c r="F2885" s="3">
        <v>42674</v>
      </c>
      <c r="G2885" s="2">
        <v>201704</v>
      </c>
      <c r="H2885" s="2" t="s">
        <v>74</v>
      </c>
      <c r="I2885" s="2" t="s">
        <v>75</v>
      </c>
      <c r="J2885" s="2" t="s">
        <v>76</v>
      </c>
      <c r="K2885" s="2" t="s">
        <v>77</v>
      </c>
      <c r="L2885" s="2" t="s">
        <v>160</v>
      </c>
      <c r="M2885" s="2" t="s">
        <v>161</v>
      </c>
      <c r="N2885" s="2" t="s">
        <v>279</v>
      </c>
      <c r="O2885" s="2" t="s">
        <v>96</v>
      </c>
      <c r="P2885" s="2" t="str">
        <f>"2170533455                    "</f>
        <v xml:space="preserve">2170533455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3.32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1</v>
      </c>
      <c r="BJ2885" s="2">
        <v>0.2</v>
      </c>
      <c r="BK2885" s="2">
        <v>1</v>
      </c>
      <c r="BL2885" s="2">
        <v>40.76</v>
      </c>
      <c r="BM2885" s="2">
        <v>5.71</v>
      </c>
      <c r="BN2885" s="2">
        <v>46.47</v>
      </c>
      <c r="BO2885" s="2">
        <v>46.47</v>
      </c>
      <c r="BP2885" s="2"/>
      <c r="BQ2885" s="2" t="s">
        <v>280</v>
      </c>
      <c r="BR2885" s="2" t="s">
        <v>83</v>
      </c>
      <c r="BS2885" s="3">
        <v>42675</v>
      </c>
      <c r="BT2885" s="4">
        <v>0.3888888888888889</v>
      </c>
      <c r="BU2885" s="2" t="s">
        <v>2049</v>
      </c>
      <c r="BV2885" s="2" t="s">
        <v>85</v>
      </c>
      <c r="BW2885" s="2"/>
      <c r="BX2885" s="2"/>
      <c r="BY2885" s="2">
        <v>1200</v>
      </c>
      <c r="BZ2885" s="2"/>
      <c r="CA2885" s="2" t="s">
        <v>129</v>
      </c>
      <c r="CB2885" s="2"/>
      <c r="CC2885" s="2" t="s">
        <v>161</v>
      </c>
      <c r="CD2885" s="2">
        <v>7441</v>
      </c>
      <c r="CE2885" s="2" t="s">
        <v>108</v>
      </c>
      <c r="CF2885" s="5">
        <v>42676</v>
      </c>
      <c r="CG2885" s="2"/>
      <c r="CH2885" s="2"/>
      <c r="CI2885" s="2">
        <v>1</v>
      </c>
      <c r="CJ2885" s="2">
        <v>1</v>
      </c>
      <c r="CK2885" s="2">
        <v>21</v>
      </c>
      <c r="CL2885" s="2" t="s">
        <v>88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"FES1162510297"</f>
        <v>FES1162510297</v>
      </c>
      <c r="F2886" s="3">
        <v>42674</v>
      </c>
      <c r="G2886" s="2">
        <v>201704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160</v>
      </c>
      <c r="M2886" s="2" t="s">
        <v>161</v>
      </c>
      <c r="N2886" s="2" t="s">
        <v>2367</v>
      </c>
      <c r="O2886" s="2" t="s">
        <v>96</v>
      </c>
      <c r="P2886" s="2" t="str">
        <f>"2170531287                    "</f>
        <v xml:space="preserve">2170531287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3.32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1</v>
      </c>
      <c r="BJ2886" s="2">
        <v>0.2</v>
      </c>
      <c r="BK2886" s="2">
        <v>1</v>
      </c>
      <c r="BL2886" s="2">
        <v>40.76</v>
      </c>
      <c r="BM2886" s="2">
        <v>5.71</v>
      </c>
      <c r="BN2886" s="2">
        <v>46.47</v>
      </c>
      <c r="BO2886" s="2">
        <v>46.47</v>
      </c>
      <c r="BP2886" s="2"/>
      <c r="BQ2886" s="2" t="s">
        <v>1684</v>
      </c>
      <c r="BR2886" s="2" t="s">
        <v>83</v>
      </c>
      <c r="BS2886" s="3">
        <v>42675</v>
      </c>
      <c r="BT2886" s="4">
        <v>0.47222222222222227</v>
      </c>
      <c r="BU2886" s="2" t="s">
        <v>2638</v>
      </c>
      <c r="BV2886" s="2" t="s">
        <v>88</v>
      </c>
      <c r="BW2886" s="2" t="s">
        <v>277</v>
      </c>
      <c r="BX2886" s="2" t="s">
        <v>356</v>
      </c>
      <c r="BY2886" s="2">
        <v>1200</v>
      </c>
      <c r="BZ2886" s="2"/>
      <c r="CA2886" s="2"/>
      <c r="CB2886" s="2"/>
      <c r="CC2886" s="2" t="s">
        <v>161</v>
      </c>
      <c r="CD2886" s="2">
        <v>7490</v>
      </c>
      <c r="CE2886" s="2" t="s">
        <v>108</v>
      </c>
      <c r="CF2886" s="5">
        <v>42676</v>
      </c>
      <c r="CG2886" s="2"/>
      <c r="CH2886" s="2"/>
      <c r="CI2886" s="2">
        <v>1</v>
      </c>
      <c r="CJ2886" s="2">
        <v>1</v>
      </c>
      <c r="CK2886" s="2">
        <v>21</v>
      </c>
      <c r="CL2886" s="2" t="s">
        <v>88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"FES1162510437"</f>
        <v>FES1162510437</v>
      </c>
      <c r="F2887" s="3">
        <v>42674</v>
      </c>
      <c r="G2887" s="2">
        <v>201704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98</v>
      </c>
      <c r="M2887" s="2" t="s">
        <v>99</v>
      </c>
      <c r="N2887" s="2" t="s">
        <v>109</v>
      </c>
      <c r="O2887" s="2" t="s">
        <v>96</v>
      </c>
      <c r="P2887" s="2" t="str">
        <f>"2170533528                    "</f>
        <v xml:space="preserve">2170533528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3.32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1</v>
      </c>
      <c r="BJ2887" s="2">
        <v>0.2</v>
      </c>
      <c r="BK2887" s="2">
        <v>1</v>
      </c>
      <c r="BL2887" s="2">
        <v>40.76</v>
      </c>
      <c r="BM2887" s="2">
        <v>5.71</v>
      </c>
      <c r="BN2887" s="2">
        <v>46.47</v>
      </c>
      <c r="BO2887" s="2">
        <v>46.47</v>
      </c>
      <c r="BP2887" s="2"/>
      <c r="BQ2887" s="2" t="s">
        <v>110</v>
      </c>
      <c r="BR2887" s="2" t="s">
        <v>83</v>
      </c>
      <c r="BS2887" s="3">
        <v>42675</v>
      </c>
      <c r="BT2887" s="4">
        <v>0.3611111111111111</v>
      </c>
      <c r="BU2887" s="2" t="s">
        <v>110</v>
      </c>
      <c r="BV2887" s="2" t="s">
        <v>85</v>
      </c>
      <c r="BW2887" s="2"/>
      <c r="BX2887" s="2"/>
      <c r="BY2887" s="2">
        <v>1200</v>
      </c>
      <c r="BZ2887" s="2"/>
      <c r="CA2887" s="2"/>
      <c r="CB2887" s="2"/>
      <c r="CC2887" s="2" t="s">
        <v>99</v>
      </c>
      <c r="CD2887" s="2">
        <v>6001</v>
      </c>
      <c r="CE2887" s="2" t="s">
        <v>108</v>
      </c>
      <c r="CF2887" s="5">
        <v>42676</v>
      </c>
      <c r="CG2887" s="2"/>
      <c r="CH2887" s="2"/>
      <c r="CI2887" s="2">
        <v>1</v>
      </c>
      <c r="CJ2887" s="2">
        <v>1</v>
      </c>
      <c r="CK2887" s="2">
        <v>21</v>
      </c>
      <c r="CL2887" s="2" t="s">
        <v>88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"FES1162510432"</f>
        <v>FES1162510432</v>
      </c>
      <c r="F2888" s="3">
        <v>42674</v>
      </c>
      <c r="G2888" s="2">
        <v>201704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143</v>
      </c>
      <c r="M2888" s="2" t="s">
        <v>144</v>
      </c>
      <c r="N2888" s="2" t="s">
        <v>909</v>
      </c>
      <c r="O2888" s="2" t="s">
        <v>96</v>
      </c>
      <c r="P2888" s="2" t="str">
        <f>"2170533511                    "</f>
        <v xml:space="preserve">2170533511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3.32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1</v>
      </c>
      <c r="BJ2888" s="2">
        <v>0.2</v>
      </c>
      <c r="BK2888" s="2">
        <v>1</v>
      </c>
      <c r="BL2888" s="2">
        <v>40.76</v>
      </c>
      <c r="BM2888" s="2">
        <v>5.71</v>
      </c>
      <c r="BN2888" s="2">
        <v>46.47</v>
      </c>
      <c r="BO2888" s="2">
        <v>46.47</v>
      </c>
      <c r="BP2888" s="2"/>
      <c r="BQ2888" s="2" t="s">
        <v>117</v>
      </c>
      <c r="BR2888" s="2" t="s">
        <v>83</v>
      </c>
      <c r="BS2888" s="3">
        <v>42675</v>
      </c>
      <c r="BT2888" s="4">
        <v>0.40486111111111112</v>
      </c>
      <c r="BU2888" s="2" t="s">
        <v>2639</v>
      </c>
      <c r="BV2888" s="2"/>
      <c r="BW2888" s="2"/>
      <c r="BX2888" s="2"/>
      <c r="BY2888" s="2">
        <v>1200</v>
      </c>
      <c r="BZ2888" s="2"/>
      <c r="CA2888" s="2"/>
      <c r="CB2888" s="2"/>
      <c r="CC2888" s="2" t="s">
        <v>144</v>
      </c>
      <c r="CD2888" s="2">
        <v>5201</v>
      </c>
      <c r="CE2888" s="2" t="s">
        <v>108</v>
      </c>
      <c r="CF2888" s="5">
        <v>42677</v>
      </c>
      <c r="CG2888" s="2"/>
      <c r="CH2888" s="2"/>
      <c r="CI2888" s="2">
        <v>0</v>
      </c>
      <c r="CJ2888" s="2">
        <v>0</v>
      </c>
      <c r="CK2888" s="2">
        <v>21</v>
      </c>
      <c r="CL2888" s="2" t="s">
        <v>88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"FES1162510436"</f>
        <v>FES1162510436</v>
      </c>
      <c r="F2889" s="3">
        <v>42674</v>
      </c>
      <c r="G2889" s="2">
        <v>201704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98</v>
      </c>
      <c r="M2889" s="2" t="s">
        <v>99</v>
      </c>
      <c r="N2889" s="2" t="s">
        <v>1044</v>
      </c>
      <c r="O2889" s="2" t="s">
        <v>96</v>
      </c>
      <c r="P2889" s="2" t="str">
        <f>"2170533524                    "</f>
        <v xml:space="preserve">2170533524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3.32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</v>
      </c>
      <c r="BJ2889" s="2">
        <v>0.2</v>
      </c>
      <c r="BK2889" s="2">
        <v>1</v>
      </c>
      <c r="BL2889" s="2">
        <v>40.76</v>
      </c>
      <c r="BM2889" s="2">
        <v>5.71</v>
      </c>
      <c r="BN2889" s="2">
        <v>46.47</v>
      </c>
      <c r="BO2889" s="2">
        <v>46.47</v>
      </c>
      <c r="BP2889" s="2"/>
      <c r="BQ2889" s="2" t="s">
        <v>1045</v>
      </c>
      <c r="BR2889" s="2" t="s">
        <v>83</v>
      </c>
      <c r="BS2889" s="3">
        <v>42675</v>
      </c>
      <c r="BT2889" s="4">
        <v>0.31111111111111112</v>
      </c>
      <c r="BU2889" s="2" t="s">
        <v>2640</v>
      </c>
      <c r="BV2889" s="2" t="s">
        <v>85</v>
      </c>
      <c r="BW2889" s="2"/>
      <c r="BX2889" s="2"/>
      <c r="BY2889" s="2">
        <v>1200</v>
      </c>
      <c r="BZ2889" s="2"/>
      <c r="CA2889" s="2" t="s">
        <v>468</v>
      </c>
      <c r="CB2889" s="2"/>
      <c r="CC2889" s="2" t="s">
        <v>99</v>
      </c>
      <c r="CD2889" s="2">
        <v>6045</v>
      </c>
      <c r="CE2889" s="2" t="s">
        <v>108</v>
      </c>
      <c r="CF2889" s="5">
        <v>42676</v>
      </c>
      <c r="CG2889" s="2"/>
      <c r="CH2889" s="2"/>
      <c r="CI2889" s="2">
        <v>1</v>
      </c>
      <c r="CJ2889" s="2">
        <v>1</v>
      </c>
      <c r="CK2889" s="2">
        <v>21</v>
      </c>
      <c r="CL2889" s="2" t="s">
        <v>88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"FES1162510429"</f>
        <v>FES1162510429</v>
      </c>
      <c r="F2890" s="3">
        <v>42674</v>
      </c>
      <c r="G2890" s="2">
        <v>201704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98</v>
      </c>
      <c r="M2890" s="2" t="s">
        <v>99</v>
      </c>
      <c r="N2890" s="2" t="s">
        <v>109</v>
      </c>
      <c r="O2890" s="2" t="s">
        <v>96</v>
      </c>
      <c r="P2890" s="2" t="str">
        <f>"2170533504                    "</f>
        <v xml:space="preserve">2170533504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3.32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</v>
      </c>
      <c r="BJ2890" s="2">
        <v>0.2</v>
      </c>
      <c r="BK2890" s="2">
        <v>1</v>
      </c>
      <c r="BL2890" s="2">
        <v>40.76</v>
      </c>
      <c r="BM2890" s="2">
        <v>5.71</v>
      </c>
      <c r="BN2890" s="2">
        <v>46.47</v>
      </c>
      <c r="BO2890" s="2">
        <v>46.47</v>
      </c>
      <c r="BP2890" s="2"/>
      <c r="BQ2890" s="2" t="s">
        <v>110</v>
      </c>
      <c r="BR2890" s="2" t="s">
        <v>83</v>
      </c>
      <c r="BS2890" s="3">
        <v>42675</v>
      </c>
      <c r="BT2890" s="4">
        <v>0.3611111111111111</v>
      </c>
      <c r="BU2890" s="2" t="s">
        <v>110</v>
      </c>
      <c r="BV2890" s="2" t="s">
        <v>85</v>
      </c>
      <c r="BW2890" s="2"/>
      <c r="BX2890" s="2"/>
      <c r="BY2890" s="2">
        <v>1200</v>
      </c>
      <c r="BZ2890" s="2"/>
      <c r="CA2890" s="2"/>
      <c r="CB2890" s="2"/>
      <c r="CC2890" s="2" t="s">
        <v>99</v>
      </c>
      <c r="CD2890" s="2">
        <v>6001</v>
      </c>
      <c r="CE2890" s="2" t="s">
        <v>108</v>
      </c>
      <c r="CF2890" s="5">
        <v>42676</v>
      </c>
      <c r="CG2890" s="2"/>
      <c r="CH2890" s="2"/>
      <c r="CI2890" s="2">
        <v>1</v>
      </c>
      <c r="CJ2890" s="2">
        <v>1</v>
      </c>
      <c r="CK2890" s="2">
        <v>21</v>
      </c>
      <c r="CL2890" s="2" t="s">
        <v>88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"FES1162510442"</f>
        <v>FES1162510442</v>
      </c>
      <c r="F2891" s="3">
        <v>42674</v>
      </c>
      <c r="G2891" s="2">
        <v>201704</v>
      </c>
      <c r="H2891" s="2" t="s">
        <v>74</v>
      </c>
      <c r="I2891" s="2" t="s">
        <v>75</v>
      </c>
      <c r="J2891" s="2" t="s">
        <v>76</v>
      </c>
      <c r="K2891" s="2" t="s">
        <v>77</v>
      </c>
      <c r="L2891" s="2" t="s">
        <v>98</v>
      </c>
      <c r="M2891" s="2" t="s">
        <v>99</v>
      </c>
      <c r="N2891" s="2" t="s">
        <v>330</v>
      </c>
      <c r="O2891" s="2" t="s">
        <v>96</v>
      </c>
      <c r="P2891" s="2" t="str">
        <f>"2170533536                    "</f>
        <v xml:space="preserve">2170533536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3.32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1</v>
      </c>
      <c r="BJ2891" s="2">
        <v>0.2</v>
      </c>
      <c r="BK2891" s="2">
        <v>1</v>
      </c>
      <c r="BL2891" s="2">
        <v>40.76</v>
      </c>
      <c r="BM2891" s="2">
        <v>5.71</v>
      </c>
      <c r="BN2891" s="2">
        <v>46.47</v>
      </c>
      <c r="BO2891" s="2">
        <v>46.47</v>
      </c>
      <c r="BP2891" s="2"/>
      <c r="BQ2891" s="2" t="s">
        <v>331</v>
      </c>
      <c r="BR2891" s="2" t="s">
        <v>83</v>
      </c>
      <c r="BS2891" s="3">
        <v>42675</v>
      </c>
      <c r="BT2891" s="4">
        <v>0.41180555555555554</v>
      </c>
      <c r="BU2891" s="2" t="s">
        <v>2070</v>
      </c>
      <c r="BV2891" s="2" t="s">
        <v>85</v>
      </c>
      <c r="BW2891" s="2"/>
      <c r="BX2891" s="2"/>
      <c r="BY2891" s="2">
        <v>1200</v>
      </c>
      <c r="BZ2891" s="2"/>
      <c r="CA2891" s="2" t="s">
        <v>468</v>
      </c>
      <c r="CB2891" s="2"/>
      <c r="CC2891" s="2" t="s">
        <v>99</v>
      </c>
      <c r="CD2891" s="2">
        <v>6070</v>
      </c>
      <c r="CE2891" s="2" t="s">
        <v>108</v>
      </c>
      <c r="CF2891" s="5">
        <v>42676</v>
      </c>
      <c r="CG2891" s="2"/>
      <c r="CH2891" s="2"/>
      <c r="CI2891" s="2">
        <v>1</v>
      </c>
      <c r="CJ2891" s="2">
        <v>1</v>
      </c>
      <c r="CK2891" s="2">
        <v>21</v>
      </c>
      <c r="CL2891" s="2" t="s">
        <v>88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"FES1162510415"</f>
        <v>FES1162510415</v>
      </c>
      <c r="F2892" s="3">
        <v>42674</v>
      </c>
      <c r="G2892" s="2">
        <v>201704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269</v>
      </c>
      <c r="M2892" s="2" t="s">
        <v>270</v>
      </c>
      <c r="N2892" s="2" t="s">
        <v>778</v>
      </c>
      <c r="O2892" s="2" t="s">
        <v>96</v>
      </c>
      <c r="P2892" s="2" t="str">
        <f>"2170533485                    "</f>
        <v xml:space="preserve">2170533485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3.32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1</v>
      </c>
      <c r="BJ2892" s="2">
        <v>0.2</v>
      </c>
      <c r="BK2892" s="2">
        <v>1</v>
      </c>
      <c r="BL2892" s="2">
        <v>40.76</v>
      </c>
      <c r="BM2892" s="2">
        <v>5.71</v>
      </c>
      <c r="BN2892" s="2">
        <v>46.47</v>
      </c>
      <c r="BO2892" s="2">
        <v>46.47</v>
      </c>
      <c r="BP2892" s="2"/>
      <c r="BQ2892" s="2" t="s">
        <v>117</v>
      </c>
      <c r="BR2892" s="2" t="s">
        <v>83</v>
      </c>
      <c r="BS2892" s="3">
        <v>42675</v>
      </c>
      <c r="BT2892" s="4">
        <v>0.41666666666666669</v>
      </c>
      <c r="BU2892" s="2" t="s">
        <v>724</v>
      </c>
      <c r="BV2892" s="2" t="s">
        <v>85</v>
      </c>
      <c r="BW2892" s="2"/>
      <c r="BX2892" s="2"/>
      <c r="BY2892" s="2">
        <v>1200</v>
      </c>
      <c r="BZ2892" s="2"/>
      <c r="CA2892" s="2" t="s">
        <v>129</v>
      </c>
      <c r="CB2892" s="2"/>
      <c r="CC2892" s="2" t="s">
        <v>270</v>
      </c>
      <c r="CD2892" s="2">
        <v>3600</v>
      </c>
      <c r="CE2892" s="2" t="s">
        <v>108</v>
      </c>
      <c r="CF2892" s="5">
        <v>42677</v>
      </c>
      <c r="CG2892" s="2"/>
      <c r="CH2892" s="2"/>
      <c r="CI2892" s="2">
        <v>1</v>
      </c>
      <c r="CJ2892" s="2">
        <v>1</v>
      </c>
      <c r="CK2892" s="2">
        <v>21</v>
      </c>
      <c r="CL2892" s="2" t="s">
        <v>88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"FES1162510417"</f>
        <v>FES1162510417</v>
      </c>
      <c r="F2893" s="3">
        <v>42674</v>
      </c>
      <c r="G2893" s="2">
        <v>201704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1225</v>
      </c>
      <c r="M2893" s="2" t="s">
        <v>1226</v>
      </c>
      <c r="N2893" s="2" t="s">
        <v>1227</v>
      </c>
      <c r="O2893" s="2" t="s">
        <v>96</v>
      </c>
      <c r="P2893" s="2" t="str">
        <f>"2170533489                    "</f>
        <v xml:space="preserve">2170533489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6.43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1</v>
      </c>
      <c r="BJ2893" s="2">
        <v>0.2</v>
      </c>
      <c r="BK2893" s="2">
        <v>1</v>
      </c>
      <c r="BL2893" s="2">
        <v>78.97</v>
      </c>
      <c r="BM2893" s="2">
        <v>11.06</v>
      </c>
      <c r="BN2893" s="2">
        <v>90.03</v>
      </c>
      <c r="BO2893" s="2">
        <v>90.03</v>
      </c>
      <c r="BP2893" s="2"/>
      <c r="BQ2893" s="2" t="s">
        <v>91</v>
      </c>
      <c r="BR2893" s="2" t="s">
        <v>83</v>
      </c>
      <c r="BS2893" s="3">
        <v>42675</v>
      </c>
      <c r="BT2893" s="4">
        <v>0.55208333333333337</v>
      </c>
      <c r="BU2893" s="2" t="s">
        <v>2641</v>
      </c>
      <c r="BV2893" s="2" t="s">
        <v>85</v>
      </c>
      <c r="BW2893" s="2"/>
      <c r="BX2893" s="2"/>
      <c r="BY2893" s="2">
        <v>1200</v>
      </c>
      <c r="BZ2893" s="2"/>
      <c r="CA2893" s="2"/>
      <c r="CB2893" s="2"/>
      <c r="CC2893" s="2" t="s">
        <v>1226</v>
      </c>
      <c r="CD2893" s="2">
        <v>5605</v>
      </c>
      <c r="CE2893" s="2" t="s">
        <v>108</v>
      </c>
      <c r="CF2893" s="5">
        <v>42677</v>
      </c>
      <c r="CG2893" s="2"/>
      <c r="CH2893" s="2"/>
      <c r="CI2893" s="2">
        <v>4</v>
      </c>
      <c r="CJ2893" s="2">
        <v>1</v>
      </c>
      <c r="CK2893" s="2">
        <v>23</v>
      </c>
      <c r="CL2893" s="2" t="s">
        <v>88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"FES1162510413"</f>
        <v>FES1162510413</v>
      </c>
      <c r="F2894" s="3">
        <v>42674</v>
      </c>
      <c r="G2894" s="2">
        <v>201704</v>
      </c>
      <c r="H2894" s="2" t="s">
        <v>74</v>
      </c>
      <c r="I2894" s="2" t="s">
        <v>75</v>
      </c>
      <c r="J2894" s="2" t="s">
        <v>76</v>
      </c>
      <c r="K2894" s="2" t="s">
        <v>77</v>
      </c>
      <c r="L2894" s="2" t="s">
        <v>269</v>
      </c>
      <c r="M2894" s="2" t="s">
        <v>270</v>
      </c>
      <c r="N2894" s="2" t="s">
        <v>1245</v>
      </c>
      <c r="O2894" s="2" t="s">
        <v>96</v>
      </c>
      <c r="P2894" s="2" t="str">
        <f>"2170533480                    "</f>
        <v xml:space="preserve">2170533480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3.32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1</v>
      </c>
      <c r="BJ2894" s="2">
        <v>0.2</v>
      </c>
      <c r="BK2894" s="2">
        <v>1</v>
      </c>
      <c r="BL2894" s="2">
        <v>40.76</v>
      </c>
      <c r="BM2894" s="2">
        <v>5.71</v>
      </c>
      <c r="BN2894" s="2">
        <v>46.47</v>
      </c>
      <c r="BO2894" s="2">
        <v>46.47</v>
      </c>
      <c r="BP2894" s="2"/>
      <c r="BQ2894" s="2" t="s">
        <v>91</v>
      </c>
      <c r="BR2894" s="2" t="s">
        <v>83</v>
      </c>
      <c r="BS2894" s="3">
        <v>42675</v>
      </c>
      <c r="BT2894" s="4">
        <v>0.45833333333333331</v>
      </c>
      <c r="BU2894" s="2" t="s">
        <v>1666</v>
      </c>
      <c r="BV2894" s="2"/>
      <c r="BW2894" s="2"/>
      <c r="BX2894" s="2"/>
      <c r="BY2894" s="2">
        <v>1200</v>
      </c>
      <c r="BZ2894" s="2"/>
      <c r="CA2894" s="2"/>
      <c r="CB2894" s="2"/>
      <c r="CC2894" s="2" t="s">
        <v>270</v>
      </c>
      <c r="CD2894" s="2">
        <v>4037</v>
      </c>
      <c r="CE2894" s="2" t="s">
        <v>108</v>
      </c>
      <c r="CF2894" s="2"/>
      <c r="CG2894" s="2"/>
      <c r="CH2894" s="2"/>
      <c r="CI2894" s="2">
        <v>0</v>
      </c>
      <c r="CJ2894" s="2">
        <v>0</v>
      </c>
      <c r="CK2894" s="2">
        <v>21</v>
      </c>
      <c r="CL2894" s="2" t="s">
        <v>88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"FES1162510467"</f>
        <v>FES1162510467</v>
      </c>
      <c r="F2895" s="3">
        <v>42674</v>
      </c>
      <c r="G2895" s="2">
        <v>201704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98</v>
      </c>
      <c r="M2895" s="2" t="s">
        <v>99</v>
      </c>
      <c r="N2895" s="2" t="s">
        <v>133</v>
      </c>
      <c r="O2895" s="2" t="s">
        <v>96</v>
      </c>
      <c r="P2895" s="2" t="str">
        <f>"2170508808                    "</f>
        <v xml:space="preserve">2170508808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3.32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1</v>
      </c>
      <c r="BJ2895" s="2">
        <v>0.2</v>
      </c>
      <c r="BK2895" s="2">
        <v>1</v>
      </c>
      <c r="BL2895" s="2">
        <v>40.76</v>
      </c>
      <c r="BM2895" s="2">
        <v>5.71</v>
      </c>
      <c r="BN2895" s="2">
        <v>46.47</v>
      </c>
      <c r="BO2895" s="2">
        <v>46.47</v>
      </c>
      <c r="BP2895" s="2"/>
      <c r="BQ2895" s="2" t="s">
        <v>134</v>
      </c>
      <c r="BR2895" s="2" t="s">
        <v>83</v>
      </c>
      <c r="BS2895" s="3">
        <v>42677</v>
      </c>
      <c r="BT2895" s="4">
        <v>0.55555555555555558</v>
      </c>
      <c r="BU2895" s="2" t="s">
        <v>2508</v>
      </c>
      <c r="BV2895" s="2" t="s">
        <v>88</v>
      </c>
      <c r="BW2895" s="2" t="s">
        <v>222</v>
      </c>
      <c r="BX2895" s="2" t="s">
        <v>2509</v>
      </c>
      <c r="BY2895" s="2">
        <v>1200</v>
      </c>
      <c r="BZ2895" s="2"/>
      <c r="CA2895" s="2"/>
      <c r="CB2895" s="2"/>
      <c r="CC2895" s="2" t="s">
        <v>99</v>
      </c>
      <c r="CD2895" s="2">
        <v>6001</v>
      </c>
      <c r="CE2895" s="2" t="s">
        <v>108</v>
      </c>
      <c r="CF2895" s="2"/>
      <c r="CG2895" s="2"/>
      <c r="CH2895" s="2"/>
      <c r="CI2895" s="2">
        <v>1</v>
      </c>
      <c r="CJ2895" s="2">
        <v>3</v>
      </c>
      <c r="CK2895" s="2">
        <v>21</v>
      </c>
      <c r="CL2895" s="2" t="s">
        <v>88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"FES1162510473"</f>
        <v>FES1162510473</v>
      </c>
      <c r="F2896" s="3">
        <v>42674</v>
      </c>
      <c r="G2896" s="2">
        <v>201704</v>
      </c>
      <c r="H2896" s="2" t="s">
        <v>74</v>
      </c>
      <c r="I2896" s="2" t="s">
        <v>75</v>
      </c>
      <c r="J2896" s="2" t="s">
        <v>76</v>
      </c>
      <c r="K2896" s="2" t="s">
        <v>77</v>
      </c>
      <c r="L2896" s="2" t="s">
        <v>98</v>
      </c>
      <c r="M2896" s="2" t="s">
        <v>99</v>
      </c>
      <c r="N2896" s="2" t="s">
        <v>133</v>
      </c>
      <c r="O2896" s="2" t="s">
        <v>96</v>
      </c>
      <c r="P2896" s="2" t="str">
        <f>"2170533572                    "</f>
        <v xml:space="preserve">2170533572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3.32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1</v>
      </c>
      <c r="BJ2896" s="2">
        <v>0.2</v>
      </c>
      <c r="BK2896" s="2">
        <v>1</v>
      </c>
      <c r="BL2896" s="2">
        <v>40.76</v>
      </c>
      <c r="BM2896" s="2">
        <v>5.71</v>
      </c>
      <c r="BN2896" s="2">
        <v>46.47</v>
      </c>
      <c r="BO2896" s="2">
        <v>46.47</v>
      </c>
      <c r="BP2896" s="2"/>
      <c r="BQ2896" s="2" t="s">
        <v>134</v>
      </c>
      <c r="BR2896" s="2" t="s">
        <v>83</v>
      </c>
      <c r="BS2896" s="3">
        <v>42675</v>
      </c>
      <c r="BT2896" s="4">
        <v>0.34027777777777773</v>
      </c>
      <c r="BU2896" s="2" t="s">
        <v>2642</v>
      </c>
      <c r="BV2896" s="2" t="s">
        <v>85</v>
      </c>
      <c r="BW2896" s="2"/>
      <c r="BX2896" s="2"/>
      <c r="BY2896" s="2">
        <v>1200</v>
      </c>
      <c r="BZ2896" s="2"/>
      <c r="CA2896" s="2"/>
      <c r="CB2896" s="2"/>
      <c r="CC2896" s="2" t="s">
        <v>99</v>
      </c>
      <c r="CD2896" s="2">
        <v>6001</v>
      </c>
      <c r="CE2896" s="2" t="s">
        <v>108</v>
      </c>
      <c r="CF2896" s="5">
        <v>42676</v>
      </c>
      <c r="CG2896" s="2"/>
      <c r="CH2896" s="2"/>
      <c r="CI2896" s="2">
        <v>1</v>
      </c>
      <c r="CJ2896" s="2">
        <v>1</v>
      </c>
      <c r="CK2896" s="2">
        <v>21</v>
      </c>
      <c r="CL2896" s="2" t="s">
        <v>88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"FES1162510469"</f>
        <v>FES1162510469</v>
      </c>
      <c r="F2897" s="3">
        <v>42674</v>
      </c>
      <c r="G2897" s="2">
        <v>201704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98</v>
      </c>
      <c r="M2897" s="2" t="s">
        <v>99</v>
      </c>
      <c r="N2897" s="2" t="s">
        <v>133</v>
      </c>
      <c r="O2897" s="2" t="s">
        <v>96</v>
      </c>
      <c r="P2897" s="2" t="str">
        <f>"2170512776                    "</f>
        <v xml:space="preserve">2170512776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3.32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1.2</v>
      </c>
      <c r="BJ2897" s="2">
        <v>0.2</v>
      </c>
      <c r="BK2897" s="2">
        <v>1.5</v>
      </c>
      <c r="BL2897" s="2">
        <v>40.76</v>
      </c>
      <c r="BM2897" s="2">
        <v>5.71</v>
      </c>
      <c r="BN2897" s="2">
        <v>46.47</v>
      </c>
      <c r="BO2897" s="2">
        <v>46.47</v>
      </c>
      <c r="BP2897" s="2"/>
      <c r="BQ2897" s="2" t="s">
        <v>134</v>
      </c>
      <c r="BR2897" s="2" t="s">
        <v>83</v>
      </c>
      <c r="BS2897" s="3">
        <v>42675</v>
      </c>
      <c r="BT2897" s="4">
        <v>0.34027777777777773</v>
      </c>
      <c r="BU2897" s="2" t="s">
        <v>554</v>
      </c>
      <c r="BV2897" s="2" t="s">
        <v>85</v>
      </c>
      <c r="BW2897" s="2"/>
      <c r="BX2897" s="2"/>
      <c r="BY2897" s="2">
        <v>1200</v>
      </c>
      <c r="BZ2897" s="2"/>
      <c r="CA2897" s="2"/>
      <c r="CB2897" s="2"/>
      <c r="CC2897" s="2" t="s">
        <v>99</v>
      </c>
      <c r="CD2897" s="2">
        <v>6001</v>
      </c>
      <c r="CE2897" s="2" t="s">
        <v>108</v>
      </c>
      <c r="CF2897" s="5">
        <v>42676</v>
      </c>
      <c r="CG2897" s="2"/>
      <c r="CH2897" s="2"/>
      <c r="CI2897" s="2">
        <v>1</v>
      </c>
      <c r="CJ2897" s="2">
        <v>1</v>
      </c>
      <c r="CK2897" s="2">
        <v>21</v>
      </c>
      <c r="CL2897" s="2" t="s">
        <v>88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"FES1162510463"</f>
        <v>FES1162510463</v>
      </c>
      <c r="F2898" s="3">
        <v>42674</v>
      </c>
      <c r="G2898" s="2">
        <v>201704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286</v>
      </c>
      <c r="M2898" s="2" t="s">
        <v>287</v>
      </c>
      <c r="N2898" s="2" t="s">
        <v>288</v>
      </c>
      <c r="O2898" s="2" t="s">
        <v>96</v>
      </c>
      <c r="P2898" s="2" t="str">
        <f>"2170533560                    "</f>
        <v xml:space="preserve">2170533560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3.32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</v>
      </c>
      <c r="BJ2898" s="2">
        <v>0.2</v>
      </c>
      <c r="BK2898" s="2">
        <v>1</v>
      </c>
      <c r="BL2898" s="2">
        <v>40.76</v>
      </c>
      <c r="BM2898" s="2">
        <v>5.71</v>
      </c>
      <c r="BN2898" s="2">
        <v>46.47</v>
      </c>
      <c r="BO2898" s="2">
        <v>46.47</v>
      </c>
      <c r="BP2898" s="2"/>
      <c r="BQ2898" s="2" t="s">
        <v>289</v>
      </c>
      <c r="BR2898" s="2" t="s">
        <v>83</v>
      </c>
      <c r="BS2898" s="3">
        <v>42675</v>
      </c>
      <c r="BT2898" s="4">
        <v>0.41666666666666669</v>
      </c>
      <c r="BU2898" s="2" t="s">
        <v>2643</v>
      </c>
      <c r="BV2898" s="2" t="s">
        <v>85</v>
      </c>
      <c r="BW2898" s="2"/>
      <c r="BX2898" s="2"/>
      <c r="BY2898" s="2">
        <v>1200</v>
      </c>
      <c r="BZ2898" s="2"/>
      <c r="CA2898" s="2"/>
      <c r="CB2898" s="2"/>
      <c r="CC2898" s="2" t="s">
        <v>287</v>
      </c>
      <c r="CD2898" s="2">
        <v>1947</v>
      </c>
      <c r="CE2898" s="2" t="s">
        <v>108</v>
      </c>
      <c r="CF2898" s="5">
        <v>42677</v>
      </c>
      <c r="CG2898" s="2"/>
      <c r="CH2898" s="2"/>
      <c r="CI2898" s="2">
        <v>1</v>
      </c>
      <c r="CJ2898" s="2">
        <v>1</v>
      </c>
      <c r="CK2898" s="2">
        <v>21</v>
      </c>
      <c r="CL2898" s="2" t="s">
        <v>88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"FES1162510295"</f>
        <v>FES1162510295</v>
      </c>
      <c r="F2899" s="3">
        <v>42674</v>
      </c>
      <c r="G2899" s="2">
        <v>201704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1175</v>
      </c>
      <c r="M2899" s="2" t="s">
        <v>1176</v>
      </c>
      <c r="N2899" s="2" t="s">
        <v>1705</v>
      </c>
      <c r="O2899" s="2" t="s">
        <v>96</v>
      </c>
      <c r="P2899" s="2" t="str">
        <f>"2170531021                    "</f>
        <v xml:space="preserve">2170531021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3.32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1</v>
      </c>
      <c r="BJ2899" s="2">
        <v>0.2</v>
      </c>
      <c r="BK2899" s="2">
        <v>1</v>
      </c>
      <c r="BL2899" s="2">
        <v>40.76</v>
      </c>
      <c r="BM2899" s="2">
        <v>5.71</v>
      </c>
      <c r="BN2899" s="2">
        <v>46.47</v>
      </c>
      <c r="BO2899" s="2">
        <v>46.47</v>
      </c>
      <c r="BP2899" s="2"/>
      <c r="BQ2899" s="2" t="s">
        <v>82</v>
      </c>
      <c r="BR2899" s="2" t="s">
        <v>83</v>
      </c>
      <c r="BS2899" s="3">
        <v>42675</v>
      </c>
      <c r="BT2899" s="4">
        <v>0.46319444444444446</v>
      </c>
      <c r="BU2899" s="2" t="s">
        <v>1706</v>
      </c>
      <c r="BV2899" s="2" t="s">
        <v>85</v>
      </c>
      <c r="BW2899" s="2"/>
      <c r="BX2899" s="2"/>
      <c r="BY2899" s="2">
        <v>1200</v>
      </c>
      <c r="BZ2899" s="2"/>
      <c r="CA2899" s="2" t="s">
        <v>1179</v>
      </c>
      <c r="CB2899" s="2"/>
      <c r="CC2899" s="2" t="s">
        <v>1176</v>
      </c>
      <c r="CD2899" s="2">
        <v>3310</v>
      </c>
      <c r="CE2899" s="2" t="s">
        <v>108</v>
      </c>
      <c r="CF2899" s="5">
        <v>42675</v>
      </c>
      <c r="CG2899" s="2"/>
      <c r="CH2899" s="2"/>
      <c r="CI2899" s="2">
        <v>1</v>
      </c>
      <c r="CJ2899" s="2">
        <v>1</v>
      </c>
      <c r="CK2899" s="2">
        <v>21</v>
      </c>
      <c r="CL2899" s="2" t="s">
        <v>88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"FES1162510268"</f>
        <v>FES1162510268</v>
      </c>
      <c r="F2900" s="3">
        <v>42674</v>
      </c>
      <c r="G2900" s="2">
        <v>201704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148</v>
      </c>
      <c r="M2900" s="2" t="s">
        <v>149</v>
      </c>
      <c r="N2900" s="2" t="s">
        <v>242</v>
      </c>
      <c r="O2900" s="2" t="s">
        <v>96</v>
      </c>
      <c r="P2900" s="2" t="str">
        <f>"2170533374                    "</f>
        <v xml:space="preserve">2170533374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3.32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1</v>
      </c>
      <c r="BJ2900" s="2">
        <v>0.2</v>
      </c>
      <c r="BK2900" s="2">
        <v>1</v>
      </c>
      <c r="BL2900" s="2">
        <v>40.76</v>
      </c>
      <c r="BM2900" s="2">
        <v>5.71</v>
      </c>
      <c r="BN2900" s="2">
        <v>46.47</v>
      </c>
      <c r="BO2900" s="2">
        <v>46.47</v>
      </c>
      <c r="BP2900" s="2"/>
      <c r="BQ2900" s="2" t="s">
        <v>91</v>
      </c>
      <c r="BR2900" s="2" t="s">
        <v>83</v>
      </c>
      <c r="BS2900" s="3">
        <v>42675</v>
      </c>
      <c r="BT2900" s="4">
        <v>0.41666666666666669</v>
      </c>
      <c r="BU2900" s="2" t="s">
        <v>1159</v>
      </c>
      <c r="BV2900" s="2"/>
      <c r="BW2900" s="2"/>
      <c r="BX2900" s="2"/>
      <c r="BY2900" s="2">
        <v>1200</v>
      </c>
      <c r="BZ2900" s="2"/>
      <c r="CA2900" s="2"/>
      <c r="CB2900" s="2"/>
      <c r="CC2900" s="2" t="s">
        <v>149</v>
      </c>
      <c r="CD2900" s="2">
        <v>4001</v>
      </c>
      <c r="CE2900" s="2" t="s">
        <v>108</v>
      </c>
      <c r="CF2900" s="5">
        <v>42677</v>
      </c>
      <c r="CG2900" s="2"/>
      <c r="CH2900" s="2"/>
      <c r="CI2900" s="2">
        <v>0</v>
      </c>
      <c r="CJ2900" s="2">
        <v>0</v>
      </c>
      <c r="CK2900" s="2">
        <v>21</v>
      </c>
      <c r="CL2900" s="2" t="s">
        <v>88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"FES1162510430"</f>
        <v>FES1162510430</v>
      </c>
      <c r="F2901" s="3">
        <v>42674</v>
      </c>
      <c r="G2901" s="2">
        <v>201704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143</v>
      </c>
      <c r="M2901" s="2" t="s">
        <v>144</v>
      </c>
      <c r="N2901" s="2" t="s">
        <v>2644</v>
      </c>
      <c r="O2901" s="2" t="s">
        <v>96</v>
      </c>
      <c r="P2901" s="2" t="str">
        <f>"2170533505                    "</f>
        <v xml:space="preserve">2170533505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8.2899999999999991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5</v>
      </c>
      <c r="BJ2901" s="2">
        <v>4.8</v>
      </c>
      <c r="BK2901" s="2">
        <v>5</v>
      </c>
      <c r="BL2901" s="2">
        <v>101.89</v>
      </c>
      <c r="BM2901" s="2">
        <v>14.26</v>
      </c>
      <c r="BN2901" s="2">
        <v>116.15</v>
      </c>
      <c r="BO2901" s="2">
        <v>116.15</v>
      </c>
      <c r="BP2901" s="2"/>
      <c r="BQ2901" s="2" t="s">
        <v>91</v>
      </c>
      <c r="BR2901" s="2" t="s">
        <v>83</v>
      </c>
      <c r="BS2901" s="3">
        <v>42675</v>
      </c>
      <c r="BT2901" s="4">
        <v>0.41666666666666669</v>
      </c>
      <c r="BU2901" s="2" t="s">
        <v>2645</v>
      </c>
      <c r="BV2901" s="2" t="s">
        <v>85</v>
      </c>
      <c r="BW2901" s="2"/>
      <c r="BX2901" s="2"/>
      <c r="BY2901" s="2">
        <v>23958</v>
      </c>
      <c r="BZ2901" s="2"/>
      <c r="CA2901" s="2"/>
      <c r="CB2901" s="2"/>
      <c r="CC2901" s="2" t="s">
        <v>144</v>
      </c>
      <c r="CD2901" s="2">
        <v>5247</v>
      </c>
      <c r="CE2901" s="2" t="s">
        <v>86</v>
      </c>
      <c r="CF2901" s="5">
        <v>42677</v>
      </c>
      <c r="CG2901" s="2"/>
      <c r="CH2901" s="2"/>
      <c r="CI2901" s="2">
        <v>1</v>
      </c>
      <c r="CJ2901" s="2">
        <v>1</v>
      </c>
      <c r="CK2901" s="2">
        <v>21</v>
      </c>
      <c r="CL2901" s="2" t="s">
        <v>88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"FES1162510403"</f>
        <v>FES1162510403</v>
      </c>
      <c r="F2902" s="3">
        <v>42674</v>
      </c>
      <c r="G2902" s="2">
        <v>201704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143</v>
      </c>
      <c r="M2902" s="2" t="s">
        <v>144</v>
      </c>
      <c r="N2902" s="2" t="s">
        <v>1905</v>
      </c>
      <c r="O2902" s="2" t="s">
        <v>96</v>
      </c>
      <c r="P2902" s="2" t="str">
        <f>"2170533118                    "</f>
        <v xml:space="preserve">2170533118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3.32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40.76</v>
      </c>
      <c r="BM2902" s="2">
        <v>5.71</v>
      </c>
      <c r="BN2902" s="2">
        <v>46.47</v>
      </c>
      <c r="BO2902" s="2">
        <v>46.47</v>
      </c>
      <c r="BP2902" s="2"/>
      <c r="BQ2902" s="2" t="s">
        <v>117</v>
      </c>
      <c r="BR2902" s="2" t="s">
        <v>83</v>
      </c>
      <c r="BS2902" s="3">
        <v>42675</v>
      </c>
      <c r="BT2902" s="4">
        <v>0.4375</v>
      </c>
      <c r="BU2902" s="2" t="s">
        <v>2646</v>
      </c>
      <c r="BV2902" s="2" t="s">
        <v>85</v>
      </c>
      <c r="BW2902" s="2"/>
      <c r="BX2902" s="2"/>
      <c r="BY2902" s="2">
        <v>1200</v>
      </c>
      <c r="BZ2902" s="2"/>
      <c r="CA2902" s="2"/>
      <c r="CB2902" s="2"/>
      <c r="CC2902" s="2" t="s">
        <v>144</v>
      </c>
      <c r="CD2902" s="2">
        <v>5201</v>
      </c>
      <c r="CE2902" s="2" t="s">
        <v>108</v>
      </c>
      <c r="CF2902" s="5">
        <v>42677</v>
      </c>
      <c r="CG2902" s="2"/>
      <c r="CH2902" s="2"/>
      <c r="CI2902" s="2">
        <v>1</v>
      </c>
      <c r="CJ2902" s="2">
        <v>1</v>
      </c>
      <c r="CK2902" s="2">
        <v>21</v>
      </c>
      <c r="CL2902" s="2" t="s">
        <v>88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"FES1162510322"</f>
        <v>FES1162510322</v>
      </c>
      <c r="F2903" s="3">
        <v>42674</v>
      </c>
      <c r="G2903" s="2">
        <v>201704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137</v>
      </c>
      <c r="M2903" s="2" t="s">
        <v>138</v>
      </c>
      <c r="N2903" s="2" t="s">
        <v>2626</v>
      </c>
      <c r="O2903" s="2" t="s">
        <v>96</v>
      </c>
      <c r="P2903" s="2" t="str">
        <f>"2170532874                    "</f>
        <v xml:space="preserve">2170532874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3.32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0.2</v>
      </c>
      <c r="BK2903" s="2">
        <v>1</v>
      </c>
      <c r="BL2903" s="2">
        <v>40.76</v>
      </c>
      <c r="BM2903" s="2">
        <v>5.71</v>
      </c>
      <c r="BN2903" s="2">
        <v>46.47</v>
      </c>
      <c r="BO2903" s="2">
        <v>46.47</v>
      </c>
      <c r="BP2903" s="2"/>
      <c r="BQ2903" s="2" t="s">
        <v>2627</v>
      </c>
      <c r="BR2903" s="2" t="s">
        <v>83</v>
      </c>
      <c r="BS2903" s="3">
        <v>42675</v>
      </c>
      <c r="BT2903" s="4">
        <v>0.3972222222222222</v>
      </c>
      <c r="BU2903" s="2" t="s">
        <v>584</v>
      </c>
      <c r="BV2903" s="2"/>
      <c r="BW2903" s="2"/>
      <c r="BX2903" s="2"/>
      <c r="BY2903" s="2">
        <v>1200</v>
      </c>
      <c r="BZ2903" s="2"/>
      <c r="CA2903" s="2" t="s">
        <v>613</v>
      </c>
      <c r="CB2903" s="2"/>
      <c r="CC2903" s="2" t="s">
        <v>138</v>
      </c>
      <c r="CD2903" s="2">
        <v>3201</v>
      </c>
      <c r="CE2903" s="2" t="s">
        <v>108</v>
      </c>
      <c r="CF2903" s="5">
        <v>42675</v>
      </c>
      <c r="CG2903" s="2"/>
      <c r="CH2903" s="2"/>
      <c r="CI2903" s="2">
        <v>0</v>
      </c>
      <c r="CJ2903" s="2">
        <v>0</v>
      </c>
      <c r="CK2903" s="2">
        <v>21</v>
      </c>
      <c r="CL2903" s="2" t="s">
        <v>88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"FES1162510338"</f>
        <v>FES1162510338</v>
      </c>
      <c r="F2904" s="3">
        <v>42674</v>
      </c>
      <c r="G2904" s="2">
        <v>201704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269</v>
      </c>
      <c r="M2904" s="2" t="s">
        <v>270</v>
      </c>
      <c r="N2904" s="2" t="s">
        <v>1720</v>
      </c>
      <c r="O2904" s="2" t="s">
        <v>96</v>
      </c>
      <c r="P2904" s="2" t="str">
        <f>"2170533393                    "</f>
        <v xml:space="preserve">2170533393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3.32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1</v>
      </c>
      <c r="BJ2904" s="2">
        <v>0.2</v>
      </c>
      <c r="BK2904" s="2">
        <v>1</v>
      </c>
      <c r="BL2904" s="2">
        <v>40.76</v>
      </c>
      <c r="BM2904" s="2">
        <v>5.71</v>
      </c>
      <c r="BN2904" s="2">
        <v>46.47</v>
      </c>
      <c r="BO2904" s="2">
        <v>46.47</v>
      </c>
      <c r="BP2904" s="2"/>
      <c r="BQ2904" s="2" t="s">
        <v>91</v>
      </c>
      <c r="BR2904" s="2" t="s">
        <v>83</v>
      </c>
      <c r="BS2904" s="3">
        <v>42675</v>
      </c>
      <c r="BT2904" s="4">
        <v>0.36874999999999997</v>
      </c>
      <c r="BU2904" s="2" t="s">
        <v>2647</v>
      </c>
      <c r="BV2904" s="2" t="s">
        <v>85</v>
      </c>
      <c r="BW2904" s="2"/>
      <c r="BX2904" s="2"/>
      <c r="BY2904" s="2">
        <v>1200</v>
      </c>
      <c r="BZ2904" s="2"/>
      <c r="CA2904" s="2"/>
      <c r="CB2904" s="2"/>
      <c r="CC2904" s="2" t="s">
        <v>270</v>
      </c>
      <c r="CD2904" s="2">
        <v>3610</v>
      </c>
      <c r="CE2904" s="2" t="s">
        <v>108</v>
      </c>
      <c r="CF2904" s="5">
        <v>42675</v>
      </c>
      <c r="CG2904" s="2"/>
      <c r="CH2904" s="2"/>
      <c r="CI2904" s="2">
        <v>1</v>
      </c>
      <c r="CJ2904" s="2">
        <v>1</v>
      </c>
      <c r="CK2904" s="2">
        <v>21</v>
      </c>
      <c r="CL2904" s="2" t="s">
        <v>88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"FES1162510256"</f>
        <v>FES1162510256</v>
      </c>
      <c r="F2905" s="3">
        <v>42674</v>
      </c>
      <c r="G2905" s="2">
        <v>201704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93</v>
      </c>
      <c r="M2905" s="2" t="s">
        <v>94</v>
      </c>
      <c r="N2905" s="2" t="s">
        <v>536</v>
      </c>
      <c r="O2905" s="2" t="s">
        <v>96</v>
      </c>
      <c r="P2905" s="2" t="str">
        <f>"2170533358                    "</f>
        <v xml:space="preserve">2170533358 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3.32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1</v>
      </c>
      <c r="BJ2905" s="2">
        <v>0.2</v>
      </c>
      <c r="BK2905" s="2">
        <v>1</v>
      </c>
      <c r="BL2905" s="2">
        <v>40.76</v>
      </c>
      <c r="BM2905" s="2">
        <v>5.71</v>
      </c>
      <c r="BN2905" s="2">
        <v>46.47</v>
      </c>
      <c r="BO2905" s="2">
        <v>46.47</v>
      </c>
      <c r="BP2905" s="2"/>
      <c r="BQ2905" s="2" t="s">
        <v>537</v>
      </c>
      <c r="BR2905" s="2" t="s">
        <v>83</v>
      </c>
      <c r="BS2905" s="3">
        <v>42675</v>
      </c>
      <c r="BT2905" s="4">
        <v>0.4375</v>
      </c>
      <c r="BU2905" s="2" t="s">
        <v>2648</v>
      </c>
      <c r="BV2905" s="2" t="s">
        <v>85</v>
      </c>
      <c r="BW2905" s="2"/>
      <c r="BX2905" s="2"/>
      <c r="BY2905" s="2">
        <v>1200</v>
      </c>
      <c r="BZ2905" s="2"/>
      <c r="CA2905" s="2" t="s">
        <v>129</v>
      </c>
      <c r="CB2905" s="2"/>
      <c r="CC2905" s="2" t="s">
        <v>94</v>
      </c>
      <c r="CD2905" s="2">
        <v>4300</v>
      </c>
      <c r="CE2905" s="2" t="s">
        <v>108</v>
      </c>
      <c r="CF2905" s="5">
        <v>42677</v>
      </c>
      <c r="CG2905" s="2"/>
      <c r="CH2905" s="2"/>
      <c r="CI2905" s="2">
        <v>1</v>
      </c>
      <c r="CJ2905" s="2">
        <v>1</v>
      </c>
      <c r="CK2905" s="2">
        <v>21</v>
      </c>
      <c r="CL2905" s="2" t="s">
        <v>88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"FES1162510351"</f>
        <v>FES1162510351</v>
      </c>
      <c r="F2906" s="3">
        <v>42674</v>
      </c>
      <c r="G2906" s="2">
        <v>201704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1380</v>
      </c>
      <c r="M2906" s="2" t="s">
        <v>1381</v>
      </c>
      <c r="N2906" s="2" t="s">
        <v>1722</v>
      </c>
      <c r="O2906" s="2" t="s">
        <v>96</v>
      </c>
      <c r="P2906" s="2" t="str">
        <f>"2170533389                    "</f>
        <v xml:space="preserve">2170533389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6.43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</v>
      </c>
      <c r="BJ2906" s="2">
        <v>0.2</v>
      </c>
      <c r="BK2906" s="2">
        <v>1</v>
      </c>
      <c r="BL2906" s="2">
        <v>78.97</v>
      </c>
      <c r="BM2906" s="2">
        <v>11.06</v>
      </c>
      <c r="BN2906" s="2">
        <v>90.03</v>
      </c>
      <c r="BO2906" s="2">
        <v>90.03</v>
      </c>
      <c r="BP2906" s="2"/>
      <c r="BQ2906" s="2" t="s">
        <v>168</v>
      </c>
      <c r="BR2906" s="2" t="s">
        <v>83</v>
      </c>
      <c r="BS2906" s="3">
        <v>42675</v>
      </c>
      <c r="BT2906" s="4">
        <v>0.47916666666666669</v>
      </c>
      <c r="BU2906" s="2" t="s">
        <v>1723</v>
      </c>
      <c r="BV2906" s="2" t="s">
        <v>85</v>
      </c>
      <c r="BW2906" s="2"/>
      <c r="BX2906" s="2"/>
      <c r="BY2906" s="2">
        <v>1200</v>
      </c>
      <c r="BZ2906" s="2"/>
      <c r="CA2906" s="2"/>
      <c r="CB2906" s="2"/>
      <c r="CC2906" s="2" t="s">
        <v>1381</v>
      </c>
      <c r="CD2906" s="2">
        <v>4339</v>
      </c>
      <c r="CE2906" s="2" t="s">
        <v>108</v>
      </c>
      <c r="CF2906" s="5">
        <v>42677</v>
      </c>
      <c r="CG2906" s="2"/>
      <c r="CH2906" s="2"/>
      <c r="CI2906" s="2">
        <v>1</v>
      </c>
      <c r="CJ2906" s="2">
        <v>1</v>
      </c>
      <c r="CK2906" s="2">
        <v>23</v>
      </c>
      <c r="CL2906" s="2" t="s">
        <v>88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"FES1162510347"</f>
        <v>FES1162510347</v>
      </c>
      <c r="F2907" s="3">
        <v>42674</v>
      </c>
      <c r="G2907" s="2">
        <v>201704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93</v>
      </c>
      <c r="M2907" s="2" t="s">
        <v>94</v>
      </c>
      <c r="N2907" s="2" t="s">
        <v>130</v>
      </c>
      <c r="O2907" s="2" t="s">
        <v>96</v>
      </c>
      <c r="P2907" s="2" t="str">
        <f>"2170533412                    "</f>
        <v xml:space="preserve">2170533412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3.32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</v>
      </c>
      <c r="BJ2907" s="2">
        <v>0.2</v>
      </c>
      <c r="BK2907" s="2">
        <v>1</v>
      </c>
      <c r="BL2907" s="2">
        <v>40.76</v>
      </c>
      <c r="BM2907" s="2">
        <v>5.71</v>
      </c>
      <c r="BN2907" s="2">
        <v>46.47</v>
      </c>
      <c r="BO2907" s="2">
        <v>46.47</v>
      </c>
      <c r="BP2907" s="2"/>
      <c r="BQ2907" s="2" t="s">
        <v>131</v>
      </c>
      <c r="BR2907" s="2" t="s">
        <v>83</v>
      </c>
      <c r="BS2907" s="3">
        <v>42675</v>
      </c>
      <c r="BT2907" s="4">
        <v>0.36458333333333331</v>
      </c>
      <c r="BU2907" s="2" t="s">
        <v>637</v>
      </c>
      <c r="BV2907" s="2" t="s">
        <v>85</v>
      </c>
      <c r="BW2907" s="2"/>
      <c r="BX2907" s="2"/>
      <c r="BY2907" s="2">
        <v>1200</v>
      </c>
      <c r="BZ2907" s="2"/>
      <c r="CA2907" s="2"/>
      <c r="CB2907" s="2"/>
      <c r="CC2907" s="2" t="s">
        <v>94</v>
      </c>
      <c r="CD2907" s="2">
        <v>4302</v>
      </c>
      <c r="CE2907" s="2" t="s">
        <v>108</v>
      </c>
      <c r="CF2907" s="5">
        <v>42677</v>
      </c>
      <c r="CG2907" s="2"/>
      <c r="CH2907" s="2"/>
      <c r="CI2907" s="2">
        <v>1</v>
      </c>
      <c r="CJ2907" s="2">
        <v>1</v>
      </c>
      <c r="CK2907" s="2">
        <v>21</v>
      </c>
      <c r="CL2907" s="2" t="s">
        <v>88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"FES1162510362"</f>
        <v>FES1162510362</v>
      </c>
      <c r="F2908" s="3">
        <v>42674</v>
      </c>
      <c r="G2908" s="2">
        <v>201704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1380</v>
      </c>
      <c r="M2908" s="2" t="s">
        <v>1381</v>
      </c>
      <c r="N2908" s="2" t="s">
        <v>2649</v>
      </c>
      <c r="O2908" s="2" t="s">
        <v>96</v>
      </c>
      <c r="P2908" s="2" t="str">
        <f>"2170533430                    "</f>
        <v xml:space="preserve">2170533430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6.43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1</v>
      </c>
      <c r="BJ2908" s="2">
        <v>0.2</v>
      </c>
      <c r="BK2908" s="2">
        <v>1</v>
      </c>
      <c r="BL2908" s="2">
        <v>78.97</v>
      </c>
      <c r="BM2908" s="2">
        <v>11.06</v>
      </c>
      <c r="BN2908" s="2">
        <v>90.03</v>
      </c>
      <c r="BO2908" s="2">
        <v>90.03</v>
      </c>
      <c r="BP2908" s="2"/>
      <c r="BQ2908" s="2" t="s">
        <v>117</v>
      </c>
      <c r="BR2908" s="2" t="s">
        <v>83</v>
      </c>
      <c r="BS2908" s="3">
        <v>42675</v>
      </c>
      <c r="BT2908" s="4">
        <v>0.45833333333333331</v>
      </c>
      <c r="BU2908" s="2" t="s">
        <v>2092</v>
      </c>
      <c r="BV2908" s="2" t="s">
        <v>85</v>
      </c>
      <c r="BW2908" s="2"/>
      <c r="BX2908" s="2"/>
      <c r="BY2908" s="2">
        <v>1200</v>
      </c>
      <c r="BZ2908" s="2"/>
      <c r="CA2908" s="2"/>
      <c r="CB2908" s="2"/>
      <c r="CC2908" s="2" t="s">
        <v>1381</v>
      </c>
      <c r="CD2908" s="2">
        <v>4339</v>
      </c>
      <c r="CE2908" s="2" t="s">
        <v>108</v>
      </c>
      <c r="CF2908" s="5">
        <v>42677</v>
      </c>
      <c r="CG2908" s="2"/>
      <c r="CH2908" s="2"/>
      <c r="CI2908" s="2">
        <v>1</v>
      </c>
      <c r="CJ2908" s="2">
        <v>1</v>
      </c>
      <c r="CK2908" s="2">
        <v>23</v>
      </c>
      <c r="CL2908" s="2" t="s">
        <v>88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"FES1162510367"</f>
        <v>FES1162510367</v>
      </c>
      <c r="F2909" s="3">
        <v>42674</v>
      </c>
      <c r="G2909" s="2">
        <v>201704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137</v>
      </c>
      <c r="M2909" s="2" t="s">
        <v>138</v>
      </c>
      <c r="N2909" s="2" t="s">
        <v>291</v>
      </c>
      <c r="O2909" s="2" t="s">
        <v>96</v>
      </c>
      <c r="P2909" s="2" t="str">
        <f>"2170533424                    "</f>
        <v xml:space="preserve">2170533424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3.32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40.76</v>
      </c>
      <c r="BM2909" s="2">
        <v>5.71</v>
      </c>
      <c r="BN2909" s="2">
        <v>46.47</v>
      </c>
      <c r="BO2909" s="2">
        <v>46.47</v>
      </c>
      <c r="BP2909" s="2"/>
      <c r="BQ2909" s="2" t="s">
        <v>117</v>
      </c>
      <c r="BR2909" s="2" t="s">
        <v>83</v>
      </c>
      <c r="BS2909" s="3">
        <v>42675</v>
      </c>
      <c r="BT2909" s="4">
        <v>0.41388888888888892</v>
      </c>
      <c r="BU2909" s="2" t="s">
        <v>781</v>
      </c>
      <c r="BV2909" s="2"/>
      <c r="BW2909" s="2"/>
      <c r="BX2909" s="2"/>
      <c r="BY2909" s="2">
        <v>1200</v>
      </c>
      <c r="BZ2909" s="2"/>
      <c r="CA2909" s="2" t="s">
        <v>613</v>
      </c>
      <c r="CB2909" s="2"/>
      <c r="CC2909" s="2" t="s">
        <v>138</v>
      </c>
      <c r="CD2909" s="2">
        <v>3201</v>
      </c>
      <c r="CE2909" s="2" t="s">
        <v>108</v>
      </c>
      <c r="CF2909" s="5">
        <v>42675</v>
      </c>
      <c r="CG2909" s="2"/>
      <c r="CH2909" s="2"/>
      <c r="CI2909" s="2">
        <v>0</v>
      </c>
      <c r="CJ2909" s="2">
        <v>0</v>
      </c>
      <c r="CK2909" s="2">
        <v>21</v>
      </c>
      <c r="CL2909" s="2" t="s">
        <v>88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"FES1162510262"</f>
        <v>FES1162510262</v>
      </c>
      <c r="F2910" s="3">
        <v>42674</v>
      </c>
      <c r="G2910" s="2">
        <v>201704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98</v>
      </c>
      <c r="M2910" s="2" t="s">
        <v>99</v>
      </c>
      <c r="N2910" s="2" t="s">
        <v>1687</v>
      </c>
      <c r="O2910" s="2" t="s">
        <v>96</v>
      </c>
      <c r="P2910" s="2" t="str">
        <f>"2170533158                    "</f>
        <v xml:space="preserve">2170533158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3.32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1.6</v>
      </c>
      <c r="BJ2910" s="2">
        <v>0.2</v>
      </c>
      <c r="BK2910" s="2">
        <v>2</v>
      </c>
      <c r="BL2910" s="2">
        <v>40.76</v>
      </c>
      <c r="BM2910" s="2">
        <v>5.71</v>
      </c>
      <c r="BN2910" s="2">
        <v>46.47</v>
      </c>
      <c r="BO2910" s="2">
        <v>46.47</v>
      </c>
      <c r="BP2910" s="2"/>
      <c r="BQ2910" s="2" t="s">
        <v>1688</v>
      </c>
      <c r="BR2910" s="2" t="s">
        <v>83</v>
      </c>
      <c r="BS2910" s="3">
        <v>42675</v>
      </c>
      <c r="BT2910" s="4">
        <v>0.4368055555555555</v>
      </c>
      <c r="BU2910" s="2" t="s">
        <v>554</v>
      </c>
      <c r="BV2910" s="2" t="s">
        <v>85</v>
      </c>
      <c r="BW2910" s="2"/>
      <c r="BX2910" s="2"/>
      <c r="BY2910" s="2">
        <v>1200</v>
      </c>
      <c r="BZ2910" s="2"/>
      <c r="CA2910" s="2"/>
      <c r="CB2910" s="2"/>
      <c r="CC2910" s="2" t="s">
        <v>99</v>
      </c>
      <c r="CD2910" s="2">
        <v>6001</v>
      </c>
      <c r="CE2910" s="2" t="s">
        <v>108</v>
      </c>
      <c r="CF2910" s="5">
        <v>42676</v>
      </c>
      <c r="CG2910" s="2"/>
      <c r="CH2910" s="2"/>
      <c r="CI2910" s="2">
        <v>1</v>
      </c>
      <c r="CJ2910" s="2">
        <v>1</v>
      </c>
      <c r="CK2910" s="2">
        <v>21</v>
      </c>
      <c r="CL2910" s="2" t="s">
        <v>88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"FES1162510341"</f>
        <v>FES1162510341</v>
      </c>
      <c r="F2911" s="3">
        <v>42674</v>
      </c>
      <c r="G2911" s="2">
        <v>201704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98</v>
      </c>
      <c r="M2911" s="2" t="s">
        <v>99</v>
      </c>
      <c r="N2911" s="2" t="s">
        <v>176</v>
      </c>
      <c r="O2911" s="2" t="s">
        <v>96</v>
      </c>
      <c r="P2911" s="2" t="str">
        <f>"2170533404                    "</f>
        <v xml:space="preserve">2170533404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3.32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1</v>
      </c>
      <c r="BJ2911" s="2">
        <v>0.2</v>
      </c>
      <c r="BK2911" s="2">
        <v>1</v>
      </c>
      <c r="BL2911" s="2">
        <v>40.76</v>
      </c>
      <c r="BM2911" s="2">
        <v>5.71</v>
      </c>
      <c r="BN2911" s="2">
        <v>46.47</v>
      </c>
      <c r="BO2911" s="2">
        <v>46.47</v>
      </c>
      <c r="BP2911" s="2"/>
      <c r="BQ2911" s="2" t="s">
        <v>91</v>
      </c>
      <c r="BR2911" s="2" t="s">
        <v>83</v>
      </c>
      <c r="BS2911" s="3">
        <v>42675</v>
      </c>
      <c r="BT2911" s="4">
        <v>0.34375</v>
      </c>
      <c r="BU2911" s="2" t="s">
        <v>2650</v>
      </c>
      <c r="BV2911" s="2" t="s">
        <v>85</v>
      </c>
      <c r="BW2911" s="2"/>
      <c r="BX2911" s="2"/>
      <c r="BY2911" s="2">
        <v>1200</v>
      </c>
      <c r="BZ2911" s="2"/>
      <c r="CA2911" s="2"/>
      <c r="CB2911" s="2"/>
      <c r="CC2911" s="2" t="s">
        <v>99</v>
      </c>
      <c r="CD2911" s="2">
        <v>6020</v>
      </c>
      <c r="CE2911" s="2" t="s">
        <v>108</v>
      </c>
      <c r="CF2911" s="5">
        <v>42676</v>
      </c>
      <c r="CG2911" s="2"/>
      <c r="CH2911" s="2"/>
      <c r="CI2911" s="2">
        <v>1</v>
      </c>
      <c r="CJ2911" s="2">
        <v>1</v>
      </c>
      <c r="CK2911" s="2">
        <v>21</v>
      </c>
      <c r="CL2911" s="2" t="s">
        <v>88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"FES1162510353"</f>
        <v>FES1162510353</v>
      </c>
      <c r="F2912" s="3">
        <v>42674</v>
      </c>
      <c r="G2912" s="2">
        <v>201704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98</v>
      </c>
      <c r="M2912" s="2" t="s">
        <v>99</v>
      </c>
      <c r="N2912" s="2" t="s">
        <v>1098</v>
      </c>
      <c r="O2912" s="2" t="s">
        <v>96</v>
      </c>
      <c r="P2912" s="2" t="str">
        <f>"2170533414                    "</f>
        <v xml:space="preserve">2170533414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3.32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1</v>
      </c>
      <c r="BJ2912" s="2">
        <v>0.2</v>
      </c>
      <c r="BK2912" s="2">
        <v>1</v>
      </c>
      <c r="BL2912" s="2">
        <v>40.76</v>
      </c>
      <c r="BM2912" s="2">
        <v>5.71</v>
      </c>
      <c r="BN2912" s="2">
        <v>46.47</v>
      </c>
      <c r="BO2912" s="2">
        <v>46.47</v>
      </c>
      <c r="BP2912" s="2"/>
      <c r="BQ2912" s="2" t="s">
        <v>1099</v>
      </c>
      <c r="BR2912" s="2" t="s">
        <v>83</v>
      </c>
      <c r="BS2912" s="3">
        <v>42675</v>
      </c>
      <c r="BT2912" s="4">
        <v>0.2951388888888889</v>
      </c>
      <c r="BU2912" s="2" t="s">
        <v>602</v>
      </c>
      <c r="BV2912" s="2" t="s">
        <v>85</v>
      </c>
      <c r="BW2912" s="2"/>
      <c r="BX2912" s="2"/>
      <c r="BY2912" s="2">
        <v>1200</v>
      </c>
      <c r="BZ2912" s="2"/>
      <c r="CA2912" s="2"/>
      <c r="CB2912" s="2"/>
      <c r="CC2912" s="2" t="s">
        <v>99</v>
      </c>
      <c r="CD2912" s="2">
        <v>6012</v>
      </c>
      <c r="CE2912" s="2" t="s">
        <v>108</v>
      </c>
      <c r="CF2912" s="5">
        <v>42676</v>
      </c>
      <c r="CG2912" s="2"/>
      <c r="CH2912" s="2"/>
      <c r="CI2912" s="2">
        <v>1</v>
      </c>
      <c r="CJ2912" s="2">
        <v>1</v>
      </c>
      <c r="CK2912" s="2">
        <v>21</v>
      </c>
      <c r="CL2912" s="2" t="s">
        <v>88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"FES1162510261"</f>
        <v>FES1162510261</v>
      </c>
      <c r="F2913" s="3">
        <v>42674</v>
      </c>
      <c r="G2913" s="2">
        <v>201704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143</v>
      </c>
      <c r="M2913" s="2" t="s">
        <v>144</v>
      </c>
      <c r="N2913" s="2" t="s">
        <v>145</v>
      </c>
      <c r="O2913" s="2" t="s">
        <v>96</v>
      </c>
      <c r="P2913" s="2" t="str">
        <f>"2170533368                    "</f>
        <v xml:space="preserve">2170533368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3.32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1</v>
      </c>
      <c r="BJ2913" s="2">
        <v>0.2</v>
      </c>
      <c r="BK2913" s="2">
        <v>1</v>
      </c>
      <c r="BL2913" s="2">
        <v>40.76</v>
      </c>
      <c r="BM2913" s="2">
        <v>5.71</v>
      </c>
      <c r="BN2913" s="2">
        <v>46.47</v>
      </c>
      <c r="BO2913" s="2">
        <v>46.47</v>
      </c>
      <c r="BP2913" s="2"/>
      <c r="BQ2913" s="2" t="s">
        <v>91</v>
      </c>
      <c r="BR2913" s="2" t="s">
        <v>83</v>
      </c>
      <c r="BS2913" s="3">
        <v>42675</v>
      </c>
      <c r="BT2913" s="4">
        <v>0.39583333333333331</v>
      </c>
      <c r="BU2913" s="2" t="s">
        <v>2651</v>
      </c>
      <c r="BV2913" s="2" t="s">
        <v>85</v>
      </c>
      <c r="BW2913" s="2"/>
      <c r="BX2913" s="2"/>
      <c r="BY2913" s="2">
        <v>1200</v>
      </c>
      <c r="BZ2913" s="2"/>
      <c r="CA2913" s="2"/>
      <c r="CB2913" s="2"/>
      <c r="CC2913" s="2" t="s">
        <v>144</v>
      </c>
      <c r="CD2913" s="2">
        <v>5201</v>
      </c>
      <c r="CE2913" s="2" t="s">
        <v>108</v>
      </c>
      <c r="CF2913" s="5">
        <v>42677</v>
      </c>
      <c r="CG2913" s="2"/>
      <c r="CH2913" s="2"/>
      <c r="CI2913" s="2">
        <v>1</v>
      </c>
      <c r="CJ2913" s="2">
        <v>1</v>
      </c>
      <c r="CK2913" s="2">
        <v>21</v>
      </c>
      <c r="CL2913" s="2" t="s">
        <v>88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"FES1162510287"</f>
        <v>FES1162510287</v>
      </c>
      <c r="F2914" s="3">
        <v>42674</v>
      </c>
      <c r="G2914" s="2">
        <v>201704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98</v>
      </c>
      <c r="M2914" s="2" t="s">
        <v>99</v>
      </c>
      <c r="N2914" s="2" t="s">
        <v>1011</v>
      </c>
      <c r="O2914" s="2" t="s">
        <v>96</v>
      </c>
      <c r="P2914" s="2" t="str">
        <f>"2170530293                    "</f>
        <v xml:space="preserve">2170530293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3.32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1.6</v>
      </c>
      <c r="BJ2914" s="2">
        <v>0.2</v>
      </c>
      <c r="BK2914" s="2">
        <v>2</v>
      </c>
      <c r="BL2914" s="2">
        <v>40.76</v>
      </c>
      <c r="BM2914" s="2">
        <v>5.71</v>
      </c>
      <c r="BN2914" s="2">
        <v>46.47</v>
      </c>
      <c r="BO2914" s="2">
        <v>46.47</v>
      </c>
      <c r="BP2914" s="2"/>
      <c r="BQ2914" s="2" t="s">
        <v>117</v>
      </c>
      <c r="BR2914" s="2" t="s">
        <v>83</v>
      </c>
      <c r="BS2914" s="3">
        <v>42675</v>
      </c>
      <c r="BT2914" s="4">
        <v>0.43611111111111112</v>
      </c>
      <c r="BU2914" s="2" t="s">
        <v>2652</v>
      </c>
      <c r="BV2914" s="2" t="s">
        <v>85</v>
      </c>
      <c r="BW2914" s="2"/>
      <c r="BX2914" s="2"/>
      <c r="BY2914" s="2">
        <v>1200</v>
      </c>
      <c r="BZ2914" s="2"/>
      <c r="CA2914" s="2"/>
      <c r="CB2914" s="2"/>
      <c r="CC2914" s="2" t="s">
        <v>99</v>
      </c>
      <c r="CD2914" s="2">
        <v>6001</v>
      </c>
      <c r="CE2914" s="2" t="s">
        <v>108</v>
      </c>
      <c r="CF2914" s="5">
        <v>42676</v>
      </c>
      <c r="CG2914" s="2"/>
      <c r="CH2914" s="2"/>
      <c r="CI2914" s="2">
        <v>1</v>
      </c>
      <c r="CJ2914" s="2">
        <v>1</v>
      </c>
      <c r="CK2914" s="2">
        <v>21</v>
      </c>
      <c r="CL2914" s="2" t="s">
        <v>88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"FES1162510357"</f>
        <v>FES1162510357</v>
      </c>
      <c r="F2915" s="3">
        <v>42674</v>
      </c>
      <c r="G2915" s="2">
        <v>201704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143</v>
      </c>
      <c r="M2915" s="2" t="s">
        <v>144</v>
      </c>
      <c r="N2915" s="2" t="s">
        <v>317</v>
      </c>
      <c r="O2915" s="2" t="s">
        <v>96</v>
      </c>
      <c r="P2915" s="2" t="str">
        <f>"2170533422                    "</f>
        <v xml:space="preserve">2170533422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3.32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1</v>
      </c>
      <c r="BJ2915" s="2">
        <v>0.2</v>
      </c>
      <c r="BK2915" s="2">
        <v>1</v>
      </c>
      <c r="BL2915" s="2">
        <v>40.76</v>
      </c>
      <c r="BM2915" s="2">
        <v>5.71</v>
      </c>
      <c r="BN2915" s="2">
        <v>46.47</v>
      </c>
      <c r="BO2915" s="2">
        <v>46.47</v>
      </c>
      <c r="BP2915" s="2"/>
      <c r="BQ2915" s="2" t="s">
        <v>318</v>
      </c>
      <c r="BR2915" s="2" t="s">
        <v>83</v>
      </c>
      <c r="BS2915" s="3">
        <v>42675</v>
      </c>
      <c r="BT2915" s="4">
        <v>0.58333333333333337</v>
      </c>
      <c r="BU2915" s="2" t="s">
        <v>2653</v>
      </c>
      <c r="BV2915" s="2"/>
      <c r="BW2915" s="2" t="s">
        <v>2219</v>
      </c>
      <c r="BX2915" s="2" t="s">
        <v>278</v>
      </c>
      <c r="BY2915" s="2">
        <v>1200</v>
      </c>
      <c r="BZ2915" s="2"/>
      <c r="CA2915" s="2" t="s">
        <v>2654</v>
      </c>
      <c r="CB2915" s="2"/>
      <c r="CC2915" s="2" t="s">
        <v>144</v>
      </c>
      <c r="CD2915" s="2">
        <v>5200</v>
      </c>
      <c r="CE2915" s="2" t="s">
        <v>108</v>
      </c>
      <c r="CF2915" s="5">
        <v>42677</v>
      </c>
      <c r="CG2915" s="2"/>
      <c r="CH2915" s="2"/>
      <c r="CI2915" s="2">
        <v>0</v>
      </c>
      <c r="CJ2915" s="2">
        <v>0</v>
      </c>
      <c r="CK2915" s="2">
        <v>21</v>
      </c>
      <c r="CL2915" s="2" t="s">
        <v>88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"FES1162510380"</f>
        <v>FES1162510380</v>
      </c>
      <c r="F2916" s="3">
        <v>42674</v>
      </c>
      <c r="G2916" s="2">
        <v>201704</v>
      </c>
      <c r="H2916" s="2" t="s">
        <v>74</v>
      </c>
      <c r="I2916" s="2" t="s">
        <v>75</v>
      </c>
      <c r="J2916" s="2" t="s">
        <v>189</v>
      </c>
      <c r="K2916" s="2" t="s">
        <v>77</v>
      </c>
      <c r="L2916" s="2" t="s">
        <v>78</v>
      </c>
      <c r="M2916" s="2" t="s">
        <v>79</v>
      </c>
      <c r="N2916" s="2" t="s">
        <v>89</v>
      </c>
      <c r="O2916" s="2" t="s">
        <v>81</v>
      </c>
      <c r="P2916" s="2" t="str">
        <f>"2170533443                    "</f>
        <v xml:space="preserve">2170533443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5.7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2.8</v>
      </c>
      <c r="BJ2916" s="2">
        <v>4.4000000000000004</v>
      </c>
      <c r="BK2916" s="2">
        <v>5</v>
      </c>
      <c r="BL2916" s="2">
        <v>75.05</v>
      </c>
      <c r="BM2916" s="2">
        <v>10.51</v>
      </c>
      <c r="BN2916" s="2">
        <v>85.56</v>
      </c>
      <c r="BO2916" s="2">
        <v>85.56</v>
      </c>
      <c r="BP2916" s="2"/>
      <c r="BQ2916" s="2" t="s">
        <v>2242</v>
      </c>
      <c r="BR2916" s="2" t="s">
        <v>194</v>
      </c>
      <c r="BS2916" s="3">
        <v>42675</v>
      </c>
      <c r="BT2916" s="4">
        <v>0.41666666666666669</v>
      </c>
      <c r="BU2916" s="2" t="s">
        <v>84</v>
      </c>
      <c r="BV2916" s="2" t="s">
        <v>85</v>
      </c>
      <c r="BW2916" s="2"/>
      <c r="BX2916" s="2"/>
      <c r="BY2916" s="2">
        <v>22248.09</v>
      </c>
      <c r="BZ2916" s="2"/>
      <c r="CA2916" s="2"/>
      <c r="CB2916" s="2"/>
      <c r="CC2916" s="2" t="s">
        <v>79</v>
      </c>
      <c r="CD2916" s="2">
        <v>1873</v>
      </c>
      <c r="CE2916" s="2" t="s">
        <v>86</v>
      </c>
      <c r="CF2916" s="5">
        <v>42677</v>
      </c>
      <c r="CG2916" s="2"/>
      <c r="CH2916" s="2"/>
      <c r="CI2916" s="2">
        <v>1</v>
      </c>
      <c r="CJ2916" s="2">
        <v>1</v>
      </c>
      <c r="CK2916" s="2" t="s">
        <v>87</v>
      </c>
      <c r="CL2916" s="2" t="s">
        <v>88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"009932186823"</f>
        <v>009932186823</v>
      </c>
      <c r="F2917" s="3">
        <v>42669</v>
      </c>
      <c r="G2917" s="2">
        <v>201704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148</v>
      </c>
      <c r="M2917" s="2" t="s">
        <v>149</v>
      </c>
      <c r="N2917" s="2" t="s">
        <v>560</v>
      </c>
      <c r="O2917" s="2" t="s">
        <v>81</v>
      </c>
      <c r="P2917" s="2" t="str">
        <f>"1162507313 SHORT SUPPLIED     "</f>
        <v xml:space="preserve">1162507313 SHORT SUPPLIED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21.19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4</v>
      </c>
      <c r="BI2917" s="2">
        <v>99</v>
      </c>
      <c r="BJ2917" s="2">
        <v>36.700000000000003</v>
      </c>
      <c r="BK2917" s="2">
        <v>99</v>
      </c>
      <c r="BL2917" s="2">
        <v>265.32</v>
      </c>
      <c r="BM2917" s="2">
        <v>37.14</v>
      </c>
      <c r="BN2917" s="2">
        <v>302.45999999999998</v>
      </c>
      <c r="BO2917" s="2">
        <v>302.45999999999998</v>
      </c>
      <c r="BP2917" s="2" t="s">
        <v>1067</v>
      </c>
      <c r="BQ2917" s="2" t="s">
        <v>91</v>
      </c>
      <c r="BR2917" s="2" t="s">
        <v>83</v>
      </c>
      <c r="BS2917" s="3">
        <v>42670</v>
      </c>
      <c r="BT2917" s="4">
        <v>0.61111111111111105</v>
      </c>
      <c r="BU2917" s="2" t="s">
        <v>2655</v>
      </c>
      <c r="BV2917" s="2"/>
      <c r="BW2917" s="2"/>
      <c r="BX2917" s="2"/>
      <c r="BY2917" s="2">
        <v>183688.79</v>
      </c>
      <c r="BZ2917" s="2"/>
      <c r="CA2917" s="2"/>
      <c r="CB2917" s="2"/>
      <c r="CC2917" s="2" t="s">
        <v>149</v>
      </c>
      <c r="CD2917" s="2">
        <v>4001</v>
      </c>
      <c r="CE2917" s="2" t="s">
        <v>904</v>
      </c>
      <c r="CF2917" s="5">
        <v>42675</v>
      </c>
      <c r="CG2917" s="2"/>
      <c r="CH2917" s="2"/>
      <c r="CI2917" s="2">
        <v>0</v>
      </c>
      <c r="CJ2917" s="2">
        <v>0</v>
      </c>
      <c r="CK2917" s="2" t="s">
        <v>1059</v>
      </c>
      <c r="CL2917" s="2" t="s">
        <v>88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"FES1162507436"</f>
        <v>FES1162507436</v>
      </c>
      <c r="F2918" s="3">
        <v>42661</v>
      </c>
      <c r="G2918" s="2">
        <v>201704</v>
      </c>
      <c r="H2918" s="2" t="s">
        <v>74</v>
      </c>
      <c r="I2918" s="2" t="s">
        <v>75</v>
      </c>
      <c r="J2918" s="2" t="s">
        <v>189</v>
      </c>
      <c r="K2918" s="2" t="s">
        <v>77</v>
      </c>
      <c r="L2918" s="2" t="s">
        <v>78</v>
      </c>
      <c r="M2918" s="2" t="s">
        <v>79</v>
      </c>
      <c r="N2918" s="2" t="s">
        <v>1195</v>
      </c>
      <c r="O2918" s="2" t="s">
        <v>81</v>
      </c>
      <c r="P2918" s="2" t="str">
        <f>"2170530872                    "</f>
        <v xml:space="preserve">2170530872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5.7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0.8</v>
      </c>
      <c r="BJ2918" s="2">
        <v>2.7</v>
      </c>
      <c r="BK2918" s="2">
        <v>3</v>
      </c>
      <c r="BL2918" s="2">
        <v>75.05</v>
      </c>
      <c r="BM2918" s="2">
        <v>10.51</v>
      </c>
      <c r="BN2918" s="2">
        <v>85.56</v>
      </c>
      <c r="BO2918" s="2">
        <v>85.56</v>
      </c>
      <c r="BP2918" s="2"/>
      <c r="BQ2918" s="2" t="s">
        <v>91</v>
      </c>
      <c r="BR2918" s="2" t="s">
        <v>194</v>
      </c>
      <c r="BS2918" s="3">
        <v>42662</v>
      </c>
      <c r="BT2918" s="4">
        <v>0.41666666666666669</v>
      </c>
      <c r="BU2918" s="2" t="s">
        <v>1373</v>
      </c>
      <c r="BV2918" s="2" t="s">
        <v>85</v>
      </c>
      <c r="BW2918" s="2"/>
      <c r="BX2918" s="2"/>
      <c r="BY2918" s="2">
        <v>13426.71</v>
      </c>
      <c r="BZ2918" s="2"/>
      <c r="CA2918" s="2"/>
      <c r="CB2918" s="2"/>
      <c r="CC2918" s="2" t="s">
        <v>79</v>
      </c>
      <c r="CD2918" s="2">
        <v>1961</v>
      </c>
      <c r="CE2918" s="2" t="s">
        <v>108</v>
      </c>
      <c r="CF2918" s="5">
        <v>42664</v>
      </c>
      <c r="CG2918" s="2"/>
      <c r="CH2918" s="2"/>
      <c r="CI2918" s="2">
        <v>1</v>
      </c>
      <c r="CJ2918" s="2">
        <v>1</v>
      </c>
      <c r="CK2918" s="2" t="s">
        <v>87</v>
      </c>
      <c r="CL2918" s="2" t="s">
        <v>88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"FES1162509062"</f>
        <v>FES1162509062</v>
      </c>
      <c r="F2919" s="3">
        <v>42668</v>
      </c>
      <c r="G2919" s="2">
        <v>201704</v>
      </c>
      <c r="H2919" s="2" t="s">
        <v>74</v>
      </c>
      <c r="I2919" s="2" t="s">
        <v>75</v>
      </c>
      <c r="J2919" s="2" t="s">
        <v>189</v>
      </c>
      <c r="K2919" s="2" t="s">
        <v>77</v>
      </c>
      <c r="L2919" s="2" t="s">
        <v>78</v>
      </c>
      <c r="M2919" s="2" t="s">
        <v>79</v>
      </c>
      <c r="N2919" s="2" t="s">
        <v>2619</v>
      </c>
      <c r="O2919" s="2" t="s">
        <v>81</v>
      </c>
      <c r="P2919" s="2" t="str">
        <f>"2170531268                    "</f>
        <v xml:space="preserve">2170531268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5.7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1.7</v>
      </c>
      <c r="BJ2919" s="2">
        <v>3.3</v>
      </c>
      <c r="BK2919" s="2">
        <v>4</v>
      </c>
      <c r="BL2919" s="2">
        <v>75.05</v>
      </c>
      <c r="BM2919" s="2">
        <v>10.51</v>
      </c>
      <c r="BN2919" s="2">
        <v>85.56</v>
      </c>
      <c r="BO2919" s="2">
        <v>85.56</v>
      </c>
      <c r="BP2919" s="2"/>
      <c r="BQ2919" s="2" t="s">
        <v>91</v>
      </c>
      <c r="BR2919" s="2" t="s">
        <v>194</v>
      </c>
      <c r="BS2919" s="3">
        <v>42669</v>
      </c>
      <c r="BT2919" s="4">
        <v>0.41666666666666669</v>
      </c>
      <c r="BU2919" s="2" t="s">
        <v>84</v>
      </c>
      <c r="BV2919" s="2" t="s">
        <v>85</v>
      </c>
      <c r="BW2919" s="2"/>
      <c r="BX2919" s="2"/>
      <c r="BY2919" s="2">
        <v>16314.6</v>
      </c>
      <c r="BZ2919" s="2"/>
      <c r="CA2919" s="2"/>
      <c r="CB2919" s="2"/>
      <c r="CC2919" s="2" t="s">
        <v>79</v>
      </c>
      <c r="CD2919" s="2">
        <v>1930</v>
      </c>
      <c r="CE2919" s="2" t="s">
        <v>108</v>
      </c>
      <c r="CF2919" s="5">
        <v>42671</v>
      </c>
      <c r="CG2919" s="2"/>
      <c r="CH2919" s="2"/>
      <c r="CI2919" s="2">
        <v>1</v>
      </c>
      <c r="CJ2919" s="2">
        <v>1</v>
      </c>
      <c r="CK2919" s="2" t="s">
        <v>87</v>
      </c>
      <c r="CL2919" s="2" t="s">
        <v>88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"FES1162508131"</f>
        <v>FES1162508131</v>
      </c>
      <c r="F2920" s="3">
        <v>42663</v>
      </c>
      <c r="G2920" s="2">
        <v>201704</v>
      </c>
      <c r="H2920" s="2" t="s">
        <v>74</v>
      </c>
      <c r="I2920" s="2" t="s">
        <v>75</v>
      </c>
      <c r="J2920" s="2" t="s">
        <v>189</v>
      </c>
      <c r="K2920" s="2" t="s">
        <v>77</v>
      </c>
      <c r="L2920" s="2" t="s">
        <v>78</v>
      </c>
      <c r="M2920" s="2" t="s">
        <v>79</v>
      </c>
      <c r="N2920" s="2" t="s">
        <v>2656</v>
      </c>
      <c r="O2920" s="2" t="s">
        <v>81</v>
      </c>
      <c r="P2920" s="2" t="str">
        <f>"2170529308                    "</f>
        <v xml:space="preserve">2170529308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5.7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1.3</v>
      </c>
      <c r="BJ2920" s="2">
        <v>2.2999999999999998</v>
      </c>
      <c r="BK2920" s="2">
        <v>3</v>
      </c>
      <c r="BL2920" s="2">
        <v>75.05</v>
      </c>
      <c r="BM2920" s="2">
        <v>10.51</v>
      </c>
      <c r="BN2920" s="2">
        <v>85.56</v>
      </c>
      <c r="BO2920" s="2">
        <v>85.56</v>
      </c>
      <c r="BP2920" s="2"/>
      <c r="BQ2920" s="2" t="s">
        <v>91</v>
      </c>
      <c r="BR2920" s="2" t="s">
        <v>194</v>
      </c>
      <c r="BS2920" s="3">
        <v>42664</v>
      </c>
      <c r="BT2920" s="4">
        <v>0.41666666666666669</v>
      </c>
      <c r="BU2920" s="2" t="s">
        <v>127</v>
      </c>
      <c r="BV2920" s="2" t="s">
        <v>85</v>
      </c>
      <c r="BW2920" s="2"/>
      <c r="BX2920" s="2"/>
      <c r="BY2920" s="2">
        <v>11686.08</v>
      </c>
      <c r="BZ2920" s="2"/>
      <c r="CA2920" s="2"/>
      <c r="CB2920" s="2"/>
      <c r="CC2920" s="2" t="s">
        <v>79</v>
      </c>
      <c r="CD2920" s="2">
        <v>1939</v>
      </c>
      <c r="CE2920" s="2" t="s">
        <v>108</v>
      </c>
      <c r="CF2920" s="5">
        <v>42668</v>
      </c>
      <c r="CG2920" s="2"/>
      <c r="CH2920" s="2"/>
      <c r="CI2920" s="2">
        <v>1</v>
      </c>
      <c r="CJ2920" s="2">
        <v>1</v>
      </c>
      <c r="CK2920" s="2" t="s">
        <v>87</v>
      </c>
      <c r="CL2920" s="2" t="s">
        <v>88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"FES1162509867"</f>
        <v>FES1162509867</v>
      </c>
      <c r="F2921" s="3">
        <v>42670</v>
      </c>
      <c r="G2921" s="2">
        <v>201704</v>
      </c>
      <c r="H2921" s="2" t="s">
        <v>74</v>
      </c>
      <c r="I2921" s="2" t="s">
        <v>75</v>
      </c>
      <c r="J2921" s="2" t="s">
        <v>189</v>
      </c>
      <c r="K2921" s="2" t="s">
        <v>77</v>
      </c>
      <c r="L2921" s="2" t="s">
        <v>137</v>
      </c>
      <c r="M2921" s="2" t="s">
        <v>138</v>
      </c>
      <c r="N2921" s="2" t="s">
        <v>2657</v>
      </c>
      <c r="O2921" s="2" t="s">
        <v>81</v>
      </c>
      <c r="P2921" s="2" t="str">
        <f>"2170533027                    "</f>
        <v xml:space="preserve">2170533027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19.940000000000001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6</v>
      </c>
      <c r="BI2921" s="2">
        <v>62</v>
      </c>
      <c r="BJ2921" s="2">
        <v>63.7</v>
      </c>
      <c r="BK2921" s="2">
        <v>64</v>
      </c>
      <c r="BL2921" s="2">
        <v>249.95</v>
      </c>
      <c r="BM2921" s="2">
        <v>34.99</v>
      </c>
      <c r="BN2921" s="2">
        <v>284.94</v>
      </c>
      <c r="BO2921" s="2">
        <v>284.94</v>
      </c>
      <c r="BP2921" s="2"/>
      <c r="BQ2921" s="2" t="s">
        <v>2658</v>
      </c>
      <c r="BR2921" s="2" t="s">
        <v>194</v>
      </c>
      <c r="BS2921" s="3">
        <v>42671</v>
      </c>
      <c r="BT2921" s="4">
        <v>0.35416666666666669</v>
      </c>
      <c r="BU2921" s="2" t="s">
        <v>2659</v>
      </c>
      <c r="BV2921" s="2" t="s">
        <v>85</v>
      </c>
      <c r="BW2921" s="2"/>
      <c r="BX2921" s="2"/>
      <c r="BY2921" s="2">
        <v>276608</v>
      </c>
      <c r="BZ2921" s="2"/>
      <c r="CA2921" s="2"/>
      <c r="CB2921" s="2"/>
      <c r="CC2921" s="2" t="s">
        <v>138</v>
      </c>
      <c r="CD2921" s="2">
        <v>3201</v>
      </c>
      <c r="CE2921" s="2" t="s">
        <v>2660</v>
      </c>
      <c r="CF2921" s="5">
        <v>42674</v>
      </c>
      <c r="CG2921" s="2"/>
      <c r="CH2921" s="2"/>
      <c r="CI2921" s="2">
        <v>1</v>
      </c>
      <c r="CJ2921" s="2">
        <v>1</v>
      </c>
      <c r="CK2921" s="2" t="s">
        <v>1068</v>
      </c>
      <c r="CL2921" s="2" t="s">
        <v>88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"FES1162505618"</f>
        <v>FES1162505618</v>
      </c>
      <c r="F2922" s="3">
        <v>42653</v>
      </c>
      <c r="G2922" s="2">
        <v>201704</v>
      </c>
      <c r="H2922" s="2" t="s">
        <v>74</v>
      </c>
      <c r="I2922" s="2" t="s">
        <v>75</v>
      </c>
      <c r="J2922" s="2" t="s">
        <v>189</v>
      </c>
      <c r="K2922" s="2" t="s">
        <v>77</v>
      </c>
      <c r="L2922" s="2" t="s">
        <v>78</v>
      </c>
      <c r="M2922" s="2" t="s">
        <v>79</v>
      </c>
      <c r="N2922" s="2" t="s">
        <v>2656</v>
      </c>
      <c r="O2922" s="2" t="s">
        <v>81</v>
      </c>
      <c r="P2922" s="2" t="str">
        <f>"2170529308                    "</f>
        <v xml:space="preserve">2170529308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5.7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1.7</v>
      </c>
      <c r="BJ2922" s="2">
        <v>4.9000000000000004</v>
      </c>
      <c r="BK2922" s="2">
        <v>5</v>
      </c>
      <c r="BL2922" s="2">
        <v>75.05</v>
      </c>
      <c r="BM2922" s="2">
        <v>10.51</v>
      </c>
      <c r="BN2922" s="2">
        <v>85.56</v>
      </c>
      <c r="BO2922" s="2">
        <v>85.56</v>
      </c>
      <c r="BP2922" s="2"/>
      <c r="BQ2922" s="2" t="s">
        <v>91</v>
      </c>
      <c r="BR2922" s="2" t="s">
        <v>194</v>
      </c>
      <c r="BS2922" s="3">
        <v>42654</v>
      </c>
      <c r="BT2922" s="4">
        <v>0.41666666666666669</v>
      </c>
      <c r="BU2922" s="2" t="s">
        <v>127</v>
      </c>
      <c r="BV2922" s="2" t="s">
        <v>85</v>
      </c>
      <c r="BW2922" s="2"/>
      <c r="BX2922" s="2"/>
      <c r="BY2922" s="2">
        <v>24440.5</v>
      </c>
      <c r="BZ2922" s="2"/>
      <c r="CA2922" s="2"/>
      <c r="CB2922" s="2"/>
      <c r="CC2922" s="2" t="s">
        <v>79</v>
      </c>
      <c r="CD2922" s="2">
        <v>1939</v>
      </c>
      <c r="CE2922" s="2" t="s">
        <v>86</v>
      </c>
      <c r="CF2922" s="5">
        <v>42656</v>
      </c>
      <c r="CG2922" s="2"/>
      <c r="CH2922" s="2"/>
      <c r="CI2922" s="2">
        <v>1</v>
      </c>
      <c r="CJ2922" s="2">
        <v>1</v>
      </c>
      <c r="CK2922" s="2" t="s">
        <v>87</v>
      </c>
      <c r="CL2922" s="2" t="s">
        <v>88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"FES1162510328"</f>
        <v>FES1162510328</v>
      </c>
      <c r="F2923" s="3">
        <v>42674</v>
      </c>
      <c r="G2923" s="2">
        <v>201704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503</v>
      </c>
      <c r="M2923" s="2" t="s">
        <v>504</v>
      </c>
      <c r="N2923" s="2" t="s">
        <v>505</v>
      </c>
      <c r="O2923" s="2" t="s">
        <v>96</v>
      </c>
      <c r="P2923" s="2" t="str">
        <f>"2170533309                    "</f>
        <v xml:space="preserve">2170533309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6.43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1.5</v>
      </c>
      <c r="BJ2923" s="2">
        <v>1.6</v>
      </c>
      <c r="BK2923" s="2">
        <v>2</v>
      </c>
      <c r="BL2923" s="2">
        <v>78.97</v>
      </c>
      <c r="BM2923" s="2">
        <v>11.06</v>
      </c>
      <c r="BN2923" s="2">
        <v>90.03</v>
      </c>
      <c r="BO2923" s="2">
        <v>90.03</v>
      </c>
      <c r="BP2923" s="2"/>
      <c r="BQ2923" s="2" t="s">
        <v>91</v>
      </c>
      <c r="BR2923" s="2" t="s">
        <v>83</v>
      </c>
      <c r="BS2923" s="3">
        <v>42676</v>
      </c>
      <c r="BT2923" s="4">
        <v>0.41666666666666669</v>
      </c>
      <c r="BU2923" s="2" t="s">
        <v>2661</v>
      </c>
      <c r="BV2923" s="2" t="s">
        <v>88</v>
      </c>
      <c r="BW2923" s="2" t="s">
        <v>277</v>
      </c>
      <c r="BX2923" s="2" t="s">
        <v>223</v>
      </c>
      <c r="BY2923" s="2">
        <v>7751.7</v>
      </c>
      <c r="BZ2923" s="2"/>
      <c r="CA2923" s="2"/>
      <c r="CB2923" s="2"/>
      <c r="CC2923" s="2" t="s">
        <v>504</v>
      </c>
      <c r="CD2923" s="2">
        <v>7349</v>
      </c>
      <c r="CE2923" s="2" t="s">
        <v>86</v>
      </c>
      <c r="CF2923" s="5">
        <v>42677</v>
      </c>
      <c r="CG2923" s="2"/>
      <c r="CH2923" s="2"/>
      <c r="CI2923" s="2">
        <v>1</v>
      </c>
      <c r="CJ2923" s="2">
        <v>2</v>
      </c>
      <c r="CK2923" s="2">
        <v>23</v>
      </c>
      <c r="CL2923" s="2" t="s">
        <v>88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"FES1162510372"</f>
        <v>FES1162510372</v>
      </c>
      <c r="F2924" s="3">
        <v>42674</v>
      </c>
      <c r="G2924" s="2">
        <v>201704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160</v>
      </c>
      <c r="M2924" s="2" t="s">
        <v>161</v>
      </c>
      <c r="N2924" s="2" t="s">
        <v>179</v>
      </c>
      <c r="O2924" s="2" t="s">
        <v>96</v>
      </c>
      <c r="P2924" s="2" t="str">
        <f>"2170532750                    "</f>
        <v xml:space="preserve">2170532750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3.32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1</v>
      </c>
      <c r="BJ2924" s="2">
        <v>0.2</v>
      </c>
      <c r="BK2924" s="2">
        <v>1</v>
      </c>
      <c r="BL2924" s="2">
        <v>40.76</v>
      </c>
      <c r="BM2924" s="2">
        <v>5.71</v>
      </c>
      <c r="BN2924" s="2">
        <v>46.47</v>
      </c>
      <c r="BO2924" s="2">
        <v>46.47</v>
      </c>
      <c r="BP2924" s="2"/>
      <c r="BQ2924" s="2" t="s">
        <v>180</v>
      </c>
      <c r="BR2924" s="2" t="s">
        <v>83</v>
      </c>
      <c r="BS2924" s="3">
        <v>42675</v>
      </c>
      <c r="BT2924" s="4">
        <v>0.41666666666666669</v>
      </c>
      <c r="BU2924" s="2" t="s">
        <v>181</v>
      </c>
      <c r="BV2924" s="2" t="s">
        <v>85</v>
      </c>
      <c r="BW2924" s="2"/>
      <c r="BX2924" s="2"/>
      <c r="BY2924" s="2">
        <v>1200</v>
      </c>
      <c r="BZ2924" s="2"/>
      <c r="CA2924" s="2"/>
      <c r="CB2924" s="2"/>
      <c r="CC2924" s="2" t="s">
        <v>161</v>
      </c>
      <c r="CD2924" s="2">
        <v>7405</v>
      </c>
      <c r="CE2924" s="2" t="s">
        <v>108</v>
      </c>
      <c r="CF2924" s="5">
        <v>42676</v>
      </c>
      <c r="CG2924" s="2"/>
      <c r="CH2924" s="2"/>
      <c r="CI2924" s="2">
        <v>1</v>
      </c>
      <c r="CJ2924" s="2">
        <v>1</v>
      </c>
      <c r="CK2924" s="2">
        <v>21</v>
      </c>
      <c r="CL2924" s="2" t="s">
        <v>88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"FES1162510470"</f>
        <v>FES1162510470</v>
      </c>
      <c r="F2925" s="3">
        <v>42674</v>
      </c>
      <c r="G2925" s="2">
        <v>201704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160</v>
      </c>
      <c r="M2925" s="2" t="s">
        <v>161</v>
      </c>
      <c r="N2925" s="2" t="s">
        <v>184</v>
      </c>
      <c r="O2925" s="2" t="s">
        <v>96</v>
      </c>
      <c r="P2925" s="2" t="str">
        <f>"2170533567                    "</f>
        <v xml:space="preserve">2170533567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9.1199999999999992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1</v>
      </c>
      <c r="BI2925" s="2">
        <v>5.2</v>
      </c>
      <c r="BJ2925" s="2">
        <v>4.8</v>
      </c>
      <c r="BK2925" s="2">
        <v>5.5</v>
      </c>
      <c r="BL2925" s="2">
        <v>112.08</v>
      </c>
      <c r="BM2925" s="2">
        <v>15.69</v>
      </c>
      <c r="BN2925" s="2">
        <v>127.77</v>
      </c>
      <c r="BO2925" s="2">
        <v>127.77</v>
      </c>
      <c r="BP2925" s="2"/>
      <c r="BQ2925" s="2" t="s">
        <v>117</v>
      </c>
      <c r="BR2925" s="2" t="s">
        <v>83</v>
      </c>
      <c r="BS2925" s="3">
        <v>42675</v>
      </c>
      <c r="BT2925" s="4">
        <v>0.41666666666666669</v>
      </c>
      <c r="BU2925" s="2" t="s">
        <v>706</v>
      </c>
      <c r="BV2925" s="2" t="s">
        <v>85</v>
      </c>
      <c r="BW2925" s="2"/>
      <c r="BX2925" s="2"/>
      <c r="BY2925" s="2">
        <v>23868.92</v>
      </c>
      <c r="BZ2925" s="2"/>
      <c r="CA2925" s="2"/>
      <c r="CB2925" s="2"/>
      <c r="CC2925" s="2" t="s">
        <v>161</v>
      </c>
      <c r="CD2925" s="2">
        <v>7441</v>
      </c>
      <c r="CE2925" s="2" t="s">
        <v>86</v>
      </c>
      <c r="CF2925" s="5">
        <v>42676</v>
      </c>
      <c r="CG2925" s="2"/>
      <c r="CH2925" s="2"/>
      <c r="CI2925" s="2">
        <v>1</v>
      </c>
      <c r="CJ2925" s="2">
        <v>1</v>
      </c>
      <c r="CK2925" s="2">
        <v>21</v>
      </c>
      <c r="CL2925" s="2" t="s">
        <v>88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"FES1162510340"</f>
        <v>FES1162510340</v>
      </c>
      <c r="F2926" s="3">
        <v>42674</v>
      </c>
      <c r="G2926" s="2">
        <v>201704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160</v>
      </c>
      <c r="M2926" s="2" t="s">
        <v>161</v>
      </c>
      <c r="N2926" s="2" t="s">
        <v>710</v>
      </c>
      <c r="O2926" s="2" t="s">
        <v>96</v>
      </c>
      <c r="P2926" s="2" t="str">
        <f>"2170533402                    "</f>
        <v xml:space="preserve">2170533402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3.32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1</v>
      </c>
      <c r="BJ2926" s="2">
        <v>0.2</v>
      </c>
      <c r="BK2926" s="2">
        <v>1</v>
      </c>
      <c r="BL2926" s="2">
        <v>40.76</v>
      </c>
      <c r="BM2926" s="2">
        <v>5.71</v>
      </c>
      <c r="BN2926" s="2">
        <v>46.47</v>
      </c>
      <c r="BO2926" s="2">
        <v>46.47</v>
      </c>
      <c r="BP2926" s="2"/>
      <c r="BQ2926" s="2" t="s">
        <v>711</v>
      </c>
      <c r="BR2926" s="2" t="s">
        <v>83</v>
      </c>
      <c r="BS2926" s="3">
        <v>42675</v>
      </c>
      <c r="BT2926" s="4">
        <v>0.41666666666666669</v>
      </c>
      <c r="BU2926" s="2" t="s">
        <v>2662</v>
      </c>
      <c r="BV2926" s="2" t="s">
        <v>85</v>
      </c>
      <c r="BW2926" s="2"/>
      <c r="BX2926" s="2"/>
      <c r="BY2926" s="2">
        <v>1200</v>
      </c>
      <c r="BZ2926" s="2"/>
      <c r="CA2926" s="2"/>
      <c r="CB2926" s="2"/>
      <c r="CC2926" s="2" t="s">
        <v>161</v>
      </c>
      <c r="CD2926" s="2">
        <v>7441</v>
      </c>
      <c r="CE2926" s="2" t="s">
        <v>108</v>
      </c>
      <c r="CF2926" s="5">
        <v>42676</v>
      </c>
      <c r="CG2926" s="2"/>
      <c r="CH2926" s="2"/>
      <c r="CI2926" s="2">
        <v>1</v>
      </c>
      <c r="CJ2926" s="2">
        <v>1</v>
      </c>
      <c r="CK2926" s="2">
        <v>21</v>
      </c>
      <c r="CL2926" s="2" t="s">
        <v>88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"FES1162510524"</f>
        <v>FES1162510524</v>
      </c>
      <c r="F2927" s="3">
        <v>42674</v>
      </c>
      <c r="G2927" s="2">
        <v>201704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160</v>
      </c>
      <c r="M2927" s="2" t="s">
        <v>161</v>
      </c>
      <c r="N2927" s="2" t="s">
        <v>2663</v>
      </c>
      <c r="O2927" s="2" t="s">
        <v>96</v>
      </c>
      <c r="P2927" s="2" t="str">
        <f>"2170533624                    "</f>
        <v xml:space="preserve">2170533624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3.32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1.5</v>
      </c>
      <c r="BJ2927" s="2">
        <v>0.2</v>
      </c>
      <c r="BK2927" s="2">
        <v>1.5</v>
      </c>
      <c r="BL2927" s="2">
        <v>40.76</v>
      </c>
      <c r="BM2927" s="2">
        <v>5.71</v>
      </c>
      <c r="BN2927" s="2">
        <v>46.47</v>
      </c>
      <c r="BO2927" s="2">
        <v>46.47</v>
      </c>
      <c r="BP2927" s="2"/>
      <c r="BQ2927" s="2" t="s">
        <v>2313</v>
      </c>
      <c r="BR2927" s="2" t="s">
        <v>83</v>
      </c>
      <c r="BS2927" s="3">
        <v>42675</v>
      </c>
      <c r="BT2927" s="4">
        <v>0.41666666666666669</v>
      </c>
      <c r="BU2927" s="2" t="s">
        <v>2664</v>
      </c>
      <c r="BV2927" s="2" t="s">
        <v>85</v>
      </c>
      <c r="BW2927" s="2"/>
      <c r="BX2927" s="2"/>
      <c r="BY2927" s="2">
        <v>1200</v>
      </c>
      <c r="BZ2927" s="2"/>
      <c r="CA2927" s="2"/>
      <c r="CB2927" s="2"/>
      <c r="CC2927" s="2" t="s">
        <v>161</v>
      </c>
      <c r="CD2927" s="2">
        <v>7405</v>
      </c>
      <c r="CE2927" s="2" t="s">
        <v>108</v>
      </c>
      <c r="CF2927" s="5">
        <v>42676</v>
      </c>
      <c r="CG2927" s="2"/>
      <c r="CH2927" s="2"/>
      <c r="CI2927" s="2">
        <v>1</v>
      </c>
      <c r="CJ2927" s="2">
        <v>1</v>
      </c>
      <c r="CK2927" s="2">
        <v>21</v>
      </c>
      <c r="CL2927" s="2" t="s">
        <v>88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"FES1162510422"</f>
        <v>FES1162510422</v>
      </c>
      <c r="F2928" s="3">
        <v>42674</v>
      </c>
      <c r="G2928" s="2">
        <v>201704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98</v>
      </c>
      <c r="M2928" s="2" t="s">
        <v>99</v>
      </c>
      <c r="N2928" s="2" t="s">
        <v>133</v>
      </c>
      <c r="O2928" s="2" t="s">
        <v>96</v>
      </c>
      <c r="P2928" s="2" t="str">
        <f>"2170533498                    "</f>
        <v xml:space="preserve">2170533498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6.63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1.6</v>
      </c>
      <c r="BJ2928" s="2">
        <v>3.7</v>
      </c>
      <c r="BK2928" s="2">
        <v>4</v>
      </c>
      <c r="BL2928" s="2">
        <v>81.510000000000005</v>
      </c>
      <c r="BM2928" s="2">
        <v>11.41</v>
      </c>
      <c r="BN2928" s="2">
        <v>92.92</v>
      </c>
      <c r="BO2928" s="2">
        <v>92.92</v>
      </c>
      <c r="BP2928" s="2"/>
      <c r="BQ2928" s="2" t="s">
        <v>134</v>
      </c>
      <c r="BR2928" s="2" t="s">
        <v>83</v>
      </c>
      <c r="BS2928" s="3">
        <v>42675</v>
      </c>
      <c r="BT2928" s="4">
        <v>0.34027777777777773</v>
      </c>
      <c r="BU2928" s="2" t="s">
        <v>2642</v>
      </c>
      <c r="BV2928" s="2" t="s">
        <v>85</v>
      </c>
      <c r="BW2928" s="2"/>
      <c r="BX2928" s="2"/>
      <c r="BY2928" s="2">
        <v>18265.18</v>
      </c>
      <c r="BZ2928" s="2"/>
      <c r="CA2928" s="2"/>
      <c r="CB2928" s="2"/>
      <c r="CC2928" s="2" t="s">
        <v>99</v>
      </c>
      <c r="CD2928" s="2">
        <v>6001</v>
      </c>
      <c r="CE2928" s="2" t="s">
        <v>108</v>
      </c>
      <c r="CF2928" s="5">
        <v>42676</v>
      </c>
      <c r="CG2928" s="2"/>
      <c r="CH2928" s="2"/>
      <c r="CI2928" s="2">
        <v>1</v>
      </c>
      <c r="CJ2928" s="2">
        <v>1</v>
      </c>
      <c r="CK2928" s="2">
        <v>21</v>
      </c>
      <c r="CL2928" s="2" t="s">
        <v>88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"FES1162510448"</f>
        <v>FES1162510448</v>
      </c>
      <c r="F2929" s="3">
        <v>42674</v>
      </c>
      <c r="G2929" s="2">
        <v>201704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269</v>
      </c>
      <c r="M2929" s="2" t="s">
        <v>270</v>
      </c>
      <c r="N2929" s="2" t="s">
        <v>1543</v>
      </c>
      <c r="O2929" s="2" t="s">
        <v>96</v>
      </c>
      <c r="P2929" s="2" t="str">
        <f>"2170533447                    "</f>
        <v xml:space="preserve">2170533447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19.07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2</v>
      </c>
      <c r="BI2929" s="2">
        <v>9.1999999999999993</v>
      </c>
      <c r="BJ2929" s="2">
        <v>11.1</v>
      </c>
      <c r="BK2929" s="2">
        <v>11.5</v>
      </c>
      <c r="BL2929" s="2">
        <v>234.35</v>
      </c>
      <c r="BM2929" s="2">
        <v>32.81</v>
      </c>
      <c r="BN2929" s="2">
        <v>267.16000000000003</v>
      </c>
      <c r="BO2929" s="2">
        <v>267.16000000000003</v>
      </c>
      <c r="BP2929" s="2"/>
      <c r="BQ2929" s="2" t="s">
        <v>2554</v>
      </c>
      <c r="BR2929" s="2" t="s">
        <v>83</v>
      </c>
      <c r="BS2929" s="3">
        <v>42675</v>
      </c>
      <c r="BT2929" s="4">
        <v>0.41666666666666669</v>
      </c>
      <c r="BU2929" s="2" t="s">
        <v>2633</v>
      </c>
      <c r="BV2929" s="2" t="s">
        <v>85</v>
      </c>
      <c r="BW2929" s="2"/>
      <c r="BX2929" s="2"/>
      <c r="BY2929" s="2">
        <v>55257.33</v>
      </c>
      <c r="BZ2929" s="2"/>
      <c r="CA2929" s="2" t="s">
        <v>129</v>
      </c>
      <c r="CB2929" s="2"/>
      <c r="CC2929" s="2" t="s">
        <v>270</v>
      </c>
      <c r="CD2929" s="2">
        <v>3610</v>
      </c>
      <c r="CE2929" s="2" t="s">
        <v>86</v>
      </c>
      <c r="CF2929" s="5">
        <v>42677</v>
      </c>
      <c r="CG2929" s="2"/>
      <c r="CH2929" s="2"/>
      <c r="CI2929" s="2">
        <v>1</v>
      </c>
      <c r="CJ2929" s="2">
        <v>1</v>
      </c>
      <c r="CK2929" s="2">
        <v>21</v>
      </c>
      <c r="CL2929" s="2" t="s">
        <v>88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"FES1162510359"</f>
        <v>FES1162510359</v>
      </c>
      <c r="F2930" s="3">
        <v>42674</v>
      </c>
      <c r="G2930" s="2">
        <v>201704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98</v>
      </c>
      <c r="M2930" s="2" t="s">
        <v>99</v>
      </c>
      <c r="N2930" s="2" t="s">
        <v>133</v>
      </c>
      <c r="O2930" s="2" t="s">
        <v>96</v>
      </c>
      <c r="P2930" s="2" t="str">
        <f>"2170533426                    "</f>
        <v xml:space="preserve">2170533426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6.63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3.7</v>
      </c>
      <c r="BJ2930" s="2">
        <v>3</v>
      </c>
      <c r="BK2930" s="2">
        <v>4</v>
      </c>
      <c r="BL2930" s="2">
        <v>81.510000000000005</v>
      </c>
      <c r="BM2930" s="2">
        <v>11.41</v>
      </c>
      <c r="BN2930" s="2">
        <v>92.92</v>
      </c>
      <c r="BO2930" s="2">
        <v>92.92</v>
      </c>
      <c r="BP2930" s="2"/>
      <c r="BQ2930" s="2" t="s">
        <v>134</v>
      </c>
      <c r="BR2930" s="2" t="s">
        <v>83</v>
      </c>
      <c r="BS2930" s="3">
        <v>42675</v>
      </c>
      <c r="BT2930" s="4">
        <v>0.34027777777777773</v>
      </c>
      <c r="BU2930" s="2" t="s">
        <v>2642</v>
      </c>
      <c r="BV2930" s="2" t="s">
        <v>85</v>
      </c>
      <c r="BW2930" s="2"/>
      <c r="BX2930" s="2"/>
      <c r="BY2930" s="2">
        <v>15180.66</v>
      </c>
      <c r="BZ2930" s="2"/>
      <c r="CA2930" s="2"/>
      <c r="CB2930" s="2"/>
      <c r="CC2930" s="2" t="s">
        <v>99</v>
      </c>
      <c r="CD2930" s="2">
        <v>6001</v>
      </c>
      <c r="CE2930" s="2" t="s">
        <v>108</v>
      </c>
      <c r="CF2930" s="5">
        <v>42676</v>
      </c>
      <c r="CG2930" s="2"/>
      <c r="CH2930" s="2"/>
      <c r="CI2930" s="2">
        <v>1</v>
      </c>
      <c r="CJ2930" s="2">
        <v>1</v>
      </c>
      <c r="CK2930" s="2">
        <v>21</v>
      </c>
      <c r="CL2930" s="2" t="s">
        <v>88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"FES1162510445"</f>
        <v>FES1162510445</v>
      </c>
      <c r="F2931" s="3">
        <v>42674</v>
      </c>
      <c r="G2931" s="2">
        <v>201704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269</v>
      </c>
      <c r="M2931" s="2" t="s">
        <v>270</v>
      </c>
      <c r="N2931" s="2" t="s">
        <v>1543</v>
      </c>
      <c r="O2931" s="2" t="s">
        <v>96</v>
      </c>
      <c r="P2931" s="2" t="str">
        <f>"2170533447                    "</f>
        <v xml:space="preserve">2170533447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60.54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2</v>
      </c>
      <c r="BI2931" s="2">
        <v>16.3</v>
      </c>
      <c r="BJ2931" s="2">
        <v>36.200000000000003</v>
      </c>
      <c r="BK2931" s="2">
        <v>36.5</v>
      </c>
      <c r="BL2931" s="2">
        <v>743.82</v>
      </c>
      <c r="BM2931" s="2">
        <v>104.13</v>
      </c>
      <c r="BN2931" s="2">
        <v>847.95</v>
      </c>
      <c r="BO2931" s="2">
        <v>847.95</v>
      </c>
      <c r="BP2931" s="2"/>
      <c r="BQ2931" s="2" t="s">
        <v>2554</v>
      </c>
      <c r="BR2931" s="2" t="s">
        <v>83</v>
      </c>
      <c r="BS2931" s="3">
        <v>42675</v>
      </c>
      <c r="BT2931" s="4">
        <v>0.41666666666666669</v>
      </c>
      <c r="BU2931" s="2" t="s">
        <v>2633</v>
      </c>
      <c r="BV2931" s="2" t="s">
        <v>85</v>
      </c>
      <c r="BW2931" s="2"/>
      <c r="BX2931" s="2"/>
      <c r="BY2931" s="2">
        <v>181228.49</v>
      </c>
      <c r="BZ2931" s="2"/>
      <c r="CA2931" s="2" t="s">
        <v>129</v>
      </c>
      <c r="CB2931" s="2"/>
      <c r="CC2931" s="2" t="s">
        <v>270</v>
      </c>
      <c r="CD2931" s="2">
        <v>3610</v>
      </c>
      <c r="CE2931" s="2" t="s">
        <v>86</v>
      </c>
      <c r="CF2931" s="5">
        <v>42677</v>
      </c>
      <c r="CG2931" s="2"/>
      <c r="CH2931" s="2"/>
      <c r="CI2931" s="2">
        <v>1</v>
      </c>
      <c r="CJ2931" s="2">
        <v>1</v>
      </c>
      <c r="CK2931" s="2">
        <v>21</v>
      </c>
      <c r="CL2931" s="2" t="s">
        <v>88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"FES1162509931"</f>
        <v>FES1162509931</v>
      </c>
      <c r="F2932" s="3">
        <v>42674</v>
      </c>
      <c r="G2932" s="2">
        <v>201704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1122</v>
      </c>
      <c r="M2932" s="2" t="s">
        <v>1123</v>
      </c>
      <c r="N2932" s="2" t="s">
        <v>2439</v>
      </c>
      <c r="O2932" s="2" t="s">
        <v>96</v>
      </c>
      <c r="P2932" s="2" t="str">
        <f>"2170530524                    "</f>
        <v xml:space="preserve">2170530524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7.46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2.5</v>
      </c>
      <c r="BJ2932" s="2">
        <v>4.2</v>
      </c>
      <c r="BK2932" s="2">
        <v>4.5</v>
      </c>
      <c r="BL2932" s="2">
        <v>91.7</v>
      </c>
      <c r="BM2932" s="2">
        <v>12.84</v>
      </c>
      <c r="BN2932" s="2">
        <v>104.54</v>
      </c>
      <c r="BO2932" s="2">
        <v>104.54</v>
      </c>
      <c r="BP2932" s="2" t="s">
        <v>2665</v>
      </c>
      <c r="BQ2932" s="2" t="s">
        <v>2440</v>
      </c>
      <c r="BR2932" s="2" t="s">
        <v>83</v>
      </c>
      <c r="BS2932" s="3">
        <v>42675</v>
      </c>
      <c r="BT2932" s="4">
        <v>0.41666666666666669</v>
      </c>
      <c r="BU2932" s="2" t="s">
        <v>1999</v>
      </c>
      <c r="BV2932" s="2" t="s">
        <v>85</v>
      </c>
      <c r="BW2932" s="2"/>
      <c r="BX2932" s="2"/>
      <c r="BY2932" s="2">
        <v>20998.23</v>
      </c>
      <c r="BZ2932" s="2"/>
      <c r="CA2932" s="2"/>
      <c r="CB2932" s="2"/>
      <c r="CC2932" s="2" t="s">
        <v>1123</v>
      </c>
      <c r="CD2932" s="2">
        <v>1900</v>
      </c>
      <c r="CE2932" s="2" t="s">
        <v>86</v>
      </c>
      <c r="CF2932" s="5">
        <v>42677</v>
      </c>
      <c r="CG2932" s="2"/>
      <c r="CH2932" s="2"/>
      <c r="CI2932" s="2">
        <v>1</v>
      </c>
      <c r="CJ2932" s="2">
        <v>1</v>
      </c>
      <c r="CK2932" s="2">
        <v>21</v>
      </c>
      <c r="CL2932" s="2" t="s">
        <v>88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"FES1162509932"</f>
        <v>FES1162509932</v>
      </c>
      <c r="F2933" s="3">
        <v>42674</v>
      </c>
      <c r="G2933" s="2">
        <v>201704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1122</v>
      </c>
      <c r="M2933" s="2" t="s">
        <v>1123</v>
      </c>
      <c r="N2933" s="2" t="s">
        <v>2439</v>
      </c>
      <c r="O2933" s="2" t="s">
        <v>96</v>
      </c>
      <c r="P2933" s="2" t="str">
        <f>"2170530573                    "</f>
        <v xml:space="preserve">2170530573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3.32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0.8</v>
      </c>
      <c r="BJ2933" s="2">
        <v>1.7</v>
      </c>
      <c r="BK2933" s="2">
        <v>2</v>
      </c>
      <c r="BL2933" s="2">
        <v>40.76</v>
      </c>
      <c r="BM2933" s="2">
        <v>5.71</v>
      </c>
      <c r="BN2933" s="2">
        <v>46.47</v>
      </c>
      <c r="BO2933" s="2">
        <v>46.47</v>
      </c>
      <c r="BP2933" s="2" t="s">
        <v>2665</v>
      </c>
      <c r="BQ2933" s="2" t="s">
        <v>2440</v>
      </c>
      <c r="BR2933" s="2" t="s">
        <v>83</v>
      </c>
      <c r="BS2933" s="3">
        <v>42675</v>
      </c>
      <c r="BT2933" s="4">
        <v>0.41666666666666669</v>
      </c>
      <c r="BU2933" s="2" t="s">
        <v>1999</v>
      </c>
      <c r="BV2933" s="2" t="s">
        <v>85</v>
      </c>
      <c r="BW2933" s="2"/>
      <c r="BX2933" s="2"/>
      <c r="BY2933" s="2">
        <v>8448.64</v>
      </c>
      <c r="BZ2933" s="2"/>
      <c r="CA2933" s="2"/>
      <c r="CB2933" s="2"/>
      <c r="CC2933" s="2" t="s">
        <v>1123</v>
      </c>
      <c r="CD2933" s="2">
        <v>1900</v>
      </c>
      <c r="CE2933" s="2" t="s">
        <v>86</v>
      </c>
      <c r="CF2933" s="5">
        <v>42677</v>
      </c>
      <c r="CG2933" s="2"/>
      <c r="CH2933" s="2"/>
      <c r="CI2933" s="2">
        <v>1</v>
      </c>
      <c r="CJ2933" s="2">
        <v>1</v>
      </c>
      <c r="CK2933" s="2">
        <v>21</v>
      </c>
      <c r="CL2933" s="2" t="s">
        <v>88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"FES1162510288"</f>
        <v>FES1162510288</v>
      </c>
      <c r="F2934" s="3">
        <v>42674</v>
      </c>
      <c r="G2934" s="2">
        <v>201704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93</v>
      </c>
      <c r="M2934" s="2" t="s">
        <v>94</v>
      </c>
      <c r="N2934" s="2" t="s">
        <v>130</v>
      </c>
      <c r="O2934" s="2" t="s">
        <v>96</v>
      </c>
      <c r="P2934" s="2" t="str">
        <f>"2170530618                    "</f>
        <v xml:space="preserve">2170530618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34.83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2</v>
      </c>
      <c r="BI2934" s="2">
        <v>21</v>
      </c>
      <c r="BJ2934" s="2">
        <v>15.7</v>
      </c>
      <c r="BK2934" s="2">
        <v>21</v>
      </c>
      <c r="BL2934" s="2">
        <v>427.95</v>
      </c>
      <c r="BM2934" s="2">
        <v>59.91</v>
      </c>
      <c r="BN2934" s="2">
        <v>487.86</v>
      </c>
      <c r="BO2934" s="2">
        <v>487.86</v>
      </c>
      <c r="BP2934" s="2"/>
      <c r="BQ2934" s="2" t="s">
        <v>131</v>
      </c>
      <c r="BR2934" s="2" t="s">
        <v>83</v>
      </c>
      <c r="BS2934" s="3">
        <v>42675</v>
      </c>
      <c r="BT2934" s="4">
        <v>0.36458333333333331</v>
      </c>
      <c r="BU2934" s="2" t="s">
        <v>637</v>
      </c>
      <c r="BV2934" s="2" t="s">
        <v>85</v>
      </c>
      <c r="BW2934" s="2"/>
      <c r="BX2934" s="2"/>
      <c r="BY2934" s="2">
        <v>78479.97</v>
      </c>
      <c r="BZ2934" s="2"/>
      <c r="CA2934" s="2"/>
      <c r="CB2934" s="2"/>
      <c r="CC2934" s="2" t="s">
        <v>94</v>
      </c>
      <c r="CD2934" s="2">
        <v>4302</v>
      </c>
      <c r="CE2934" s="2" t="s">
        <v>86</v>
      </c>
      <c r="CF2934" s="5">
        <v>42677</v>
      </c>
      <c r="CG2934" s="2"/>
      <c r="CH2934" s="2"/>
      <c r="CI2934" s="2">
        <v>1</v>
      </c>
      <c r="CJ2934" s="2">
        <v>1</v>
      </c>
      <c r="CK2934" s="2">
        <v>21</v>
      </c>
      <c r="CL2934" s="2" t="s">
        <v>88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"080001472867"</f>
        <v>080001472867</v>
      </c>
      <c r="F2935" s="3">
        <v>42674</v>
      </c>
      <c r="G2935" s="2">
        <v>201704</v>
      </c>
      <c r="H2935" s="2" t="s">
        <v>160</v>
      </c>
      <c r="I2935" s="2" t="s">
        <v>161</v>
      </c>
      <c r="J2935" s="2" t="s">
        <v>2666</v>
      </c>
      <c r="K2935" s="2" t="s">
        <v>77</v>
      </c>
      <c r="L2935" s="2" t="s">
        <v>74</v>
      </c>
      <c r="M2935" s="2" t="s">
        <v>75</v>
      </c>
      <c r="N2935" s="2" t="s">
        <v>189</v>
      </c>
      <c r="O2935" s="2" t="s">
        <v>96</v>
      </c>
      <c r="P2935" s="2" t="str">
        <f>"ZA1000602052                  "</f>
        <v xml:space="preserve">ZA1000602052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5.81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3</v>
      </c>
      <c r="BJ2935" s="2">
        <v>3.3</v>
      </c>
      <c r="BK2935" s="2">
        <v>3.5</v>
      </c>
      <c r="BL2935" s="2">
        <v>71.33</v>
      </c>
      <c r="BM2935" s="2">
        <v>9.99</v>
      </c>
      <c r="BN2935" s="2">
        <v>81.319999999999993</v>
      </c>
      <c r="BO2935" s="2">
        <v>81.319999999999993</v>
      </c>
      <c r="BP2935" s="2" t="s">
        <v>776</v>
      </c>
      <c r="BQ2935" s="2" t="s">
        <v>381</v>
      </c>
      <c r="BR2935" s="2" t="s">
        <v>1593</v>
      </c>
      <c r="BS2935" s="3">
        <v>42675</v>
      </c>
      <c r="BT2935" s="4">
        <v>0.3666666666666667</v>
      </c>
      <c r="BU2935" s="2" t="s">
        <v>1209</v>
      </c>
      <c r="BV2935" s="2" t="s">
        <v>85</v>
      </c>
      <c r="BW2935" s="2"/>
      <c r="BX2935" s="2"/>
      <c r="BY2935" s="2">
        <v>16280</v>
      </c>
      <c r="BZ2935" s="2"/>
      <c r="CA2935" s="2"/>
      <c r="CB2935" s="2"/>
      <c r="CC2935" s="2" t="s">
        <v>75</v>
      </c>
      <c r="CD2935" s="2">
        <v>1601</v>
      </c>
      <c r="CE2935" s="2" t="s">
        <v>86</v>
      </c>
      <c r="CF2935" s="5">
        <v>42675</v>
      </c>
      <c r="CG2935" s="2"/>
      <c r="CH2935" s="2"/>
      <c r="CI2935" s="2">
        <v>1</v>
      </c>
      <c r="CJ2935" s="2">
        <v>1</v>
      </c>
      <c r="CK2935" s="2">
        <v>21</v>
      </c>
      <c r="CL2935" s="2" t="s">
        <v>88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"FES1162510439"</f>
        <v>FES1162510439</v>
      </c>
      <c r="F2936" s="3">
        <v>42674</v>
      </c>
      <c r="G2936" s="2">
        <v>201704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98</v>
      </c>
      <c r="M2936" s="2" t="s">
        <v>99</v>
      </c>
      <c r="N2936" s="2" t="s">
        <v>104</v>
      </c>
      <c r="O2936" s="2" t="s">
        <v>96</v>
      </c>
      <c r="P2936" s="2" t="str">
        <f>"2170533531                    "</f>
        <v xml:space="preserve">2170533531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11.61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6.8</v>
      </c>
      <c r="BJ2936" s="2">
        <v>2.2000000000000002</v>
      </c>
      <c r="BK2936" s="2">
        <v>7</v>
      </c>
      <c r="BL2936" s="2">
        <v>142.65</v>
      </c>
      <c r="BM2936" s="2">
        <v>19.97</v>
      </c>
      <c r="BN2936" s="2">
        <v>162.62</v>
      </c>
      <c r="BO2936" s="2">
        <v>162.62</v>
      </c>
      <c r="BP2936" s="2"/>
      <c r="BQ2936" s="2" t="s">
        <v>105</v>
      </c>
      <c r="BR2936" s="2" t="s">
        <v>83</v>
      </c>
      <c r="BS2936" s="3">
        <v>42675</v>
      </c>
      <c r="BT2936" s="4">
        <v>0.40277777777777773</v>
      </c>
      <c r="BU2936" s="2" t="s">
        <v>105</v>
      </c>
      <c r="BV2936" s="2" t="s">
        <v>85</v>
      </c>
      <c r="BW2936" s="2"/>
      <c r="BX2936" s="2"/>
      <c r="BY2936" s="2">
        <v>11094.51</v>
      </c>
      <c r="BZ2936" s="2"/>
      <c r="CA2936" s="2"/>
      <c r="CB2936" s="2"/>
      <c r="CC2936" s="2" t="s">
        <v>99</v>
      </c>
      <c r="CD2936" s="2">
        <v>6001</v>
      </c>
      <c r="CE2936" s="2" t="s">
        <v>86</v>
      </c>
      <c r="CF2936" s="5">
        <v>42676</v>
      </c>
      <c r="CG2936" s="2"/>
      <c r="CH2936" s="2"/>
      <c r="CI2936" s="2">
        <v>1</v>
      </c>
      <c r="CJ2936" s="2">
        <v>1</v>
      </c>
      <c r="CK2936" s="2">
        <v>21</v>
      </c>
      <c r="CL2936" s="2" t="s">
        <v>88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"FES1162510441"</f>
        <v>FES1162510441</v>
      </c>
      <c r="F2937" s="3">
        <v>42674</v>
      </c>
      <c r="G2937" s="2">
        <v>201704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269</v>
      </c>
      <c r="M2937" s="2" t="s">
        <v>270</v>
      </c>
      <c r="N2937" s="2" t="s">
        <v>1545</v>
      </c>
      <c r="O2937" s="2" t="s">
        <v>96</v>
      </c>
      <c r="P2937" s="2" t="str">
        <f>"2170533535                    "</f>
        <v xml:space="preserve">2170533535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3.32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1.7</v>
      </c>
      <c r="BJ2937" s="2">
        <v>0.9</v>
      </c>
      <c r="BK2937" s="2">
        <v>2</v>
      </c>
      <c r="BL2937" s="2">
        <v>40.76</v>
      </c>
      <c r="BM2937" s="2">
        <v>5.71</v>
      </c>
      <c r="BN2937" s="2">
        <v>46.47</v>
      </c>
      <c r="BO2937" s="2">
        <v>46.47</v>
      </c>
      <c r="BP2937" s="2"/>
      <c r="BQ2937" s="2" t="s">
        <v>91</v>
      </c>
      <c r="BR2937" s="2" t="s">
        <v>83</v>
      </c>
      <c r="BS2937" s="3">
        <v>42675</v>
      </c>
      <c r="BT2937" s="4">
        <v>0.4375</v>
      </c>
      <c r="BU2937" s="2" t="s">
        <v>2667</v>
      </c>
      <c r="BV2937" s="2" t="s">
        <v>85</v>
      </c>
      <c r="BW2937" s="2"/>
      <c r="BX2937" s="2"/>
      <c r="BY2937" s="2">
        <v>4712.3999999999996</v>
      </c>
      <c r="BZ2937" s="2"/>
      <c r="CA2937" s="2" t="s">
        <v>129</v>
      </c>
      <c r="CB2937" s="2"/>
      <c r="CC2937" s="2" t="s">
        <v>270</v>
      </c>
      <c r="CD2937" s="2">
        <v>3610</v>
      </c>
      <c r="CE2937" s="2" t="s">
        <v>86</v>
      </c>
      <c r="CF2937" s="5">
        <v>42677</v>
      </c>
      <c r="CG2937" s="2"/>
      <c r="CH2937" s="2"/>
      <c r="CI2937" s="2">
        <v>1</v>
      </c>
      <c r="CJ2937" s="2">
        <v>1</v>
      </c>
      <c r="CK2937" s="2">
        <v>21</v>
      </c>
      <c r="CL2937" s="2" t="s">
        <v>88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"FES1162510292"</f>
        <v>FES1162510292</v>
      </c>
      <c r="F2938" s="3">
        <v>42674</v>
      </c>
      <c r="G2938" s="2">
        <v>201704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1225</v>
      </c>
      <c r="M2938" s="2" t="s">
        <v>1226</v>
      </c>
      <c r="N2938" s="2" t="s">
        <v>2470</v>
      </c>
      <c r="O2938" s="2" t="s">
        <v>96</v>
      </c>
      <c r="P2938" s="2" t="str">
        <f>"2170533388                    "</f>
        <v xml:space="preserve">2170533388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9.33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2.7</v>
      </c>
      <c r="BJ2938" s="2">
        <v>1</v>
      </c>
      <c r="BK2938" s="2">
        <v>3</v>
      </c>
      <c r="BL2938" s="2">
        <v>114.63</v>
      </c>
      <c r="BM2938" s="2">
        <v>16.05</v>
      </c>
      <c r="BN2938" s="2">
        <v>130.68</v>
      </c>
      <c r="BO2938" s="2">
        <v>130.68</v>
      </c>
      <c r="BP2938" s="2"/>
      <c r="BQ2938" s="2" t="s">
        <v>13</v>
      </c>
      <c r="BR2938" s="2" t="s">
        <v>83</v>
      </c>
      <c r="BS2938" s="3">
        <v>42675</v>
      </c>
      <c r="BT2938" s="4">
        <v>0.50555555555555554</v>
      </c>
      <c r="BU2938" s="2" t="s">
        <v>1591</v>
      </c>
      <c r="BV2938" s="2" t="s">
        <v>85</v>
      </c>
      <c r="BW2938" s="2"/>
      <c r="BX2938" s="2"/>
      <c r="BY2938" s="2">
        <v>5227.2</v>
      </c>
      <c r="BZ2938" s="2"/>
      <c r="CA2938" s="2"/>
      <c r="CB2938" s="2"/>
      <c r="CC2938" s="2" t="s">
        <v>1226</v>
      </c>
      <c r="CD2938" s="2">
        <v>5660</v>
      </c>
      <c r="CE2938" s="2" t="s">
        <v>86</v>
      </c>
      <c r="CF2938" s="5">
        <v>42677</v>
      </c>
      <c r="CG2938" s="2"/>
      <c r="CH2938" s="2"/>
      <c r="CI2938" s="2">
        <v>3</v>
      </c>
      <c r="CJ2938" s="2">
        <v>1</v>
      </c>
      <c r="CK2938" s="2">
        <v>23</v>
      </c>
      <c r="CL2938" s="2" t="s">
        <v>88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"FES1162510330"</f>
        <v>FES1162510330</v>
      </c>
      <c r="F2939" s="3">
        <v>42674</v>
      </c>
      <c r="G2939" s="2">
        <v>201704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1225</v>
      </c>
      <c r="M2939" s="2" t="s">
        <v>1226</v>
      </c>
      <c r="N2939" s="2" t="s">
        <v>2470</v>
      </c>
      <c r="O2939" s="2" t="s">
        <v>96</v>
      </c>
      <c r="P2939" s="2" t="str">
        <f>"2170533390                    "</f>
        <v xml:space="preserve">2170533390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92.05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16.100000000000001</v>
      </c>
      <c r="BJ2939" s="2">
        <v>31.1</v>
      </c>
      <c r="BK2939" s="2">
        <v>31.5</v>
      </c>
      <c r="BL2939" s="2">
        <v>1131.01</v>
      </c>
      <c r="BM2939" s="2">
        <v>158.34</v>
      </c>
      <c r="BN2939" s="2">
        <v>1289.3499999999999</v>
      </c>
      <c r="BO2939" s="2">
        <v>1289.3499999999999</v>
      </c>
      <c r="BP2939" s="2"/>
      <c r="BQ2939" s="2" t="s">
        <v>13</v>
      </c>
      <c r="BR2939" s="2" t="s">
        <v>83</v>
      </c>
      <c r="BS2939" s="3">
        <v>42675</v>
      </c>
      <c r="BT2939" s="4">
        <v>0.50555555555555554</v>
      </c>
      <c r="BU2939" s="2" t="s">
        <v>1591</v>
      </c>
      <c r="BV2939" s="2" t="s">
        <v>85</v>
      </c>
      <c r="BW2939" s="2"/>
      <c r="BX2939" s="2"/>
      <c r="BY2939" s="2">
        <v>155290.01999999999</v>
      </c>
      <c r="BZ2939" s="2"/>
      <c r="CA2939" s="2"/>
      <c r="CB2939" s="2"/>
      <c r="CC2939" s="2" t="s">
        <v>1226</v>
      </c>
      <c r="CD2939" s="2">
        <v>5660</v>
      </c>
      <c r="CE2939" s="2" t="s">
        <v>86</v>
      </c>
      <c r="CF2939" s="5">
        <v>42677</v>
      </c>
      <c r="CG2939" s="2"/>
      <c r="CH2939" s="2"/>
      <c r="CI2939" s="2">
        <v>3</v>
      </c>
      <c r="CJ2939" s="2">
        <v>1</v>
      </c>
      <c r="CK2939" s="2">
        <v>23</v>
      </c>
      <c r="CL2939" s="2" t="s">
        <v>88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"FES1162510454"</f>
        <v>FES1162510454</v>
      </c>
      <c r="F2940" s="3">
        <v>42674</v>
      </c>
      <c r="G2940" s="2">
        <v>201704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137</v>
      </c>
      <c r="M2940" s="2" t="s">
        <v>138</v>
      </c>
      <c r="N2940" s="2" t="s">
        <v>203</v>
      </c>
      <c r="O2940" s="2" t="s">
        <v>96</v>
      </c>
      <c r="P2940" s="2" t="str">
        <f>"2170533549                    "</f>
        <v xml:space="preserve">2170533549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4.1500000000000004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2.2999999999999998</v>
      </c>
      <c r="BJ2940" s="2">
        <v>1.4</v>
      </c>
      <c r="BK2940" s="2">
        <v>2.5</v>
      </c>
      <c r="BL2940" s="2">
        <v>50.95</v>
      </c>
      <c r="BM2940" s="2">
        <v>7.13</v>
      </c>
      <c r="BN2940" s="2">
        <v>58.08</v>
      </c>
      <c r="BO2940" s="2">
        <v>58.08</v>
      </c>
      <c r="BP2940" s="2"/>
      <c r="BQ2940" s="2" t="s">
        <v>168</v>
      </c>
      <c r="BR2940" s="2" t="s">
        <v>83</v>
      </c>
      <c r="BS2940" s="3">
        <v>42675</v>
      </c>
      <c r="BT2940" s="4">
        <v>0.41180555555555554</v>
      </c>
      <c r="BU2940" s="2" t="s">
        <v>768</v>
      </c>
      <c r="BV2940" s="2"/>
      <c r="BW2940" s="2"/>
      <c r="BX2940" s="2"/>
      <c r="BY2940" s="2">
        <v>6997.32</v>
      </c>
      <c r="BZ2940" s="2"/>
      <c r="CA2940" s="2" t="s">
        <v>613</v>
      </c>
      <c r="CB2940" s="2"/>
      <c r="CC2940" s="2" t="s">
        <v>138</v>
      </c>
      <c r="CD2940" s="2">
        <v>3201</v>
      </c>
      <c r="CE2940" s="2" t="s">
        <v>86</v>
      </c>
      <c r="CF2940" s="5">
        <v>42675</v>
      </c>
      <c r="CG2940" s="2"/>
      <c r="CH2940" s="2"/>
      <c r="CI2940" s="2">
        <v>0</v>
      </c>
      <c r="CJ2940" s="2">
        <v>0</v>
      </c>
      <c r="CK2940" s="2">
        <v>21</v>
      </c>
      <c r="CL2940" s="2" t="s">
        <v>88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"FES1162510428"</f>
        <v>FES1162510428</v>
      </c>
      <c r="F2941" s="3">
        <v>42674</v>
      </c>
      <c r="G2941" s="2">
        <v>201704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98</v>
      </c>
      <c r="M2941" s="2" t="s">
        <v>99</v>
      </c>
      <c r="N2941" s="2" t="s">
        <v>133</v>
      </c>
      <c r="O2941" s="2" t="s">
        <v>96</v>
      </c>
      <c r="P2941" s="2" t="str">
        <f>"2170533503                    "</f>
        <v xml:space="preserve">2170533503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13.27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7.6</v>
      </c>
      <c r="BJ2941" s="2">
        <v>1.8</v>
      </c>
      <c r="BK2941" s="2">
        <v>8</v>
      </c>
      <c r="BL2941" s="2">
        <v>163.03</v>
      </c>
      <c r="BM2941" s="2">
        <v>22.82</v>
      </c>
      <c r="BN2941" s="2">
        <v>185.85</v>
      </c>
      <c r="BO2941" s="2">
        <v>185.85</v>
      </c>
      <c r="BP2941" s="2"/>
      <c r="BQ2941" s="2" t="s">
        <v>134</v>
      </c>
      <c r="BR2941" s="2" t="s">
        <v>83</v>
      </c>
      <c r="BS2941" s="3">
        <v>42677</v>
      </c>
      <c r="BT2941" s="4">
        <v>0.55555555555555558</v>
      </c>
      <c r="BU2941" s="2" t="s">
        <v>2668</v>
      </c>
      <c r="BV2941" s="2" t="s">
        <v>88</v>
      </c>
      <c r="BW2941" s="2" t="s">
        <v>222</v>
      </c>
      <c r="BX2941" s="2" t="s">
        <v>2509</v>
      </c>
      <c r="BY2941" s="2">
        <v>9071.3700000000008</v>
      </c>
      <c r="BZ2941" s="2"/>
      <c r="CA2941" s="2"/>
      <c r="CB2941" s="2"/>
      <c r="CC2941" s="2" t="s">
        <v>99</v>
      </c>
      <c r="CD2941" s="2">
        <v>6001</v>
      </c>
      <c r="CE2941" s="2" t="s">
        <v>86</v>
      </c>
      <c r="CF2941" s="2"/>
      <c r="CG2941" s="2"/>
      <c r="CH2941" s="2"/>
      <c r="CI2941" s="2">
        <v>1</v>
      </c>
      <c r="CJ2941" s="2">
        <v>3</v>
      </c>
      <c r="CK2941" s="2">
        <v>21</v>
      </c>
      <c r="CL2941" s="2" t="s">
        <v>88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"FES1162510267"</f>
        <v>FES1162510267</v>
      </c>
      <c r="F2942" s="3">
        <v>42674</v>
      </c>
      <c r="G2942" s="2">
        <v>201704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98</v>
      </c>
      <c r="M2942" s="2" t="s">
        <v>99</v>
      </c>
      <c r="N2942" s="2" t="s">
        <v>224</v>
      </c>
      <c r="O2942" s="2" t="s">
        <v>96</v>
      </c>
      <c r="P2942" s="2" t="str">
        <f>"2170533373                    "</f>
        <v xml:space="preserve">2170533373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20.73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1</v>
      </c>
      <c r="BI2942" s="2">
        <v>12.1</v>
      </c>
      <c r="BJ2942" s="2">
        <v>3.9</v>
      </c>
      <c r="BK2942" s="2">
        <v>12.5</v>
      </c>
      <c r="BL2942" s="2">
        <v>254.73</v>
      </c>
      <c r="BM2942" s="2">
        <v>35.659999999999997</v>
      </c>
      <c r="BN2942" s="2">
        <v>290.39</v>
      </c>
      <c r="BO2942" s="2">
        <v>290.39</v>
      </c>
      <c r="BP2942" s="2"/>
      <c r="BQ2942" s="2" t="s">
        <v>1403</v>
      </c>
      <c r="BR2942" s="2" t="s">
        <v>83</v>
      </c>
      <c r="BS2942" s="3">
        <v>42675</v>
      </c>
      <c r="BT2942" s="4">
        <v>0.3263888888888889</v>
      </c>
      <c r="BU2942" s="2" t="s">
        <v>554</v>
      </c>
      <c r="BV2942" s="2" t="s">
        <v>85</v>
      </c>
      <c r="BW2942" s="2"/>
      <c r="BX2942" s="2"/>
      <c r="BY2942" s="2">
        <v>19253.68</v>
      </c>
      <c r="BZ2942" s="2"/>
      <c r="CA2942" s="2"/>
      <c r="CB2942" s="2"/>
      <c r="CC2942" s="2" t="s">
        <v>99</v>
      </c>
      <c r="CD2942" s="2">
        <v>6001</v>
      </c>
      <c r="CE2942" s="2" t="s">
        <v>86</v>
      </c>
      <c r="CF2942" s="5">
        <v>42676</v>
      </c>
      <c r="CG2942" s="2"/>
      <c r="CH2942" s="2"/>
      <c r="CI2942" s="2">
        <v>1</v>
      </c>
      <c r="CJ2942" s="2">
        <v>1</v>
      </c>
      <c r="CK2942" s="2">
        <v>21</v>
      </c>
      <c r="CL2942" s="2" t="s">
        <v>88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"FES1162510264"</f>
        <v>FES1162510264</v>
      </c>
      <c r="F2943" s="3">
        <v>42674</v>
      </c>
      <c r="G2943" s="2">
        <v>201704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253</v>
      </c>
      <c r="M2943" s="2" t="s">
        <v>254</v>
      </c>
      <c r="N2943" s="2" t="s">
        <v>255</v>
      </c>
      <c r="O2943" s="2" t="s">
        <v>96</v>
      </c>
      <c r="P2943" s="2" t="str">
        <f>"2170533364                    "</f>
        <v xml:space="preserve">2170533364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9.33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1</v>
      </c>
      <c r="BI2943" s="2">
        <v>2.8</v>
      </c>
      <c r="BJ2943" s="2">
        <v>1.1000000000000001</v>
      </c>
      <c r="BK2943" s="2">
        <v>3</v>
      </c>
      <c r="BL2943" s="2">
        <v>114.63</v>
      </c>
      <c r="BM2943" s="2">
        <v>16.05</v>
      </c>
      <c r="BN2943" s="2">
        <v>130.68</v>
      </c>
      <c r="BO2943" s="2">
        <v>130.68</v>
      </c>
      <c r="BP2943" s="2"/>
      <c r="BQ2943" s="2" t="s">
        <v>117</v>
      </c>
      <c r="BR2943" s="2" t="s">
        <v>83</v>
      </c>
      <c r="BS2943" s="3">
        <v>42675</v>
      </c>
      <c r="BT2943" s="4">
        <v>0.58333333333333337</v>
      </c>
      <c r="BU2943" s="2" t="s">
        <v>457</v>
      </c>
      <c r="BV2943" s="2" t="s">
        <v>85</v>
      </c>
      <c r="BW2943" s="2"/>
      <c r="BX2943" s="2"/>
      <c r="BY2943" s="2">
        <v>5290.74</v>
      </c>
      <c r="BZ2943" s="2"/>
      <c r="CA2943" s="2"/>
      <c r="CB2943" s="2"/>
      <c r="CC2943" s="2" t="s">
        <v>254</v>
      </c>
      <c r="CD2943" s="2">
        <v>3370</v>
      </c>
      <c r="CE2943" s="2" t="s">
        <v>86</v>
      </c>
      <c r="CF2943" s="5">
        <v>42677</v>
      </c>
      <c r="CG2943" s="2"/>
      <c r="CH2943" s="2"/>
      <c r="CI2943" s="2">
        <v>3</v>
      </c>
      <c r="CJ2943" s="2">
        <v>1</v>
      </c>
      <c r="CK2943" s="2">
        <v>23</v>
      </c>
      <c r="CL2943" s="2" t="s">
        <v>88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"FES1162510329"</f>
        <v>FES1162510329</v>
      </c>
      <c r="F2944" s="3">
        <v>42674</v>
      </c>
      <c r="G2944" s="2">
        <v>201704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872</v>
      </c>
      <c r="M2944" s="2" t="s">
        <v>873</v>
      </c>
      <c r="N2944" s="2" t="s">
        <v>1342</v>
      </c>
      <c r="O2944" s="2" t="s">
        <v>96</v>
      </c>
      <c r="P2944" s="2" t="str">
        <f>"2170533360                    "</f>
        <v xml:space="preserve">2170533360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3.32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0.6</v>
      </c>
      <c r="BJ2944" s="2">
        <v>1</v>
      </c>
      <c r="BK2944" s="2">
        <v>1</v>
      </c>
      <c r="BL2944" s="2">
        <v>40.76</v>
      </c>
      <c r="BM2944" s="2">
        <v>5.71</v>
      </c>
      <c r="BN2944" s="2">
        <v>46.47</v>
      </c>
      <c r="BO2944" s="2">
        <v>46.47</v>
      </c>
      <c r="BP2944" s="2"/>
      <c r="BQ2944" s="2" t="s">
        <v>1343</v>
      </c>
      <c r="BR2944" s="2" t="s">
        <v>83</v>
      </c>
      <c r="BS2944" s="3">
        <v>42675</v>
      </c>
      <c r="BT2944" s="4">
        <v>0.43472222222222223</v>
      </c>
      <c r="BU2944" s="2" t="s">
        <v>2669</v>
      </c>
      <c r="BV2944" s="2" t="s">
        <v>85</v>
      </c>
      <c r="BW2944" s="2"/>
      <c r="BX2944" s="2"/>
      <c r="BY2944" s="2">
        <v>4857.6000000000004</v>
      </c>
      <c r="BZ2944" s="2"/>
      <c r="CA2944" s="2"/>
      <c r="CB2944" s="2"/>
      <c r="CC2944" s="2" t="s">
        <v>873</v>
      </c>
      <c r="CD2944" s="2">
        <v>4126</v>
      </c>
      <c r="CE2944" s="2" t="s">
        <v>86</v>
      </c>
      <c r="CF2944" s="5">
        <v>42676</v>
      </c>
      <c r="CG2944" s="2"/>
      <c r="CH2944" s="2"/>
      <c r="CI2944" s="2">
        <v>1</v>
      </c>
      <c r="CJ2944" s="2">
        <v>1</v>
      </c>
      <c r="CK2944" s="2">
        <v>21</v>
      </c>
      <c r="CL2944" s="2" t="s">
        <v>88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"FES1162510259"</f>
        <v>FES1162510259</v>
      </c>
      <c r="F2945" s="3">
        <v>42674</v>
      </c>
      <c r="G2945" s="2">
        <v>201704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2670</v>
      </c>
      <c r="M2945" s="2" t="s">
        <v>2671</v>
      </c>
      <c r="N2945" s="2" t="s">
        <v>2672</v>
      </c>
      <c r="O2945" s="2" t="s">
        <v>96</v>
      </c>
      <c r="P2945" s="2" t="str">
        <f>"2170533222                    "</f>
        <v xml:space="preserve">2170533222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13.68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4.5</v>
      </c>
      <c r="BJ2945" s="2">
        <v>2.2000000000000002</v>
      </c>
      <c r="BK2945" s="2">
        <v>4.5</v>
      </c>
      <c r="BL2945" s="2">
        <v>168.12</v>
      </c>
      <c r="BM2945" s="2">
        <v>23.54</v>
      </c>
      <c r="BN2945" s="2">
        <v>191.66</v>
      </c>
      <c r="BO2945" s="2">
        <v>191.66</v>
      </c>
      <c r="BP2945" s="2"/>
      <c r="BQ2945" s="2" t="s">
        <v>2673</v>
      </c>
      <c r="BR2945" s="2" t="s">
        <v>83</v>
      </c>
      <c r="BS2945" s="3">
        <v>42675</v>
      </c>
      <c r="BT2945" s="4">
        <v>0.41666666666666669</v>
      </c>
      <c r="BU2945" s="2" t="s">
        <v>2674</v>
      </c>
      <c r="BV2945" s="2" t="s">
        <v>85</v>
      </c>
      <c r="BW2945" s="2"/>
      <c r="BX2945" s="2"/>
      <c r="BY2945" s="2">
        <v>10760.9</v>
      </c>
      <c r="BZ2945" s="2"/>
      <c r="CA2945" s="2"/>
      <c r="CB2945" s="2"/>
      <c r="CC2945" s="2" t="s">
        <v>2671</v>
      </c>
      <c r="CD2945" s="2">
        <v>7131</v>
      </c>
      <c r="CE2945" s="2" t="s">
        <v>86</v>
      </c>
      <c r="CF2945" s="5">
        <v>42676</v>
      </c>
      <c r="CG2945" s="2"/>
      <c r="CH2945" s="2"/>
      <c r="CI2945" s="2">
        <v>1</v>
      </c>
      <c r="CJ2945" s="2">
        <v>1</v>
      </c>
      <c r="CK2945" s="2">
        <v>23</v>
      </c>
      <c r="CL2945" s="2" t="s">
        <v>88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"FES1162510460"</f>
        <v>FES1162510460</v>
      </c>
      <c r="F2946" s="3">
        <v>42674</v>
      </c>
      <c r="G2946" s="2">
        <v>201704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269</v>
      </c>
      <c r="M2946" s="2" t="s">
        <v>270</v>
      </c>
      <c r="N2946" s="2" t="s">
        <v>1720</v>
      </c>
      <c r="O2946" s="2" t="s">
        <v>96</v>
      </c>
      <c r="P2946" s="2" t="str">
        <f>"2170533520                    "</f>
        <v xml:space="preserve">2170533520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3.32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2</v>
      </c>
      <c r="BJ2946" s="2">
        <v>1.1000000000000001</v>
      </c>
      <c r="BK2946" s="2">
        <v>2</v>
      </c>
      <c r="BL2946" s="2">
        <v>40.76</v>
      </c>
      <c r="BM2946" s="2">
        <v>5.71</v>
      </c>
      <c r="BN2946" s="2">
        <v>46.47</v>
      </c>
      <c r="BO2946" s="2">
        <v>46.47</v>
      </c>
      <c r="BP2946" s="2"/>
      <c r="BQ2946" s="2" t="s">
        <v>91</v>
      </c>
      <c r="BR2946" s="2" t="s">
        <v>83</v>
      </c>
      <c r="BS2946" s="3">
        <v>42675</v>
      </c>
      <c r="BT2946" s="4">
        <v>0.36874999999999997</v>
      </c>
      <c r="BU2946" s="2" t="s">
        <v>2647</v>
      </c>
      <c r="BV2946" s="2" t="s">
        <v>85</v>
      </c>
      <c r="BW2946" s="2"/>
      <c r="BX2946" s="2"/>
      <c r="BY2946" s="2">
        <v>5410.08</v>
      </c>
      <c r="BZ2946" s="2"/>
      <c r="CA2946" s="2"/>
      <c r="CB2946" s="2"/>
      <c r="CC2946" s="2" t="s">
        <v>270</v>
      </c>
      <c r="CD2946" s="2">
        <v>3610</v>
      </c>
      <c r="CE2946" s="2" t="s">
        <v>86</v>
      </c>
      <c r="CF2946" s="5">
        <v>42675</v>
      </c>
      <c r="CG2946" s="2"/>
      <c r="CH2946" s="2"/>
      <c r="CI2946" s="2">
        <v>1</v>
      </c>
      <c r="CJ2946" s="2">
        <v>1</v>
      </c>
      <c r="CK2946" s="2">
        <v>21</v>
      </c>
      <c r="CL2946" s="2" t="s">
        <v>88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"FES1162510286"</f>
        <v>FES1162510286</v>
      </c>
      <c r="F2947" s="3">
        <v>42674</v>
      </c>
      <c r="G2947" s="2">
        <v>201704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1982</v>
      </c>
      <c r="M2947" s="2" t="s">
        <v>1983</v>
      </c>
      <c r="N2947" s="2" t="s">
        <v>1984</v>
      </c>
      <c r="O2947" s="2" t="s">
        <v>96</v>
      </c>
      <c r="P2947" s="2" t="str">
        <f>"2170530052                    "</f>
        <v xml:space="preserve">2170530052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6.43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1.6</v>
      </c>
      <c r="BJ2947" s="2">
        <v>1</v>
      </c>
      <c r="BK2947" s="2">
        <v>2</v>
      </c>
      <c r="BL2947" s="2">
        <v>78.97</v>
      </c>
      <c r="BM2947" s="2">
        <v>11.06</v>
      </c>
      <c r="BN2947" s="2">
        <v>90.03</v>
      </c>
      <c r="BO2947" s="2">
        <v>90.03</v>
      </c>
      <c r="BP2947" s="2"/>
      <c r="BQ2947" s="2" t="s">
        <v>1985</v>
      </c>
      <c r="BR2947" s="2" t="s">
        <v>83</v>
      </c>
      <c r="BS2947" s="3">
        <v>42675</v>
      </c>
      <c r="BT2947" s="4">
        <v>0.39583333333333331</v>
      </c>
      <c r="BU2947" s="2" t="s">
        <v>1518</v>
      </c>
      <c r="BV2947" s="2" t="s">
        <v>85</v>
      </c>
      <c r="BW2947" s="2"/>
      <c r="BX2947" s="2"/>
      <c r="BY2947" s="2">
        <v>5112.8999999999996</v>
      </c>
      <c r="BZ2947" s="2"/>
      <c r="CA2947" s="2"/>
      <c r="CB2947" s="2"/>
      <c r="CC2947" s="2" t="s">
        <v>1983</v>
      </c>
      <c r="CD2947" s="2">
        <v>9880</v>
      </c>
      <c r="CE2947" s="2" t="s">
        <v>86</v>
      </c>
      <c r="CF2947" s="5">
        <v>42677</v>
      </c>
      <c r="CG2947" s="2"/>
      <c r="CH2947" s="2"/>
      <c r="CI2947" s="2">
        <v>1</v>
      </c>
      <c r="CJ2947" s="2">
        <v>1</v>
      </c>
      <c r="CK2947" s="2">
        <v>23</v>
      </c>
      <c r="CL2947" s="2" t="s">
        <v>88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"FES1162510383"</f>
        <v>FES1162510383</v>
      </c>
      <c r="F2948" s="3">
        <v>42674</v>
      </c>
      <c r="G2948" s="2">
        <v>201704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98</v>
      </c>
      <c r="M2948" s="2" t="s">
        <v>99</v>
      </c>
      <c r="N2948" s="2" t="s">
        <v>133</v>
      </c>
      <c r="O2948" s="2" t="s">
        <v>96</v>
      </c>
      <c r="P2948" s="2" t="str">
        <f>"2170533458                    "</f>
        <v xml:space="preserve">2170533458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6.63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3.9</v>
      </c>
      <c r="BJ2948" s="2">
        <v>2.2000000000000002</v>
      </c>
      <c r="BK2948" s="2">
        <v>4</v>
      </c>
      <c r="BL2948" s="2">
        <v>81.510000000000005</v>
      </c>
      <c r="BM2948" s="2">
        <v>11.41</v>
      </c>
      <c r="BN2948" s="2">
        <v>92.92</v>
      </c>
      <c r="BO2948" s="2">
        <v>92.92</v>
      </c>
      <c r="BP2948" s="2"/>
      <c r="BQ2948" s="2" t="s">
        <v>2675</v>
      </c>
      <c r="BR2948" s="2" t="s">
        <v>83</v>
      </c>
      <c r="BS2948" s="3">
        <v>42675</v>
      </c>
      <c r="BT2948" s="4">
        <v>0.3611111111111111</v>
      </c>
      <c r="BU2948" s="2" t="s">
        <v>2676</v>
      </c>
      <c r="BV2948" s="2" t="s">
        <v>85</v>
      </c>
      <c r="BW2948" s="2"/>
      <c r="BX2948" s="2"/>
      <c r="BY2948" s="2">
        <v>11005.8</v>
      </c>
      <c r="BZ2948" s="2"/>
      <c r="CA2948" s="2"/>
      <c r="CB2948" s="2"/>
      <c r="CC2948" s="2" t="s">
        <v>99</v>
      </c>
      <c r="CD2948" s="2">
        <v>6001</v>
      </c>
      <c r="CE2948" s="2" t="s">
        <v>108</v>
      </c>
      <c r="CF2948" s="5">
        <v>42676</v>
      </c>
      <c r="CG2948" s="2"/>
      <c r="CH2948" s="2"/>
      <c r="CI2948" s="2">
        <v>1</v>
      </c>
      <c r="CJ2948" s="2">
        <v>1</v>
      </c>
      <c r="CK2948" s="2">
        <v>21</v>
      </c>
      <c r="CL2948" s="2" t="s">
        <v>88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"FES1162510273"</f>
        <v>FES1162510273</v>
      </c>
      <c r="F2949" s="3">
        <v>42674</v>
      </c>
      <c r="G2949" s="2">
        <v>201704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503</v>
      </c>
      <c r="M2949" s="2" t="s">
        <v>504</v>
      </c>
      <c r="N2949" s="2" t="s">
        <v>905</v>
      </c>
      <c r="O2949" s="2" t="s">
        <v>96</v>
      </c>
      <c r="P2949" s="2" t="str">
        <f>"2170533371                    "</f>
        <v xml:space="preserve">2170533371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25.29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8.1</v>
      </c>
      <c r="BJ2949" s="2">
        <v>2</v>
      </c>
      <c r="BK2949" s="2">
        <v>8.5</v>
      </c>
      <c r="BL2949" s="2">
        <v>310.77</v>
      </c>
      <c r="BM2949" s="2">
        <v>43.51</v>
      </c>
      <c r="BN2949" s="2">
        <v>354.28</v>
      </c>
      <c r="BO2949" s="2">
        <v>354.28</v>
      </c>
      <c r="BP2949" s="2"/>
      <c r="BQ2949" s="2" t="s">
        <v>91</v>
      </c>
      <c r="BR2949" s="2" t="s">
        <v>83</v>
      </c>
      <c r="BS2949" s="3">
        <v>42675</v>
      </c>
      <c r="BT2949" s="4">
        <v>0.41666666666666669</v>
      </c>
      <c r="BU2949" s="2" t="s">
        <v>431</v>
      </c>
      <c r="BV2949" s="2" t="s">
        <v>85</v>
      </c>
      <c r="BW2949" s="2"/>
      <c r="BX2949" s="2"/>
      <c r="BY2949" s="2">
        <v>9778.7999999999993</v>
      </c>
      <c r="BZ2949" s="2"/>
      <c r="CA2949" s="2"/>
      <c r="CB2949" s="2"/>
      <c r="CC2949" s="2" t="s">
        <v>504</v>
      </c>
      <c r="CD2949" s="2">
        <v>7349</v>
      </c>
      <c r="CE2949" s="2" t="s">
        <v>86</v>
      </c>
      <c r="CF2949" s="5">
        <v>42676</v>
      </c>
      <c r="CG2949" s="2"/>
      <c r="CH2949" s="2"/>
      <c r="CI2949" s="2">
        <v>1</v>
      </c>
      <c r="CJ2949" s="2">
        <v>1</v>
      </c>
      <c r="CK2949" s="2">
        <v>23</v>
      </c>
      <c r="CL2949" s="2" t="s">
        <v>88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"FES1162510423"</f>
        <v>FES1162510423</v>
      </c>
      <c r="F2950" s="3">
        <v>42674</v>
      </c>
      <c r="G2950" s="2">
        <v>201704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269</v>
      </c>
      <c r="M2950" s="2" t="s">
        <v>270</v>
      </c>
      <c r="N2950" s="2" t="s">
        <v>2677</v>
      </c>
      <c r="O2950" s="2" t="s">
        <v>96</v>
      </c>
      <c r="P2950" s="2" t="str">
        <f>"2170533500                    "</f>
        <v xml:space="preserve">2170533500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33.17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2</v>
      </c>
      <c r="BI2950" s="2">
        <v>12.2</v>
      </c>
      <c r="BJ2950" s="2">
        <v>19.899999999999999</v>
      </c>
      <c r="BK2950" s="2">
        <v>20</v>
      </c>
      <c r="BL2950" s="2">
        <v>407.57</v>
      </c>
      <c r="BM2950" s="2">
        <v>57.06</v>
      </c>
      <c r="BN2950" s="2">
        <v>464.63</v>
      </c>
      <c r="BO2950" s="2">
        <v>464.63</v>
      </c>
      <c r="BP2950" s="2"/>
      <c r="BQ2950" s="2" t="s">
        <v>91</v>
      </c>
      <c r="BR2950" s="2" t="s">
        <v>83</v>
      </c>
      <c r="BS2950" s="3">
        <v>42675</v>
      </c>
      <c r="BT2950" s="4">
        <v>0.41666666666666669</v>
      </c>
      <c r="BU2950" s="2" t="s">
        <v>2633</v>
      </c>
      <c r="BV2950" s="2" t="s">
        <v>85</v>
      </c>
      <c r="BW2950" s="2"/>
      <c r="BX2950" s="2"/>
      <c r="BY2950" s="2">
        <v>99736.29</v>
      </c>
      <c r="BZ2950" s="2"/>
      <c r="CA2950" s="2" t="s">
        <v>129</v>
      </c>
      <c r="CB2950" s="2"/>
      <c r="CC2950" s="2" t="s">
        <v>270</v>
      </c>
      <c r="CD2950" s="2">
        <v>3610</v>
      </c>
      <c r="CE2950" s="2" t="s">
        <v>86</v>
      </c>
      <c r="CF2950" s="5">
        <v>42677</v>
      </c>
      <c r="CG2950" s="2"/>
      <c r="CH2950" s="2"/>
      <c r="CI2950" s="2">
        <v>1</v>
      </c>
      <c r="CJ2950" s="2">
        <v>1</v>
      </c>
      <c r="CK2950" s="2">
        <v>21</v>
      </c>
      <c r="CL2950" s="2" t="s">
        <v>88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"FES1162510301"</f>
        <v>FES1162510301</v>
      </c>
      <c r="F2951" s="3">
        <v>42674</v>
      </c>
      <c r="G2951" s="2">
        <v>201704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160</v>
      </c>
      <c r="M2951" s="2" t="s">
        <v>161</v>
      </c>
      <c r="N2951" s="2" t="s">
        <v>176</v>
      </c>
      <c r="O2951" s="2" t="s">
        <v>96</v>
      </c>
      <c r="P2951" s="2" t="str">
        <f>"2170531535                    "</f>
        <v xml:space="preserve">2170531535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8.2899999999999991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4.7</v>
      </c>
      <c r="BJ2951" s="2">
        <v>2.5</v>
      </c>
      <c r="BK2951" s="2">
        <v>5</v>
      </c>
      <c r="BL2951" s="2">
        <v>101.89</v>
      </c>
      <c r="BM2951" s="2">
        <v>14.26</v>
      </c>
      <c r="BN2951" s="2">
        <v>116.15</v>
      </c>
      <c r="BO2951" s="2">
        <v>116.15</v>
      </c>
      <c r="BP2951" s="2"/>
      <c r="BQ2951" s="2" t="s">
        <v>258</v>
      </c>
      <c r="BR2951" s="2" t="s">
        <v>83</v>
      </c>
      <c r="BS2951" s="3">
        <v>42675</v>
      </c>
      <c r="BT2951" s="4">
        <v>0.41666666666666669</v>
      </c>
      <c r="BU2951" s="2" t="s">
        <v>146</v>
      </c>
      <c r="BV2951" s="2" t="s">
        <v>85</v>
      </c>
      <c r="BW2951" s="2"/>
      <c r="BX2951" s="2"/>
      <c r="BY2951" s="2">
        <v>12746.74</v>
      </c>
      <c r="BZ2951" s="2"/>
      <c r="CA2951" s="2"/>
      <c r="CB2951" s="2"/>
      <c r="CC2951" s="2" t="s">
        <v>161</v>
      </c>
      <c r="CD2951" s="2">
        <v>7405</v>
      </c>
      <c r="CE2951" s="2" t="s">
        <v>86</v>
      </c>
      <c r="CF2951" s="5">
        <v>42676</v>
      </c>
      <c r="CG2951" s="2"/>
      <c r="CH2951" s="2"/>
      <c r="CI2951" s="2">
        <v>1</v>
      </c>
      <c r="CJ2951" s="2">
        <v>1</v>
      </c>
      <c r="CK2951" s="2">
        <v>21</v>
      </c>
      <c r="CL2951" s="2" t="s">
        <v>88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"FES1162510325"</f>
        <v>FES1162510325</v>
      </c>
      <c r="F2952" s="3">
        <v>42674</v>
      </c>
      <c r="G2952" s="2">
        <v>201704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137</v>
      </c>
      <c r="M2952" s="2" t="s">
        <v>138</v>
      </c>
      <c r="N2952" s="2" t="s">
        <v>928</v>
      </c>
      <c r="O2952" s="2" t="s">
        <v>96</v>
      </c>
      <c r="P2952" s="2" t="str">
        <f>"2170533031                    "</f>
        <v xml:space="preserve">2170533031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3.32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1.1000000000000001</v>
      </c>
      <c r="BJ2952" s="2">
        <v>1.5</v>
      </c>
      <c r="BK2952" s="2">
        <v>1.5</v>
      </c>
      <c r="BL2952" s="2">
        <v>40.76</v>
      </c>
      <c r="BM2952" s="2">
        <v>5.71</v>
      </c>
      <c r="BN2952" s="2">
        <v>46.47</v>
      </c>
      <c r="BO2952" s="2">
        <v>46.47</v>
      </c>
      <c r="BP2952" s="2"/>
      <c r="BQ2952" s="2" t="s">
        <v>117</v>
      </c>
      <c r="BR2952" s="2" t="s">
        <v>83</v>
      </c>
      <c r="BS2952" s="3">
        <v>42675</v>
      </c>
      <c r="BT2952" s="4">
        <v>0.3972222222222222</v>
      </c>
      <c r="BU2952" s="2" t="s">
        <v>584</v>
      </c>
      <c r="BV2952" s="2"/>
      <c r="BW2952" s="2"/>
      <c r="BX2952" s="2"/>
      <c r="BY2952" s="2">
        <v>7560.57</v>
      </c>
      <c r="BZ2952" s="2"/>
      <c r="CA2952" s="2" t="s">
        <v>613</v>
      </c>
      <c r="CB2952" s="2"/>
      <c r="CC2952" s="2" t="s">
        <v>138</v>
      </c>
      <c r="CD2952" s="2">
        <v>3201</v>
      </c>
      <c r="CE2952" s="2" t="s">
        <v>108</v>
      </c>
      <c r="CF2952" s="5">
        <v>42675</v>
      </c>
      <c r="CG2952" s="2"/>
      <c r="CH2952" s="2"/>
      <c r="CI2952" s="2">
        <v>0</v>
      </c>
      <c r="CJ2952" s="2">
        <v>0</v>
      </c>
      <c r="CK2952" s="2">
        <v>21</v>
      </c>
      <c r="CL2952" s="2" t="s">
        <v>88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"FES1162510420"</f>
        <v>FES1162510420</v>
      </c>
      <c r="F2953" s="3">
        <v>42674</v>
      </c>
      <c r="G2953" s="2">
        <v>201704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160</v>
      </c>
      <c r="M2953" s="2" t="s">
        <v>161</v>
      </c>
      <c r="N2953" s="2" t="s">
        <v>176</v>
      </c>
      <c r="O2953" s="2" t="s">
        <v>96</v>
      </c>
      <c r="P2953" s="2" t="str">
        <f>"2170533493                    "</f>
        <v xml:space="preserve">2170533493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3.32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1.7</v>
      </c>
      <c r="BJ2953" s="2">
        <v>1</v>
      </c>
      <c r="BK2953" s="2">
        <v>2</v>
      </c>
      <c r="BL2953" s="2">
        <v>40.76</v>
      </c>
      <c r="BM2953" s="2">
        <v>5.71</v>
      </c>
      <c r="BN2953" s="2">
        <v>46.47</v>
      </c>
      <c r="BO2953" s="2">
        <v>46.47</v>
      </c>
      <c r="BP2953" s="2"/>
      <c r="BQ2953" s="2" t="s">
        <v>177</v>
      </c>
      <c r="BR2953" s="2" t="s">
        <v>83</v>
      </c>
      <c r="BS2953" s="3">
        <v>42675</v>
      </c>
      <c r="BT2953" s="4">
        <v>0.4458333333333333</v>
      </c>
      <c r="BU2953" s="2" t="s">
        <v>2678</v>
      </c>
      <c r="BV2953" s="2" t="s">
        <v>85</v>
      </c>
      <c r="BW2953" s="2"/>
      <c r="BX2953" s="2"/>
      <c r="BY2953" s="2">
        <v>5046.0200000000004</v>
      </c>
      <c r="BZ2953" s="2"/>
      <c r="CA2953" s="2"/>
      <c r="CB2953" s="2"/>
      <c r="CC2953" s="2" t="s">
        <v>161</v>
      </c>
      <c r="CD2953" s="2">
        <v>7530</v>
      </c>
      <c r="CE2953" s="2" t="s">
        <v>86</v>
      </c>
      <c r="CF2953" s="5">
        <v>42676</v>
      </c>
      <c r="CG2953" s="2"/>
      <c r="CH2953" s="2"/>
      <c r="CI2953" s="2">
        <v>1</v>
      </c>
      <c r="CJ2953" s="2">
        <v>1</v>
      </c>
      <c r="CK2953" s="2">
        <v>21</v>
      </c>
      <c r="CL2953" s="2" t="s">
        <v>88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"FES1162510468"</f>
        <v>FES1162510468</v>
      </c>
      <c r="F2954" s="3">
        <v>42674</v>
      </c>
      <c r="G2954" s="2">
        <v>201704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98</v>
      </c>
      <c r="M2954" s="2" t="s">
        <v>99</v>
      </c>
      <c r="N2954" s="2" t="s">
        <v>133</v>
      </c>
      <c r="O2954" s="2" t="s">
        <v>96</v>
      </c>
      <c r="P2954" s="2" t="str">
        <f>"2170508901                    "</f>
        <v xml:space="preserve">2170508901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12.44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7.3</v>
      </c>
      <c r="BJ2954" s="2">
        <v>1.4</v>
      </c>
      <c r="BK2954" s="2">
        <v>7.5</v>
      </c>
      <c r="BL2954" s="2">
        <v>152.84</v>
      </c>
      <c r="BM2954" s="2">
        <v>21.4</v>
      </c>
      <c r="BN2954" s="2">
        <v>174.24</v>
      </c>
      <c r="BO2954" s="2">
        <v>174.24</v>
      </c>
      <c r="BP2954" s="2"/>
      <c r="BQ2954" s="2" t="s">
        <v>134</v>
      </c>
      <c r="BR2954" s="2" t="s">
        <v>83</v>
      </c>
      <c r="BS2954" s="3">
        <v>42677</v>
      </c>
      <c r="BT2954" s="4">
        <v>0.55555555555555558</v>
      </c>
      <c r="BU2954" s="2" t="s">
        <v>2508</v>
      </c>
      <c r="BV2954" s="2" t="s">
        <v>88</v>
      </c>
      <c r="BW2954" s="2"/>
      <c r="BX2954" s="2"/>
      <c r="BY2954" s="2">
        <v>6963.74</v>
      </c>
      <c r="BZ2954" s="2"/>
      <c r="CA2954" s="2"/>
      <c r="CB2954" s="2"/>
      <c r="CC2954" s="2" t="s">
        <v>99</v>
      </c>
      <c r="CD2954" s="2">
        <v>6001</v>
      </c>
      <c r="CE2954" s="2" t="s">
        <v>86</v>
      </c>
      <c r="CF2954" s="2"/>
      <c r="CG2954" s="2"/>
      <c r="CH2954" s="2"/>
      <c r="CI2954" s="2">
        <v>1</v>
      </c>
      <c r="CJ2954" s="2">
        <v>3</v>
      </c>
      <c r="CK2954" s="2">
        <v>21</v>
      </c>
      <c r="CL2954" s="2" t="s">
        <v>88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"FES1162510410"</f>
        <v>FES1162510410</v>
      </c>
      <c r="F2955" s="3">
        <v>42674</v>
      </c>
      <c r="G2955" s="2">
        <v>201704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148</v>
      </c>
      <c r="M2955" s="2" t="s">
        <v>149</v>
      </c>
      <c r="N2955" s="2" t="s">
        <v>1427</v>
      </c>
      <c r="O2955" s="2" t="s">
        <v>96</v>
      </c>
      <c r="P2955" s="2" t="str">
        <f>"2170533476                    "</f>
        <v xml:space="preserve">2170533476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3.32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1.2</v>
      </c>
      <c r="BJ2955" s="2">
        <v>0.8</v>
      </c>
      <c r="BK2955" s="2">
        <v>1.5</v>
      </c>
      <c r="BL2955" s="2">
        <v>40.76</v>
      </c>
      <c r="BM2955" s="2">
        <v>5.71</v>
      </c>
      <c r="BN2955" s="2">
        <v>46.47</v>
      </c>
      <c r="BO2955" s="2">
        <v>46.47</v>
      </c>
      <c r="BP2955" s="2"/>
      <c r="BQ2955" s="2" t="s">
        <v>1428</v>
      </c>
      <c r="BR2955" s="2" t="s">
        <v>83</v>
      </c>
      <c r="BS2955" s="3">
        <v>42675</v>
      </c>
      <c r="BT2955" s="4">
        <v>0.41666666666666669</v>
      </c>
      <c r="BU2955" s="2" t="s">
        <v>1429</v>
      </c>
      <c r="BV2955" s="2" t="s">
        <v>85</v>
      </c>
      <c r="BW2955" s="2"/>
      <c r="BX2955" s="2"/>
      <c r="BY2955" s="2">
        <v>4213.4399999999996</v>
      </c>
      <c r="BZ2955" s="2"/>
      <c r="CA2955" s="2"/>
      <c r="CB2955" s="2"/>
      <c r="CC2955" s="2" t="s">
        <v>149</v>
      </c>
      <c r="CD2955" s="2">
        <v>4051</v>
      </c>
      <c r="CE2955" s="2" t="s">
        <v>86</v>
      </c>
      <c r="CF2955" s="5">
        <v>42677</v>
      </c>
      <c r="CG2955" s="2"/>
      <c r="CH2955" s="2"/>
      <c r="CI2955" s="2">
        <v>1</v>
      </c>
      <c r="CJ2955" s="2">
        <v>1</v>
      </c>
      <c r="CK2955" s="2">
        <v>21</v>
      </c>
      <c r="CL2955" s="2" t="s">
        <v>88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"FES1162510419"</f>
        <v>FES1162510419</v>
      </c>
      <c r="F2956" s="3">
        <v>42674</v>
      </c>
      <c r="G2956" s="2">
        <v>201704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98</v>
      </c>
      <c r="M2956" s="2" t="s">
        <v>99</v>
      </c>
      <c r="N2956" s="2" t="s">
        <v>133</v>
      </c>
      <c r="O2956" s="2" t="s">
        <v>96</v>
      </c>
      <c r="P2956" s="2" t="str">
        <f>"2170533492                    "</f>
        <v xml:space="preserve">2170533492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4.1500000000000004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0.7</v>
      </c>
      <c r="BJ2956" s="2">
        <v>2.2999999999999998</v>
      </c>
      <c r="BK2956" s="2">
        <v>2.5</v>
      </c>
      <c r="BL2956" s="2">
        <v>50.95</v>
      </c>
      <c r="BM2956" s="2">
        <v>7.13</v>
      </c>
      <c r="BN2956" s="2">
        <v>58.08</v>
      </c>
      <c r="BO2956" s="2">
        <v>58.08</v>
      </c>
      <c r="BP2956" s="2"/>
      <c r="BQ2956" s="2" t="s">
        <v>134</v>
      </c>
      <c r="BR2956" s="2" t="s">
        <v>83</v>
      </c>
      <c r="BS2956" s="3">
        <v>42675</v>
      </c>
      <c r="BT2956" s="4">
        <v>0.34027777777777773</v>
      </c>
      <c r="BU2956" s="2" t="s">
        <v>2012</v>
      </c>
      <c r="BV2956" s="2" t="s">
        <v>85</v>
      </c>
      <c r="BW2956" s="2"/>
      <c r="BX2956" s="2"/>
      <c r="BY2956" s="2">
        <v>11356.08</v>
      </c>
      <c r="BZ2956" s="2"/>
      <c r="CA2956" s="2"/>
      <c r="CB2956" s="2"/>
      <c r="CC2956" s="2" t="s">
        <v>99</v>
      </c>
      <c r="CD2956" s="2">
        <v>6001</v>
      </c>
      <c r="CE2956" s="2" t="s">
        <v>108</v>
      </c>
      <c r="CF2956" s="5">
        <v>42676</v>
      </c>
      <c r="CG2956" s="2"/>
      <c r="CH2956" s="2"/>
      <c r="CI2956" s="2">
        <v>1</v>
      </c>
      <c r="CJ2956" s="2">
        <v>1</v>
      </c>
      <c r="CK2956" s="2">
        <v>21</v>
      </c>
      <c r="CL2956" s="2" t="s">
        <v>88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"FES1162510392"</f>
        <v>FES1162510392</v>
      </c>
      <c r="F2957" s="3">
        <v>42674</v>
      </c>
      <c r="G2957" s="2">
        <v>201704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1122</v>
      </c>
      <c r="M2957" s="2" t="s">
        <v>1123</v>
      </c>
      <c r="N2957" s="2" t="s">
        <v>2679</v>
      </c>
      <c r="O2957" s="2" t="s">
        <v>96</v>
      </c>
      <c r="P2957" s="2" t="str">
        <f>"2170533462                    "</f>
        <v xml:space="preserve">2170533462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3.32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1.1000000000000001</v>
      </c>
      <c r="BJ2957" s="2">
        <v>1.2</v>
      </c>
      <c r="BK2957" s="2">
        <v>1.5</v>
      </c>
      <c r="BL2957" s="2">
        <v>40.76</v>
      </c>
      <c r="BM2957" s="2">
        <v>5.71</v>
      </c>
      <c r="BN2957" s="2">
        <v>46.47</v>
      </c>
      <c r="BO2957" s="2">
        <v>46.47</v>
      </c>
      <c r="BP2957" s="2"/>
      <c r="BQ2957" s="2"/>
      <c r="BR2957" s="2" t="s">
        <v>83</v>
      </c>
      <c r="BS2957" s="3">
        <v>42675</v>
      </c>
      <c r="BT2957" s="4">
        <v>0.41666666666666669</v>
      </c>
      <c r="BU2957" s="2" t="s">
        <v>2680</v>
      </c>
      <c r="BV2957" s="2" t="s">
        <v>85</v>
      </c>
      <c r="BW2957" s="2"/>
      <c r="BX2957" s="2"/>
      <c r="BY2957" s="2">
        <v>6062.06</v>
      </c>
      <c r="BZ2957" s="2"/>
      <c r="CA2957" s="2"/>
      <c r="CB2957" s="2"/>
      <c r="CC2957" s="2" t="s">
        <v>1123</v>
      </c>
      <c r="CD2957" s="2">
        <v>1900</v>
      </c>
      <c r="CE2957" s="2" t="s">
        <v>108</v>
      </c>
      <c r="CF2957" s="5">
        <v>42677</v>
      </c>
      <c r="CG2957" s="2"/>
      <c r="CH2957" s="2"/>
      <c r="CI2957" s="2">
        <v>1</v>
      </c>
      <c r="CJ2957" s="2">
        <v>1</v>
      </c>
      <c r="CK2957" s="2">
        <v>21</v>
      </c>
      <c r="CL2957" s="2" t="s">
        <v>88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"FES1162510408"</f>
        <v>FES1162510408</v>
      </c>
      <c r="F2958" s="3">
        <v>42674</v>
      </c>
      <c r="G2958" s="2">
        <v>201704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137</v>
      </c>
      <c r="M2958" s="2" t="s">
        <v>138</v>
      </c>
      <c r="N2958" s="2" t="s">
        <v>203</v>
      </c>
      <c r="O2958" s="2" t="s">
        <v>96</v>
      </c>
      <c r="P2958" s="2" t="str">
        <f>"2170533474                    "</f>
        <v xml:space="preserve">2170533474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22.39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13.2</v>
      </c>
      <c r="BJ2958" s="2">
        <v>4.8</v>
      </c>
      <c r="BK2958" s="2">
        <v>13.5</v>
      </c>
      <c r="BL2958" s="2">
        <v>275.11</v>
      </c>
      <c r="BM2958" s="2">
        <v>38.520000000000003</v>
      </c>
      <c r="BN2958" s="2">
        <v>313.63</v>
      </c>
      <c r="BO2958" s="2">
        <v>313.63</v>
      </c>
      <c r="BP2958" s="2"/>
      <c r="BQ2958" s="2" t="s">
        <v>168</v>
      </c>
      <c r="BR2958" s="2" t="s">
        <v>83</v>
      </c>
      <c r="BS2958" s="3">
        <v>42675</v>
      </c>
      <c r="BT2958" s="4">
        <v>0.41250000000000003</v>
      </c>
      <c r="BU2958" s="2" t="s">
        <v>768</v>
      </c>
      <c r="BV2958" s="2"/>
      <c r="BW2958" s="2"/>
      <c r="BX2958" s="2"/>
      <c r="BY2958" s="2">
        <v>24206</v>
      </c>
      <c r="BZ2958" s="2"/>
      <c r="CA2958" s="2" t="s">
        <v>613</v>
      </c>
      <c r="CB2958" s="2"/>
      <c r="CC2958" s="2" t="s">
        <v>138</v>
      </c>
      <c r="CD2958" s="2">
        <v>3201</v>
      </c>
      <c r="CE2958" s="2" t="s">
        <v>86</v>
      </c>
      <c r="CF2958" s="5">
        <v>42675</v>
      </c>
      <c r="CG2958" s="2"/>
      <c r="CH2958" s="2"/>
      <c r="CI2958" s="2">
        <v>0</v>
      </c>
      <c r="CJ2958" s="2">
        <v>0</v>
      </c>
      <c r="CK2958" s="2">
        <v>21</v>
      </c>
      <c r="CL2958" s="2" t="s">
        <v>88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"FES1162510390"</f>
        <v>FES1162510390</v>
      </c>
      <c r="F2959" s="3">
        <v>42674</v>
      </c>
      <c r="G2959" s="2">
        <v>201704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148</v>
      </c>
      <c r="M2959" s="2" t="s">
        <v>149</v>
      </c>
      <c r="N2959" s="2" t="s">
        <v>2681</v>
      </c>
      <c r="O2959" s="2" t="s">
        <v>96</v>
      </c>
      <c r="P2959" s="2" t="str">
        <f>"2170533466                    "</f>
        <v xml:space="preserve">2170533466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3.32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0.8</v>
      </c>
      <c r="BJ2959" s="2">
        <v>1.4</v>
      </c>
      <c r="BK2959" s="2">
        <v>1.5</v>
      </c>
      <c r="BL2959" s="2">
        <v>40.76</v>
      </c>
      <c r="BM2959" s="2">
        <v>5.71</v>
      </c>
      <c r="BN2959" s="2">
        <v>46.47</v>
      </c>
      <c r="BO2959" s="2">
        <v>46.47</v>
      </c>
      <c r="BP2959" s="2"/>
      <c r="BQ2959" s="2" t="s">
        <v>91</v>
      </c>
      <c r="BR2959" s="2" t="s">
        <v>83</v>
      </c>
      <c r="BS2959" s="3">
        <v>42675</v>
      </c>
      <c r="BT2959" s="4">
        <v>0.41666666666666669</v>
      </c>
      <c r="BU2959" s="2" t="s">
        <v>2682</v>
      </c>
      <c r="BV2959" s="2" t="s">
        <v>85</v>
      </c>
      <c r="BW2959" s="2"/>
      <c r="BX2959" s="2"/>
      <c r="BY2959" s="2">
        <v>6990.32</v>
      </c>
      <c r="BZ2959" s="2"/>
      <c r="CA2959" s="2"/>
      <c r="CB2959" s="2"/>
      <c r="CC2959" s="2" t="s">
        <v>149</v>
      </c>
      <c r="CD2959" s="2">
        <v>4091</v>
      </c>
      <c r="CE2959" s="2" t="s">
        <v>108</v>
      </c>
      <c r="CF2959" s="5">
        <v>42677</v>
      </c>
      <c r="CG2959" s="2"/>
      <c r="CH2959" s="2"/>
      <c r="CI2959" s="2">
        <v>1</v>
      </c>
      <c r="CJ2959" s="2">
        <v>1</v>
      </c>
      <c r="CK2959" s="2">
        <v>21</v>
      </c>
      <c r="CL2959" s="2" t="s">
        <v>88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"FES1162510522"</f>
        <v>FES1162510522</v>
      </c>
      <c r="F2960" s="3">
        <v>42674</v>
      </c>
      <c r="G2960" s="2">
        <v>201704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78</v>
      </c>
      <c r="M2960" s="2" t="s">
        <v>79</v>
      </c>
      <c r="N2960" s="2" t="s">
        <v>2452</v>
      </c>
      <c r="O2960" s="2" t="s">
        <v>96</v>
      </c>
      <c r="P2960" s="2" t="str">
        <f>"2170533620                    "</f>
        <v xml:space="preserve">2170533620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3.32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0.5</v>
      </c>
      <c r="BJ2960" s="2">
        <v>0.2</v>
      </c>
      <c r="BK2960" s="2">
        <v>0.5</v>
      </c>
      <c r="BL2960" s="2">
        <v>40.76</v>
      </c>
      <c r="BM2960" s="2">
        <v>5.71</v>
      </c>
      <c r="BN2960" s="2">
        <v>46.47</v>
      </c>
      <c r="BO2960" s="2">
        <v>46.47</v>
      </c>
      <c r="BP2960" s="2"/>
      <c r="BQ2960" s="2" t="s">
        <v>82</v>
      </c>
      <c r="BR2960" s="2" t="s">
        <v>83</v>
      </c>
      <c r="BS2960" s="3">
        <v>42675</v>
      </c>
      <c r="BT2960" s="4">
        <v>0.41666666666666669</v>
      </c>
      <c r="BU2960" s="2" t="s">
        <v>2683</v>
      </c>
      <c r="BV2960" s="2" t="s">
        <v>85</v>
      </c>
      <c r="BW2960" s="2"/>
      <c r="BX2960" s="2"/>
      <c r="BY2960" s="2">
        <v>1200</v>
      </c>
      <c r="BZ2960" s="2"/>
      <c r="CA2960" s="2"/>
      <c r="CB2960" s="2"/>
      <c r="CC2960" s="2" t="s">
        <v>79</v>
      </c>
      <c r="CD2960" s="2">
        <v>1961</v>
      </c>
      <c r="CE2960" s="2" t="s">
        <v>108</v>
      </c>
      <c r="CF2960" s="5">
        <v>42677</v>
      </c>
      <c r="CG2960" s="2"/>
      <c r="CH2960" s="2"/>
      <c r="CI2960" s="2">
        <v>1</v>
      </c>
      <c r="CJ2960" s="2">
        <v>1</v>
      </c>
      <c r="CK2960" s="2">
        <v>21</v>
      </c>
      <c r="CL2960" s="2" t="s">
        <v>88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"FES1162510404"</f>
        <v>FES1162510404</v>
      </c>
      <c r="F2961" s="3">
        <v>42674</v>
      </c>
      <c r="G2961" s="2">
        <v>201704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160</v>
      </c>
      <c r="M2961" s="2" t="s">
        <v>161</v>
      </c>
      <c r="N2961" s="2" t="s">
        <v>227</v>
      </c>
      <c r="O2961" s="2" t="s">
        <v>96</v>
      </c>
      <c r="P2961" s="2" t="str">
        <f>"2170533172                    "</f>
        <v xml:space="preserve">2170533172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3.32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</v>
      </c>
      <c r="BJ2961" s="2">
        <v>0.2</v>
      </c>
      <c r="BK2961" s="2">
        <v>1</v>
      </c>
      <c r="BL2961" s="2">
        <v>40.76</v>
      </c>
      <c r="BM2961" s="2">
        <v>5.71</v>
      </c>
      <c r="BN2961" s="2">
        <v>46.47</v>
      </c>
      <c r="BO2961" s="2">
        <v>46.47</v>
      </c>
      <c r="BP2961" s="2"/>
      <c r="BQ2961" s="2" t="s">
        <v>91</v>
      </c>
      <c r="BR2961" s="2" t="s">
        <v>83</v>
      </c>
      <c r="BS2961" s="3">
        <v>42675</v>
      </c>
      <c r="BT2961" s="4">
        <v>0.41666666666666669</v>
      </c>
      <c r="BU2961" s="2" t="s">
        <v>228</v>
      </c>
      <c r="BV2961" s="2" t="s">
        <v>85</v>
      </c>
      <c r="BW2961" s="2"/>
      <c r="BX2961" s="2"/>
      <c r="BY2961" s="2">
        <v>1200</v>
      </c>
      <c r="BZ2961" s="2"/>
      <c r="CA2961" s="2"/>
      <c r="CB2961" s="2"/>
      <c r="CC2961" s="2" t="s">
        <v>161</v>
      </c>
      <c r="CD2961" s="2">
        <v>7460</v>
      </c>
      <c r="CE2961" s="2" t="s">
        <v>108</v>
      </c>
      <c r="CF2961" s="5">
        <v>42676</v>
      </c>
      <c r="CG2961" s="2"/>
      <c r="CH2961" s="2"/>
      <c r="CI2961" s="2">
        <v>1</v>
      </c>
      <c r="CJ2961" s="2">
        <v>1</v>
      </c>
      <c r="CK2961" s="2">
        <v>21</v>
      </c>
      <c r="CL2961" s="2" t="s">
        <v>88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"FES1162510529"</f>
        <v>FES1162510529</v>
      </c>
      <c r="F2962" s="3">
        <v>42674</v>
      </c>
      <c r="G2962" s="2">
        <v>201704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143</v>
      </c>
      <c r="M2962" s="2" t="s">
        <v>144</v>
      </c>
      <c r="N2962" s="2" t="s">
        <v>216</v>
      </c>
      <c r="O2962" s="2" t="s">
        <v>96</v>
      </c>
      <c r="P2962" s="2" t="str">
        <f>"2170533649                    "</f>
        <v xml:space="preserve">2170533649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3.32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0.5</v>
      </c>
      <c r="BJ2962" s="2">
        <v>0.2</v>
      </c>
      <c r="BK2962" s="2">
        <v>0.5</v>
      </c>
      <c r="BL2962" s="2">
        <v>40.76</v>
      </c>
      <c r="BM2962" s="2">
        <v>5.71</v>
      </c>
      <c r="BN2962" s="2">
        <v>46.47</v>
      </c>
      <c r="BO2962" s="2">
        <v>46.47</v>
      </c>
      <c r="BP2962" s="2"/>
      <c r="BQ2962" s="2" t="s">
        <v>91</v>
      </c>
      <c r="BR2962" s="2" t="s">
        <v>83</v>
      </c>
      <c r="BS2962" s="3">
        <v>42675</v>
      </c>
      <c r="BT2962" s="4">
        <v>0.41666666666666669</v>
      </c>
      <c r="BU2962" s="2" t="s">
        <v>276</v>
      </c>
      <c r="BV2962" s="2" t="s">
        <v>85</v>
      </c>
      <c r="BW2962" s="2"/>
      <c r="BX2962" s="2"/>
      <c r="BY2962" s="2">
        <v>1200</v>
      </c>
      <c r="BZ2962" s="2"/>
      <c r="CA2962" s="2"/>
      <c r="CB2962" s="2"/>
      <c r="CC2962" s="2" t="s">
        <v>144</v>
      </c>
      <c r="CD2962" s="2">
        <v>5201</v>
      </c>
      <c r="CE2962" s="2" t="s">
        <v>108</v>
      </c>
      <c r="CF2962" s="5">
        <v>42677</v>
      </c>
      <c r="CG2962" s="2"/>
      <c r="CH2962" s="2"/>
      <c r="CI2962" s="2">
        <v>1</v>
      </c>
      <c r="CJ2962" s="2">
        <v>1</v>
      </c>
      <c r="CK2962" s="2">
        <v>21</v>
      </c>
      <c r="CL2962" s="2" t="s">
        <v>88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"FES1162510503"</f>
        <v>FES1162510503</v>
      </c>
      <c r="F2963" s="3">
        <v>42674</v>
      </c>
      <c r="G2963" s="2">
        <v>201704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218</v>
      </c>
      <c r="M2963" s="2" t="s">
        <v>219</v>
      </c>
      <c r="N2963" s="2" t="s">
        <v>220</v>
      </c>
      <c r="O2963" s="2" t="s">
        <v>96</v>
      </c>
      <c r="P2963" s="2" t="str">
        <f>"2170533339                    "</f>
        <v xml:space="preserve">2170533339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3.32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1</v>
      </c>
      <c r="BJ2963" s="2">
        <v>0.2</v>
      </c>
      <c r="BK2963" s="2">
        <v>1</v>
      </c>
      <c r="BL2963" s="2">
        <v>40.76</v>
      </c>
      <c r="BM2963" s="2">
        <v>5.71</v>
      </c>
      <c r="BN2963" s="2">
        <v>46.47</v>
      </c>
      <c r="BO2963" s="2">
        <v>46.47</v>
      </c>
      <c r="BP2963" s="2"/>
      <c r="BQ2963" s="2" t="s">
        <v>91</v>
      </c>
      <c r="BR2963" s="2" t="s">
        <v>83</v>
      </c>
      <c r="BS2963" s="3">
        <v>42675</v>
      </c>
      <c r="BT2963" s="4">
        <v>0.4548611111111111</v>
      </c>
      <c r="BU2963" s="2" t="s">
        <v>1881</v>
      </c>
      <c r="BV2963" s="2" t="s">
        <v>85</v>
      </c>
      <c r="BW2963" s="2"/>
      <c r="BX2963" s="2"/>
      <c r="BY2963" s="2">
        <v>1200</v>
      </c>
      <c r="BZ2963" s="2"/>
      <c r="CA2963" s="2"/>
      <c r="CB2963" s="2"/>
      <c r="CC2963" s="2" t="s">
        <v>219</v>
      </c>
      <c r="CD2963" s="2">
        <v>7600</v>
      </c>
      <c r="CE2963" s="2" t="s">
        <v>108</v>
      </c>
      <c r="CF2963" s="5">
        <v>42676</v>
      </c>
      <c r="CG2963" s="2"/>
      <c r="CH2963" s="2"/>
      <c r="CI2963" s="2">
        <v>1</v>
      </c>
      <c r="CJ2963" s="2">
        <v>1</v>
      </c>
      <c r="CK2963" s="2">
        <v>21</v>
      </c>
      <c r="CL2963" s="2" t="s">
        <v>88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"FES1162510512"</f>
        <v>FES1162510512</v>
      </c>
      <c r="F2964" s="3">
        <v>42674</v>
      </c>
      <c r="G2964" s="2">
        <v>201704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148</v>
      </c>
      <c r="M2964" s="2" t="s">
        <v>149</v>
      </c>
      <c r="N2964" s="2" t="s">
        <v>473</v>
      </c>
      <c r="O2964" s="2" t="s">
        <v>96</v>
      </c>
      <c r="P2964" s="2" t="str">
        <f>"2170533610                    "</f>
        <v xml:space="preserve">2170533610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9.9499999999999993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2.7</v>
      </c>
      <c r="BJ2964" s="2">
        <v>5.8</v>
      </c>
      <c r="BK2964" s="2">
        <v>6</v>
      </c>
      <c r="BL2964" s="2">
        <v>122.27</v>
      </c>
      <c r="BM2964" s="2">
        <v>17.12</v>
      </c>
      <c r="BN2964" s="2">
        <v>139.38999999999999</v>
      </c>
      <c r="BO2964" s="2">
        <v>139.38999999999999</v>
      </c>
      <c r="BP2964" s="2"/>
      <c r="BQ2964" s="2" t="s">
        <v>117</v>
      </c>
      <c r="BR2964" s="2" t="s">
        <v>83</v>
      </c>
      <c r="BS2964" s="3">
        <v>42675</v>
      </c>
      <c r="BT2964" s="4">
        <v>0.3125</v>
      </c>
      <c r="BU2964" s="2" t="s">
        <v>1254</v>
      </c>
      <c r="BV2964" s="2" t="s">
        <v>85</v>
      </c>
      <c r="BW2964" s="2"/>
      <c r="BX2964" s="2"/>
      <c r="BY2964" s="2">
        <v>28805.62</v>
      </c>
      <c r="BZ2964" s="2"/>
      <c r="CA2964" s="2"/>
      <c r="CB2964" s="2"/>
      <c r="CC2964" s="2" t="s">
        <v>149</v>
      </c>
      <c r="CD2964" s="2">
        <v>4052</v>
      </c>
      <c r="CE2964" s="2" t="s">
        <v>86</v>
      </c>
      <c r="CF2964" s="5">
        <v>42677</v>
      </c>
      <c r="CG2964" s="2"/>
      <c r="CH2964" s="2"/>
      <c r="CI2964" s="2">
        <v>1</v>
      </c>
      <c r="CJ2964" s="2">
        <v>1</v>
      </c>
      <c r="CK2964" s="2">
        <v>21</v>
      </c>
      <c r="CL2964" s="2" t="s">
        <v>88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"FES1162510520"</f>
        <v>FES1162510520</v>
      </c>
      <c r="F2965" s="3">
        <v>42674</v>
      </c>
      <c r="G2965" s="2">
        <v>201704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124</v>
      </c>
      <c r="M2965" s="2" t="s">
        <v>125</v>
      </c>
      <c r="N2965" s="2" t="s">
        <v>583</v>
      </c>
      <c r="O2965" s="2" t="s">
        <v>96</v>
      </c>
      <c r="P2965" s="2" t="str">
        <f>"2170533617                    "</f>
        <v xml:space="preserve">2170533617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3.32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1.4</v>
      </c>
      <c r="BJ2965" s="2">
        <v>0.9</v>
      </c>
      <c r="BK2965" s="2">
        <v>1.5</v>
      </c>
      <c r="BL2965" s="2">
        <v>40.76</v>
      </c>
      <c r="BM2965" s="2">
        <v>5.71</v>
      </c>
      <c r="BN2965" s="2">
        <v>46.47</v>
      </c>
      <c r="BO2965" s="2">
        <v>46.47</v>
      </c>
      <c r="BP2965" s="2"/>
      <c r="BQ2965" s="2" t="s">
        <v>117</v>
      </c>
      <c r="BR2965" s="2" t="s">
        <v>83</v>
      </c>
      <c r="BS2965" s="3">
        <v>42675</v>
      </c>
      <c r="BT2965" s="4">
        <v>0.41666666666666669</v>
      </c>
      <c r="BU2965" s="2" t="s">
        <v>2684</v>
      </c>
      <c r="BV2965" s="2" t="s">
        <v>85</v>
      </c>
      <c r="BW2965" s="2"/>
      <c r="BX2965" s="2"/>
      <c r="BY2965" s="2">
        <v>4620</v>
      </c>
      <c r="BZ2965" s="2"/>
      <c r="CA2965" s="2"/>
      <c r="CB2965" s="2"/>
      <c r="CC2965" s="2" t="s">
        <v>125</v>
      </c>
      <c r="CD2965" s="2">
        <v>7140</v>
      </c>
      <c r="CE2965" s="2" t="s">
        <v>86</v>
      </c>
      <c r="CF2965" s="5">
        <v>42676</v>
      </c>
      <c r="CG2965" s="2"/>
      <c r="CH2965" s="2"/>
      <c r="CI2965" s="2">
        <v>1</v>
      </c>
      <c r="CJ2965" s="2">
        <v>1</v>
      </c>
      <c r="CK2965" s="2">
        <v>21</v>
      </c>
      <c r="CL2965" s="2" t="s">
        <v>88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"FES1162510505"</f>
        <v>FES1162510505</v>
      </c>
      <c r="F2966" s="3">
        <v>42674</v>
      </c>
      <c r="G2966" s="2">
        <v>201704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98</v>
      </c>
      <c r="M2966" s="2" t="s">
        <v>99</v>
      </c>
      <c r="N2966" s="2" t="s">
        <v>1040</v>
      </c>
      <c r="O2966" s="2" t="s">
        <v>96</v>
      </c>
      <c r="P2966" s="2" t="str">
        <f>"2170533433                    "</f>
        <v xml:space="preserve">2170533433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3.32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1.6</v>
      </c>
      <c r="BJ2966" s="2">
        <v>1.6</v>
      </c>
      <c r="BK2966" s="2">
        <v>2</v>
      </c>
      <c r="BL2966" s="2">
        <v>40.76</v>
      </c>
      <c r="BM2966" s="2">
        <v>5.71</v>
      </c>
      <c r="BN2966" s="2">
        <v>46.47</v>
      </c>
      <c r="BO2966" s="2">
        <v>46.47</v>
      </c>
      <c r="BP2966" s="2"/>
      <c r="BQ2966" s="2" t="s">
        <v>602</v>
      </c>
      <c r="BR2966" s="2" t="s">
        <v>83</v>
      </c>
      <c r="BS2966" s="3">
        <v>42675</v>
      </c>
      <c r="BT2966" s="4">
        <v>0.43402777777777773</v>
      </c>
      <c r="BU2966" s="2" t="s">
        <v>554</v>
      </c>
      <c r="BV2966" s="2" t="s">
        <v>85</v>
      </c>
      <c r="BW2966" s="2"/>
      <c r="BX2966" s="2"/>
      <c r="BY2966" s="2">
        <v>7764.77</v>
      </c>
      <c r="BZ2966" s="2"/>
      <c r="CA2966" s="2"/>
      <c r="CB2966" s="2"/>
      <c r="CC2966" s="2" t="s">
        <v>99</v>
      </c>
      <c r="CD2966" s="2">
        <v>6001</v>
      </c>
      <c r="CE2966" s="2" t="s">
        <v>108</v>
      </c>
      <c r="CF2966" s="5">
        <v>42676</v>
      </c>
      <c r="CG2966" s="2"/>
      <c r="CH2966" s="2"/>
      <c r="CI2966" s="2">
        <v>1</v>
      </c>
      <c r="CJ2966" s="2">
        <v>1</v>
      </c>
      <c r="CK2966" s="2">
        <v>21</v>
      </c>
      <c r="CL2966" s="2" t="s">
        <v>88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"009932186825"</f>
        <v>009932186825</v>
      </c>
      <c r="F2967" s="3">
        <v>42674</v>
      </c>
      <c r="G2967" s="2">
        <v>201704</v>
      </c>
      <c r="H2967" s="2" t="s">
        <v>74</v>
      </c>
      <c r="I2967" s="2" t="s">
        <v>75</v>
      </c>
      <c r="J2967" s="2" t="s">
        <v>76</v>
      </c>
      <c r="K2967" s="2" t="s">
        <v>77</v>
      </c>
      <c r="L2967" s="2" t="s">
        <v>160</v>
      </c>
      <c r="M2967" s="2" t="s">
        <v>161</v>
      </c>
      <c r="N2967" s="2" t="s">
        <v>622</v>
      </c>
      <c r="O2967" s="2" t="s">
        <v>96</v>
      </c>
      <c r="P2967" s="2" t="str">
        <f>"2170533347                    "</f>
        <v xml:space="preserve">2170533347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3.32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1</v>
      </c>
      <c r="BI2967" s="2">
        <v>1</v>
      </c>
      <c r="BJ2967" s="2">
        <v>0.2</v>
      </c>
      <c r="BK2967" s="2">
        <v>1</v>
      </c>
      <c r="BL2967" s="2">
        <v>40.76</v>
      </c>
      <c r="BM2967" s="2">
        <v>5.71</v>
      </c>
      <c r="BN2967" s="2">
        <v>46.47</v>
      </c>
      <c r="BO2967" s="2">
        <v>46.47</v>
      </c>
      <c r="BP2967" s="2" t="s">
        <v>2685</v>
      </c>
      <c r="BQ2967" s="2" t="s">
        <v>623</v>
      </c>
      <c r="BR2967" s="2" t="s">
        <v>83</v>
      </c>
      <c r="BS2967" s="3">
        <v>42675</v>
      </c>
      <c r="BT2967" s="4">
        <v>0.46527777777777773</v>
      </c>
      <c r="BU2967" s="2" t="s">
        <v>1788</v>
      </c>
      <c r="BV2967" s="2" t="s">
        <v>88</v>
      </c>
      <c r="BW2967" s="2" t="s">
        <v>277</v>
      </c>
      <c r="BX2967" s="2" t="s">
        <v>356</v>
      </c>
      <c r="BY2967" s="2">
        <v>1200</v>
      </c>
      <c r="BZ2967" s="2"/>
      <c r="CA2967" s="2"/>
      <c r="CB2967" s="2"/>
      <c r="CC2967" s="2" t="s">
        <v>161</v>
      </c>
      <c r="CD2967" s="2">
        <v>7490</v>
      </c>
      <c r="CE2967" s="2" t="s">
        <v>108</v>
      </c>
      <c r="CF2967" s="5">
        <v>42676</v>
      </c>
      <c r="CG2967" s="2"/>
      <c r="CH2967" s="2"/>
      <c r="CI2967" s="2">
        <v>1</v>
      </c>
      <c r="CJ2967" s="2">
        <v>1</v>
      </c>
      <c r="CK2967" s="2">
        <v>21</v>
      </c>
      <c r="CL2967" s="2" t="s">
        <v>88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"FES1162510495"</f>
        <v>FES1162510495</v>
      </c>
      <c r="F2968" s="3">
        <v>42674</v>
      </c>
      <c r="G2968" s="2">
        <v>201704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148</v>
      </c>
      <c r="M2968" s="2" t="s">
        <v>149</v>
      </c>
      <c r="N2968" s="2" t="s">
        <v>521</v>
      </c>
      <c r="O2968" s="2" t="s">
        <v>96</v>
      </c>
      <c r="P2968" s="2" t="str">
        <f>"2170533589                    "</f>
        <v xml:space="preserve">2170533589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3.32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1</v>
      </c>
      <c r="BI2968" s="2">
        <v>0.5</v>
      </c>
      <c r="BJ2968" s="2">
        <v>0.2</v>
      </c>
      <c r="BK2968" s="2">
        <v>0.5</v>
      </c>
      <c r="BL2968" s="2">
        <v>40.76</v>
      </c>
      <c r="BM2968" s="2">
        <v>5.71</v>
      </c>
      <c r="BN2968" s="2">
        <v>46.47</v>
      </c>
      <c r="BO2968" s="2">
        <v>46.47</v>
      </c>
      <c r="BP2968" s="2"/>
      <c r="BQ2968" s="2" t="s">
        <v>1642</v>
      </c>
      <c r="BR2968" s="2" t="s">
        <v>83</v>
      </c>
      <c r="BS2968" s="3">
        <v>42675</v>
      </c>
      <c r="BT2968" s="4">
        <v>0.41666666666666669</v>
      </c>
      <c r="BU2968" s="2" t="s">
        <v>210</v>
      </c>
      <c r="BV2968" s="2" t="s">
        <v>85</v>
      </c>
      <c r="BW2968" s="2"/>
      <c r="BX2968" s="2"/>
      <c r="BY2968" s="2">
        <v>1200</v>
      </c>
      <c r="BZ2968" s="2"/>
      <c r="CA2968" s="2"/>
      <c r="CB2968" s="2"/>
      <c r="CC2968" s="2" t="s">
        <v>149</v>
      </c>
      <c r="CD2968" s="2">
        <v>4052</v>
      </c>
      <c r="CE2968" s="2" t="s">
        <v>108</v>
      </c>
      <c r="CF2968" s="5">
        <v>42677</v>
      </c>
      <c r="CG2968" s="2"/>
      <c r="CH2968" s="2"/>
      <c r="CI2968" s="2">
        <v>1</v>
      </c>
      <c r="CJ2968" s="2">
        <v>1</v>
      </c>
      <c r="CK2968" s="2">
        <v>21</v>
      </c>
      <c r="CL2968" s="2" t="s">
        <v>88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"FES1162510506"</f>
        <v>FES1162510506</v>
      </c>
      <c r="F2969" s="3">
        <v>42674</v>
      </c>
      <c r="G2969" s="2">
        <v>201704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119</v>
      </c>
      <c r="M2969" s="2" t="s">
        <v>120</v>
      </c>
      <c r="N2969" s="2" t="s">
        <v>1234</v>
      </c>
      <c r="O2969" s="2" t="s">
        <v>96</v>
      </c>
      <c r="P2969" s="2" t="str">
        <f>"2170533461                    "</f>
        <v xml:space="preserve">2170533461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3.32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0.6</v>
      </c>
      <c r="BJ2969" s="2">
        <v>1.5</v>
      </c>
      <c r="BK2969" s="2">
        <v>1.5</v>
      </c>
      <c r="BL2969" s="2">
        <v>40.76</v>
      </c>
      <c r="BM2969" s="2">
        <v>5.71</v>
      </c>
      <c r="BN2969" s="2">
        <v>46.47</v>
      </c>
      <c r="BO2969" s="2">
        <v>46.47</v>
      </c>
      <c r="BP2969" s="2"/>
      <c r="BQ2969" s="2" t="s">
        <v>82</v>
      </c>
      <c r="BR2969" s="2" t="s">
        <v>83</v>
      </c>
      <c r="BS2969" s="3">
        <v>42675</v>
      </c>
      <c r="BT2969" s="4">
        <v>0.38750000000000001</v>
      </c>
      <c r="BU2969" s="2" t="s">
        <v>2686</v>
      </c>
      <c r="BV2969" s="2" t="s">
        <v>85</v>
      </c>
      <c r="BW2969" s="2"/>
      <c r="BX2969" s="2"/>
      <c r="BY2969" s="2">
        <v>7333.21</v>
      </c>
      <c r="BZ2969" s="2"/>
      <c r="CA2969" s="2"/>
      <c r="CB2969" s="2"/>
      <c r="CC2969" s="2" t="s">
        <v>120</v>
      </c>
      <c r="CD2969" s="2">
        <v>6229</v>
      </c>
      <c r="CE2969" s="2" t="s">
        <v>108</v>
      </c>
      <c r="CF2969" s="5">
        <v>42676</v>
      </c>
      <c r="CG2969" s="2"/>
      <c r="CH2969" s="2"/>
      <c r="CI2969" s="2">
        <v>1</v>
      </c>
      <c r="CJ2969" s="2">
        <v>1</v>
      </c>
      <c r="CK2969" s="2">
        <v>21</v>
      </c>
      <c r="CL2969" s="2" t="s">
        <v>88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"FES1162510509"</f>
        <v>FES1162510509</v>
      </c>
      <c r="F2970" s="3">
        <v>42674</v>
      </c>
      <c r="G2970" s="2">
        <v>201704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98</v>
      </c>
      <c r="M2970" s="2" t="s">
        <v>99</v>
      </c>
      <c r="N2970" s="2" t="s">
        <v>1553</v>
      </c>
      <c r="O2970" s="2" t="s">
        <v>96</v>
      </c>
      <c r="P2970" s="2" t="str">
        <f>"2170533530                    "</f>
        <v xml:space="preserve">2170533530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3.32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1</v>
      </c>
      <c r="BJ2970" s="2">
        <v>0.2</v>
      </c>
      <c r="BK2970" s="2">
        <v>1</v>
      </c>
      <c r="BL2970" s="2">
        <v>40.76</v>
      </c>
      <c r="BM2970" s="2">
        <v>5.71</v>
      </c>
      <c r="BN2970" s="2">
        <v>46.47</v>
      </c>
      <c r="BO2970" s="2">
        <v>46.47</v>
      </c>
      <c r="BP2970" s="2"/>
      <c r="BQ2970" s="2" t="s">
        <v>1554</v>
      </c>
      <c r="BR2970" s="2" t="s">
        <v>83</v>
      </c>
      <c r="BS2970" s="3">
        <v>42675</v>
      </c>
      <c r="BT2970" s="4">
        <v>0.37152777777777773</v>
      </c>
      <c r="BU2970" s="2" t="s">
        <v>2687</v>
      </c>
      <c r="BV2970" s="2" t="s">
        <v>85</v>
      </c>
      <c r="BW2970" s="2"/>
      <c r="BX2970" s="2"/>
      <c r="BY2970" s="2">
        <v>1200</v>
      </c>
      <c r="BZ2970" s="2"/>
      <c r="CA2970" s="2"/>
      <c r="CB2970" s="2"/>
      <c r="CC2970" s="2" t="s">
        <v>99</v>
      </c>
      <c r="CD2970" s="2">
        <v>6001</v>
      </c>
      <c r="CE2970" s="2" t="s">
        <v>108</v>
      </c>
      <c r="CF2970" s="5">
        <v>42676</v>
      </c>
      <c r="CG2970" s="2"/>
      <c r="CH2970" s="2"/>
      <c r="CI2970" s="2">
        <v>1</v>
      </c>
      <c r="CJ2970" s="2">
        <v>1</v>
      </c>
      <c r="CK2970" s="2">
        <v>21</v>
      </c>
      <c r="CL2970" s="2" t="s">
        <v>88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"FES1162510508"</f>
        <v>FES1162510508</v>
      </c>
      <c r="F2971" s="3">
        <v>42674</v>
      </c>
      <c r="G2971" s="2">
        <v>201704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98</v>
      </c>
      <c r="M2971" s="2" t="s">
        <v>99</v>
      </c>
      <c r="N2971" s="2" t="s">
        <v>832</v>
      </c>
      <c r="O2971" s="2" t="s">
        <v>96</v>
      </c>
      <c r="P2971" s="2" t="str">
        <f>"2170533515                    "</f>
        <v xml:space="preserve">2170533515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3.32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1.7</v>
      </c>
      <c r="BJ2971" s="2">
        <v>0.2</v>
      </c>
      <c r="BK2971" s="2">
        <v>2</v>
      </c>
      <c r="BL2971" s="2">
        <v>40.76</v>
      </c>
      <c r="BM2971" s="2">
        <v>5.71</v>
      </c>
      <c r="BN2971" s="2">
        <v>46.47</v>
      </c>
      <c r="BO2971" s="2">
        <v>46.47</v>
      </c>
      <c r="BP2971" s="2"/>
      <c r="BQ2971" s="2" t="s">
        <v>833</v>
      </c>
      <c r="BR2971" s="2" t="s">
        <v>83</v>
      </c>
      <c r="BS2971" s="3">
        <v>42675</v>
      </c>
      <c r="BT2971" s="4">
        <v>0.37152777777777773</v>
      </c>
      <c r="BU2971" s="2" t="s">
        <v>1325</v>
      </c>
      <c r="BV2971" s="2" t="s">
        <v>85</v>
      </c>
      <c r="BW2971" s="2"/>
      <c r="BX2971" s="2"/>
      <c r="BY2971" s="2">
        <v>1200</v>
      </c>
      <c r="BZ2971" s="2"/>
      <c r="CA2971" s="2" t="s">
        <v>129</v>
      </c>
      <c r="CB2971" s="2"/>
      <c r="CC2971" s="2" t="s">
        <v>99</v>
      </c>
      <c r="CD2971" s="2">
        <v>6001</v>
      </c>
      <c r="CE2971" s="2" t="s">
        <v>108</v>
      </c>
      <c r="CF2971" s="5">
        <v>42676</v>
      </c>
      <c r="CG2971" s="2"/>
      <c r="CH2971" s="2"/>
      <c r="CI2971" s="2">
        <v>1</v>
      </c>
      <c r="CJ2971" s="2">
        <v>1</v>
      </c>
      <c r="CK2971" s="2">
        <v>21</v>
      </c>
      <c r="CL2971" s="2" t="s">
        <v>88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"FES1162510493"</f>
        <v>FES1162510493</v>
      </c>
      <c r="F2972" s="3">
        <v>42674</v>
      </c>
      <c r="G2972" s="2">
        <v>201704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98</v>
      </c>
      <c r="M2972" s="2" t="s">
        <v>99</v>
      </c>
      <c r="N2972" s="2" t="s">
        <v>176</v>
      </c>
      <c r="O2972" s="2" t="s">
        <v>96</v>
      </c>
      <c r="P2972" s="2" t="str">
        <f>"2170533405                    "</f>
        <v xml:space="preserve">2170533405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4.1500000000000004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1</v>
      </c>
      <c r="BI2972" s="2">
        <v>2.2000000000000002</v>
      </c>
      <c r="BJ2972" s="2">
        <v>1.3</v>
      </c>
      <c r="BK2972" s="2">
        <v>2.5</v>
      </c>
      <c r="BL2972" s="2">
        <v>50.95</v>
      </c>
      <c r="BM2972" s="2">
        <v>7.13</v>
      </c>
      <c r="BN2972" s="2">
        <v>58.08</v>
      </c>
      <c r="BO2972" s="2">
        <v>58.08</v>
      </c>
      <c r="BP2972" s="2"/>
      <c r="BQ2972" s="2" t="s">
        <v>91</v>
      </c>
      <c r="BR2972" s="2" t="s">
        <v>83</v>
      </c>
      <c r="BS2972" s="3">
        <v>42675</v>
      </c>
      <c r="BT2972" s="4">
        <v>0.34375</v>
      </c>
      <c r="BU2972" s="2" t="s">
        <v>2650</v>
      </c>
      <c r="BV2972" s="2" t="s">
        <v>85</v>
      </c>
      <c r="BW2972" s="2"/>
      <c r="BX2972" s="2"/>
      <c r="BY2972" s="2">
        <v>6333.77</v>
      </c>
      <c r="BZ2972" s="2"/>
      <c r="CA2972" s="2"/>
      <c r="CB2972" s="2"/>
      <c r="CC2972" s="2" t="s">
        <v>99</v>
      </c>
      <c r="CD2972" s="2">
        <v>6020</v>
      </c>
      <c r="CE2972" s="2" t="s">
        <v>86</v>
      </c>
      <c r="CF2972" s="5">
        <v>42676</v>
      </c>
      <c r="CG2972" s="2"/>
      <c r="CH2972" s="2"/>
      <c r="CI2972" s="2">
        <v>1</v>
      </c>
      <c r="CJ2972" s="2">
        <v>1</v>
      </c>
      <c r="CK2972" s="2">
        <v>21</v>
      </c>
      <c r="CL2972" s="2" t="s">
        <v>88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"FES1162510447"</f>
        <v>FES1162510447</v>
      </c>
      <c r="F2973" s="3">
        <v>42674</v>
      </c>
      <c r="G2973" s="2">
        <v>201704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156</v>
      </c>
      <c r="M2973" s="2" t="s">
        <v>157</v>
      </c>
      <c r="N2973" s="2" t="s">
        <v>507</v>
      </c>
      <c r="O2973" s="2" t="s">
        <v>96</v>
      </c>
      <c r="P2973" s="2" t="str">
        <f>"1162510449 2170530629 21705285"</f>
        <v>1162510449 2170530629 21705285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9.1199999999999992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1</v>
      </c>
      <c r="BI2973" s="2">
        <v>5.4</v>
      </c>
      <c r="BJ2973" s="2">
        <v>2.5</v>
      </c>
      <c r="BK2973" s="2">
        <v>5.5</v>
      </c>
      <c r="BL2973" s="2">
        <v>112.08</v>
      </c>
      <c r="BM2973" s="2">
        <v>15.69</v>
      </c>
      <c r="BN2973" s="2">
        <v>127.77</v>
      </c>
      <c r="BO2973" s="2">
        <v>127.77</v>
      </c>
      <c r="BP2973" s="2"/>
      <c r="BQ2973" s="2" t="s">
        <v>508</v>
      </c>
      <c r="BR2973" s="2" t="s">
        <v>83</v>
      </c>
      <c r="BS2973" s="3">
        <v>42675</v>
      </c>
      <c r="BT2973" s="4">
        <v>0.41666666666666669</v>
      </c>
      <c r="BU2973" s="2" t="s">
        <v>926</v>
      </c>
      <c r="BV2973" s="2" t="s">
        <v>85</v>
      </c>
      <c r="BW2973" s="2"/>
      <c r="BX2973" s="2"/>
      <c r="BY2973" s="2">
        <v>12547.01</v>
      </c>
      <c r="BZ2973" s="2"/>
      <c r="CA2973" s="2"/>
      <c r="CB2973" s="2"/>
      <c r="CC2973" s="2" t="s">
        <v>157</v>
      </c>
      <c r="CD2973" s="2">
        <v>7130</v>
      </c>
      <c r="CE2973" s="2" t="s">
        <v>86</v>
      </c>
      <c r="CF2973" s="2"/>
      <c r="CG2973" s="2"/>
      <c r="CH2973" s="2"/>
      <c r="CI2973" s="2">
        <v>1</v>
      </c>
      <c r="CJ2973" s="2">
        <v>1</v>
      </c>
      <c r="CK2973" s="2">
        <v>21</v>
      </c>
      <c r="CL2973" s="2" t="s">
        <v>88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"FES1162510319"</f>
        <v>FES1162510319</v>
      </c>
      <c r="F2974" s="3">
        <v>42674</v>
      </c>
      <c r="G2974" s="2">
        <v>201704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160</v>
      </c>
      <c r="M2974" s="2" t="s">
        <v>161</v>
      </c>
      <c r="N2974" s="2" t="s">
        <v>279</v>
      </c>
      <c r="O2974" s="2" t="s">
        <v>96</v>
      </c>
      <c r="P2974" s="2" t="str">
        <f>"2170532664                    "</f>
        <v xml:space="preserve">2170532664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4.9800000000000004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1</v>
      </c>
      <c r="BI2974" s="2">
        <v>3</v>
      </c>
      <c r="BJ2974" s="2">
        <v>1.4</v>
      </c>
      <c r="BK2974" s="2">
        <v>3</v>
      </c>
      <c r="BL2974" s="2">
        <v>61.14</v>
      </c>
      <c r="BM2974" s="2">
        <v>8.56</v>
      </c>
      <c r="BN2974" s="2">
        <v>69.7</v>
      </c>
      <c r="BO2974" s="2">
        <v>69.7</v>
      </c>
      <c r="BP2974" s="2"/>
      <c r="BQ2974" s="2" t="s">
        <v>280</v>
      </c>
      <c r="BR2974" s="2" t="s">
        <v>83</v>
      </c>
      <c r="BS2974" s="3">
        <v>42675</v>
      </c>
      <c r="BT2974" s="4">
        <v>0.3888888888888889</v>
      </c>
      <c r="BU2974" s="2" t="s">
        <v>2049</v>
      </c>
      <c r="BV2974" s="2" t="s">
        <v>85</v>
      </c>
      <c r="BW2974" s="2"/>
      <c r="BX2974" s="2"/>
      <c r="BY2974" s="2">
        <v>6883.17</v>
      </c>
      <c r="BZ2974" s="2"/>
      <c r="CA2974" s="2" t="s">
        <v>129</v>
      </c>
      <c r="CB2974" s="2"/>
      <c r="CC2974" s="2" t="s">
        <v>161</v>
      </c>
      <c r="CD2974" s="2">
        <v>7441</v>
      </c>
      <c r="CE2974" s="2" t="s">
        <v>86</v>
      </c>
      <c r="CF2974" s="5">
        <v>42676</v>
      </c>
      <c r="CG2974" s="2"/>
      <c r="CH2974" s="2"/>
      <c r="CI2974" s="2">
        <v>1</v>
      </c>
      <c r="CJ2974" s="2">
        <v>1</v>
      </c>
      <c r="CK2974" s="2">
        <v>21</v>
      </c>
      <c r="CL2974" s="2" t="s">
        <v>88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"FES1162510461"</f>
        <v>FES1162510461</v>
      </c>
      <c r="F2975" s="3">
        <v>42674</v>
      </c>
      <c r="G2975" s="2">
        <v>201704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377</v>
      </c>
      <c r="M2975" s="2" t="s">
        <v>378</v>
      </c>
      <c r="N2975" s="2" t="s">
        <v>379</v>
      </c>
      <c r="O2975" s="2" t="s">
        <v>96</v>
      </c>
      <c r="P2975" s="2" t="str">
        <f>"2170533557                    "</f>
        <v xml:space="preserve">2170533557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5.81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1</v>
      </c>
      <c r="BI2975" s="2">
        <v>3.1</v>
      </c>
      <c r="BJ2975" s="2">
        <v>3.5</v>
      </c>
      <c r="BK2975" s="2">
        <v>3.5</v>
      </c>
      <c r="BL2975" s="2">
        <v>71.33</v>
      </c>
      <c r="BM2975" s="2">
        <v>9.99</v>
      </c>
      <c r="BN2975" s="2">
        <v>81.319999999999993</v>
      </c>
      <c r="BO2975" s="2">
        <v>81.319999999999993</v>
      </c>
      <c r="BP2975" s="2"/>
      <c r="BQ2975" s="2" t="s">
        <v>382</v>
      </c>
      <c r="BR2975" s="2" t="s">
        <v>83</v>
      </c>
      <c r="BS2975" s="3">
        <v>42675</v>
      </c>
      <c r="BT2975" s="4">
        <v>0.34722222222222227</v>
      </c>
      <c r="BU2975" s="2" t="s">
        <v>2636</v>
      </c>
      <c r="BV2975" s="2" t="s">
        <v>85</v>
      </c>
      <c r="BW2975" s="2"/>
      <c r="BX2975" s="2"/>
      <c r="BY2975" s="2">
        <v>17503</v>
      </c>
      <c r="BZ2975" s="2"/>
      <c r="CA2975" s="2" t="s">
        <v>2637</v>
      </c>
      <c r="CB2975" s="2"/>
      <c r="CC2975" s="2" t="s">
        <v>378</v>
      </c>
      <c r="CD2975" s="2">
        <v>6536</v>
      </c>
      <c r="CE2975" s="2" t="s">
        <v>86</v>
      </c>
      <c r="CF2975" s="5">
        <v>42675</v>
      </c>
      <c r="CG2975" s="2"/>
      <c r="CH2975" s="2"/>
      <c r="CI2975" s="2">
        <v>1</v>
      </c>
      <c r="CJ2975" s="2">
        <v>1</v>
      </c>
      <c r="CK2975" s="2">
        <v>21</v>
      </c>
      <c r="CL2975" s="2" t="s">
        <v>88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"FES1162510477"</f>
        <v>FES1162510477</v>
      </c>
      <c r="F2976" s="3">
        <v>42674</v>
      </c>
      <c r="G2976" s="2">
        <v>201704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98</v>
      </c>
      <c r="M2976" s="2" t="s">
        <v>99</v>
      </c>
      <c r="N2976" s="2" t="s">
        <v>133</v>
      </c>
      <c r="O2976" s="2" t="s">
        <v>96</v>
      </c>
      <c r="P2976" s="2" t="str">
        <f>"2170515986                    "</f>
        <v xml:space="preserve">2170515986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10.78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6.1</v>
      </c>
      <c r="BJ2976" s="2">
        <v>2.4</v>
      </c>
      <c r="BK2976" s="2">
        <v>6.5</v>
      </c>
      <c r="BL2976" s="2">
        <v>132.46</v>
      </c>
      <c r="BM2976" s="2">
        <v>18.54</v>
      </c>
      <c r="BN2976" s="2">
        <v>151</v>
      </c>
      <c r="BO2976" s="2">
        <v>151</v>
      </c>
      <c r="BP2976" s="2"/>
      <c r="BQ2976" s="2" t="s">
        <v>134</v>
      </c>
      <c r="BR2976" s="2" t="s">
        <v>83</v>
      </c>
      <c r="BS2976" s="3">
        <v>42675</v>
      </c>
      <c r="BT2976" s="4">
        <v>0.34027777777777773</v>
      </c>
      <c r="BU2976" s="2" t="s">
        <v>2642</v>
      </c>
      <c r="BV2976" s="2" t="s">
        <v>85</v>
      </c>
      <c r="BW2976" s="2"/>
      <c r="BX2976" s="2"/>
      <c r="BY2976" s="2">
        <v>11784.34</v>
      </c>
      <c r="BZ2976" s="2"/>
      <c r="CA2976" s="2"/>
      <c r="CB2976" s="2"/>
      <c r="CC2976" s="2" t="s">
        <v>99</v>
      </c>
      <c r="CD2976" s="2">
        <v>6001</v>
      </c>
      <c r="CE2976" s="2" t="s">
        <v>86</v>
      </c>
      <c r="CF2976" s="5">
        <v>42676</v>
      </c>
      <c r="CG2976" s="2"/>
      <c r="CH2976" s="2"/>
      <c r="CI2976" s="2">
        <v>1</v>
      </c>
      <c r="CJ2976" s="2">
        <v>1</v>
      </c>
      <c r="CK2976" s="2">
        <v>21</v>
      </c>
      <c r="CL2976" s="2" t="s">
        <v>88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"FES1162510318"</f>
        <v>FES1162510318</v>
      </c>
      <c r="F2977" s="3">
        <v>42674</v>
      </c>
      <c r="G2977" s="2">
        <v>201704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160</v>
      </c>
      <c r="M2977" s="2" t="s">
        <v>161</v>
      </c>
      <c r="N2977" s="2" t="s">
        <v>279</v>
      </c>
      <c r="O2977" s="2" t="s">
        <v>96</v>
      </c>
      <c r="P2977" s="2" t="str">
        <f>"2170532645                    "</f>
        <v xml:space="preserve">2170532645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4.9800000000000004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3</v>
      </c>
      <c r="BJ2977" s="2">
        <v>1.3</v>
      </c>
      <c r="BK2977" s="2">
        <v>3</v>
      </c>
      <c r="BL2977" s="2">
        <v>61.14</v>
      </c>
      <c r="BM2977" s="2">
        <v>8.56</v>
      </c>
      <c r="BN2977" s="2">
        <v>69.7</v>
      </c>
      <c r="BO2977" s="2">
        <v>69.7</v>
      </c>
      <c r="BP2977" s="2"/>
      <c r="BQ2977" s="2" t="s">
        <v>280</v>
      </c>
      <c r="BR2977" s="2" t="s">
        <v>83</v>
      </c>
      <c r="BS2977" s="3">
        <v>42675</v>
      </c>
      <c r="BT2977" s="4">
        <v>0.3888888888888889</v>
      </c>
      <c r="BU2977" s="2" t="s">
        <v>2049</v>
      </c>
      <c r="BV2977" s="2" t="s">
        <v>85</v>
      </c>
      <c r="BW2977" s="2"/>
      <c r="BX2977" s="2"/>
      <c r="BY2977" s="2">
        <v>6315.84</v>
      </c>
      <c r="BZ2977" s="2"/>
      <c r="CA2977" s="2" t="s">
        <v>129</v>
      </c>
      <c r="CB2977" s="2"/>
      <c r="CC2977" s="2" t="s">
        <v>161</v>
      </c>
      <c r="CD2977" s="2">
        <v>7441</v>
      </c>
      <c r="CE2977" s="2" t="s">
        <v>86</v>
      </c>
      <c r="CF2977" s="5">
        <v>42676</v>
      </c>
      <c r="CG2977" s="2"/>
      <c r="CH2977" s="2"/>
      <c r="CI2977" s="2">
        <v>1</v>
      </c>
      <c r="CJ2977" s="2">
        <v>1</v>
      </c>
      <c r="CK2977" s="2">
        <v>21</v>
      </c>
      <c r="CL2977" s="2" t="s">
        <v>88</v>
      </c>
      <c r="CM2977" s="2"/>
    </row>
    <row r="2978" spans="1:91">
      <c r="A2978" s="2" t="s">
        <v>71</v>
      </c>
      <c r="B2978" s="2" t="s">
        <v>72</v>
      </c>
      <c r="C2978" s="2" t="s">
        <v>73</v>
      </c>
      <c r="D2978" s="2"/>
      <c r="E2978" s="2" t="str">
        <f>"FES1162509955"</f>
        <v>FES1162509955</v>
      </c>
      <c r="F2978" s="3">
        <v>42674</v>
      </c>
      <c r="G2978" s="2">
        <v>201704</v>
      </c>
      <c r="H2978" s="2" t="s">
        <v>74</v>
      </c>
      <c r="I2978" s="2" t="s">
        <v>75</v>
      </c>
      <c r="J2978" s="2" t="s">
        <v>76</v>
      </c>
      <c r="K2978" s="2" t="s">
        <v>77</v>
      </c>
      <c r="L2978" s="2" t="s">
        <v>153</v>
      </c>
      <c r="M2978" s="2" t="s">
        <v>153</v>
      </c>
      <c r="N2978" s="2" t="s">
        <v>343</v>
      </c>
      <c r="O2978" s="2" t="s">
        <v>96</v>
      </c>
      <c r="P2978" s="2" t="str">
        <f>"2170533112                    "</f>
        <v xml:space="preserve">2170533112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3.32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1</v>
      </c>
      <c r="BJ2978" s="2">
        <v>0.2</v>
      </c>
      <c r="BK2978" s="2">
        <v>1</v>
      </c>
      <c r="BL2978" s="2">
        <v>40.76</v>
      </c>
      <c r="BM2978" s="2">
        <v>5.71</v>
      </c>
      <c r="BN2978" s="2">
        <v>46.47</v>
      </c>
      <c r="BO2978" s="2">
        <v>46.47</v>
      </c>
      <c r="BP2978" s="2"/>
      <c r="BQ2978" s="2" t="s">
        <v>344</v>
      </c>
      <c r="BR2978" s="2" t="s">
        <v>83</v>
      </c>
      <c r="BS2978" s="3">
        <v>42675</v>
      </c>
      <c r="BT2978" s="4">
        <v>0.60416666666666663</v>
      </c>
      <c r="BU2978" s="2" t="s">
        <v>1089</v>
      </c>
      <c r="BV2978" s="2" t="s">
        <v>88</v>
      </c>
      <c r="BW2978" s="2" t="s">
        <v>277</v>
      </c>
      <c r="BX2978" s="2" t="s">
        <v>356</v>
      </c>
      <c r="BY2978" s="2">
        <v>1200</v>
      </c>
      <c r="BZ2978" s="2"/>
      <c r="CA2978" s="2"/>
      <c r="CB2978" s="2"/>
      <c r="CC2978" s="2" t="s">
        <v>153</v>
      </c>
      <c r="CD2978" s="2">
        <v>7646</v>
      </c>
      <c r="CE2978" s="2" t="s">
        <v>108</v>
      </c>
      <c r="CF2978" s="5">
        <v>42676</v>
      </c>
      <c r="CG2978" s="2"/>
      <c r="CH2978" s="2"/>
      <c r="CI2978" s="2">
        <v>1</v>
      </c>
      <c r="CJ2978" s="2">
        <v>1</v>
      </c>
      <c r="CK2978" s="2">
        <v>21</v>
      </c>
      <c r="CL2978" s="2" t="s">
        <v>88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"FES1162510507"</f>
        <v>FES1162510507</v>
      </c>
      <c r="F2979" s="3">
        <v>42674</v>
      </c>
      <c r="G2979" s="2">
        <v>201704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148</v>
      </c>
      <c r="M2979" s="2" t="s">
        <v>149</v>
      </c>
      <c r="N2979" s="2" t="s">
        <v>2688</v>
      </c>
      <c r="O2979" s="2" t="s">
        <v>96</v>
      </c>
      <c r="P2979" s="2" t="str">
        <f>"2170533465                    "</f>
        <v xml:space="preserve">2170533465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3.32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0.5</v>
      </c>
      <c r="BJ2979" s="2">
        <v>0.7</v>
      </c>
      <c r="BK2979" s="2">
        <v>1</v>
      </c>
      <c r="BL2979" s="2">
        <v>40.76</v>
      </c>
      <c r="BM2979" s="2">
        <v>5.71</v>
      </c>
      <c r="BN2979" s="2">
        <v>46.47</v>
      </c>
      <c r="BO2979" s="2">
        <v>46.47</v>
      </c>
      <c r="BP2979" s="2"/>
      <c r="BQ2979" s="2" t="s">
        <v>2689</v>
      </c>
      <c r="BR2979" s="2" t="s">
        <v>83</v>
      </c>
      <c r="BS2979" s="3">
        <v>42675</v>
      </c>
      <c r="BT2979" s="4">
        <v>0.41666666666666669</v>
      </c>
      <c r="BU2979" s="2" t="s">
        <v>2690</v>
      </c>
      <c r="BV2979" s="2"/>
      <c r="BW2979" s="2"/>
      <c r="BX2979" s="2"/>
      <c r="BY2979" s="2">
        <v>3296.16</v>
      </c>
      <c r="BZ2979" s="2"/>
      <c r="CA2979" s="2"/>
      <c r="CB2979" s="2"/>
      <c r="CC2979" s="2" t="s">
        <v>149</v>
      </c>
      <c r="CD2979" s="2">
        <v>4001</v>
      </c>
      <c r="CE2979" s="2" t="s">
        <v>108</v>
      </c>
      <c r="CF2979" s="5">
        <v>42677</v>
      </c>
      <c r="CG2979" s="2"/>
      <c r="CH2979" s="2"/>
      <c r="CI2979" s="2">
        <v>0</v>
      </c>
      <c r="CJ2979" s="2">
        <v>0</v>
      </c>
      <c r="CK2979" s="2">
        <v>21</v>
      </c>
      <c r="CL2979" s="2" t="s">
        <v>88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"FES1162510317"</f>
        <v>FES1162510317</v>
      </c>
      <c r="F2980" s="3">
        <v>42674</v>
      </c>
      <c r="G2980" s="2">
        <v>201704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160</v>
      </c>
      <c r="M2980" s="2" t="s">
        <v>161</v>
      </c>
      <c r="N2980" s="2" t="s">
        <v>1436</v>
      </c>
      <c r="O2980" s="2" t="s">
        <v>96</v>
      </c>
      <c r="P2980" s="2" t="str">
        <f>"2170532624                    "</f>
        <v xml:space="preserve">2170532624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3.32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1</v>
      </c>
      <c r="BJ2980" s="2">
        <v>0.2</v>
      </c>
      <c r="BK2980" s="2">
        <v>1</v>
      </c>
      <c r="BL2980" s="2">
        <v>40.76</v>
      </c>
      <c r="BM2980" s="2">
        <v>5.71</v>
      </c>
      <c r="BN2980" s="2">
        <v>46.47</v>
      </c>
      <c r="BO2980" s="2">
        <v>46.47</v>
      </c>
      <c r="BP2980" s="2"/>
      <c r="BQ2980" s="2" t="s">
        <v>1437</v>
      </c>
      <c r="BR2980" s="2" t="s">
        <v>83</v>
      </c>
      <c r="BS2980" s="3">
        <v>42675</v>
      </c>
      <c r="BT2980" s="4">
        <v>0.38958333333333334</v>
      </c>
      <c r="BU2980" s="2" t="s">
        <v>2691</v>
      </c>
      <c r="BV2980" s="2" t="s">
        <v>85</v>
      </c>
      <c r="BW2980" s="2"/>
      <c r="BX2980" s="2"/>
      <c r="BY2980" s="2">
        <v>1200</v>
      </c>
      <c r="BZ2980" s="2"/>
      <c r="CA2980" s="2" t="s">
        <v>229</v>
      </c>
      <c r="CB2980" s="2"/>
      <c r="CC2980" s="2" t="s">
        <v>161</v>
      </c>
      <c r="CD2980" s="2">
        <v>7460</v>
      </c>
      <c r="CE2980" s="2" t="s">
        <v>108</v>
      </c>
      <c r="CF2980" s="5">
        <v>42675</v>
      </c>
      <c r="CG2980" s="2"/>
      <c r="CH2980" s="2"/>
      <c r="CI2980" s="2">
        <v>1</v>
      </c>
      <c r="CJ2980" s="2">
        <v>1</v>
      </c>
      <c r="CK2980" s="2">
        <v>21</v>
      </c>
      <c r="CL2980" s="2" t="s">
        <v>88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"FES1162510475"</f>
        <v>FES1162510475</v>
      </c>
      <c r="F2981" s="3">
        <v>42674</v>
      </c>
      <c r="G2981" s="2">
        <v>201704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286</v>
      </c>
      <c r="M2981" s="2" t="s">
        <v>287</v>
      </c>
      <c r="N2981" s="2" t="s">
        <v>2343</v>
      </c>
      <c r="O2981" s="2" t="s">
        <v>96</v>
      </c>
      <c r="P2981" s="2" t="str">
        <f>"2170533574                    "</f>
        <v xml:space="preserve">2170533574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3.32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1.4</v>
      </c>
      <c r="BJ2981" s="2">
        <v>1.7</v>
      </c>
      <c r="BK2981" s="2">
        <v>2</v>
      </c>
      <c r="BL2981" s="2">
        <v>40.76</v>
      </c>
      <c r="BM2981" s="2">
        <v>5.71</v>
      </c>
      <c r="BN2981" s="2">
        <v>46.47</v>
      </c>
      <c r="BO2981" s="2">
        <v>46.47</v>
      </c>
      <c r="BP2981" s="2"/>
      <c r="BQ2981" s="2" t="s">
        <v>2344</v>
      </c>
      <c r="BR2981" s="2" t="s">
        <v>83</v>
      </c>
      <c r="BS2981" s="3">
        <v>42675</v>
      </c>
      <c r="BT2981" s="4">
        <v>0.41666666666666669</v>
      </c>
      <c r="BU2981" s="2" t="s">
        <v>2692</v>
      </c>
      <c r="BV2981" s="2" t="s">
        <v>85</v>
      </c>
      <c r="BW2981" s="2"/>
      <c r="BX2981" s="2"/>
      <c r="BY2981" s="2">
        <v>8700</v>
      </c>
      <c r="BZ2981" s="2"/>
      <c r="CA2981" s="2" t="s">
        <v>129</v>
      </c>
      <c r="CB2981" s="2"/>
      <c r="CC2981" s="2" t="s">
        <v>287</v>
      </c>
      <c r="CD2981" s="2">
        <v>1947</v>
      </c>
      <c r="CE2981" s="2" t="s">
        <v>86</v>
      </c>
      <c r="CF2981" s="5">
        <v>42677</v>
      </c>
      <c r="CG2981" s="2"/>
      <c r="CH2981" s="2"/>
      <c r="CI2981" s="2">
        <v>1</v>
      </c>
      <c r="CJ2981" s="2">
        <v>1</v>
      </c>
      <c r="CK2981" s="2">
        <v>21</v>
      </c>
      <c r="CL2981" s="2" t="s">
        <v>88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"FES1162510519"</f>
        <v>FES1162510519</v>
      </c>
      <c r="F2982" s="3">
        <v>42674</v>
      </c>
      <c r="G2982" s="2">
        <v>201704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160</v>
      </c>
      <c r="M2982" s="2" t="s">
        <v>161</v>
      </c>
      <c r="N2982" s="2" t="s">
        <v>643</v>
      </c>
      <c r="O2982" s="2" t="s">
        <v>96</v>
      </c>
      <c r="P2982" s="2" t="str">
        <f>"2170533616                    "</f>
        <v xml:space="preserve">2170533616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3.32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0.5</v>
      </c>
      <c r="BJ2982" s="2">
        <v>1.3</v>
      </c>
      <c r="BK2982" s="2">
        <v>1.5</v>
      </c>
      <c r="BL2982" s="2">
        <v>40.76</v>
      </c>
      <c r="BM2982" s="2">
        <v>5.71</v>
      </c>
      <c r="BN2982" s="2">
        <v>46.47</v>
      </c>
      <c r="BO2982" s="2">
        <v>46.47</v>
      </c>
      <c r="BP2982" s="2"/>
      <c r="BQ2982" s="2" t="s">
        <v>644</v>
      </c>
      <c r="BR2982" s="2" t="s">
        <v>83</v>
      </c>
      <c r="BS2982" s="3">
        <v>42675</v>
      </c>
      <c r="BT2982" s="4">
        <v>0.41666666666666669</v>
      </c>
      <c r="BU2982" s="2" t="s">
        <v>2693</v>
      </c>
      <c r="BV2982" s="2" t="s">
        <v>85</v>
      </c>
      <c r="BW2982" s="2"/>
      <c r="BX2982" s="2"/>
      <c r="BY2982" s="2">
        <v>6590.16</v>
      </c>
      <c r="BZ2982" s="2"/>
      <c r="CA2982" s="2"/>
      <c r="CB2982" s="2"/>
      <c r="CC2982" s="2" t="s">
        <v>161</v>
      </c>
      <c r="CD2982" s="2">
        <v>7925</v>
      </c>
      <c r="CE2982" s="2" t="s">
        <v>108</v>
      </c>
      <c r="CF2982" s="5">
        <v>42676</v>
      </c>
      <c r="CG2982" s="2"/>
      <c r="CH2982" s="2"/>
      <c r="CI2982" s="2">
        <v>1</v>
      </c>
      <c r="CJ2982" s="2">
        <v>1</v>
      </c>
      <c r="CK2982" s="2">
        <v>21</v>
      </c>
      <c r="CL2982" s="2" t="s">
        <v>88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"FES1162510502"</f>
        <v>FES1162510502</v>
      </c>
      <c r="F2983" s="3">
        <v>42674</v>
      </c>
      <c r="G2983" s="2">
        <v>201704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218</v>
      </c>
      <c r="M2983" s="2" t="s">
        <v>219</v>
      </c>
      <c r="N2983" s="2" t="s">
        <v>220</v>
      </c>
      <c r="O2983" s="2" t="s">
        <v>96</v>
      </c>
      <c r="P2983" s="2" t="str">
        <f>"2170533042                    "</f>
        <v xml:space="preserve">2170533042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3.32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1</v>
      </c>
      <c r="BJ2983" s="2">
        <v>0.2</v>
      </c>
      <c r="BK2983" s="2">
        <v>1</v>
      </c>
      <c r="BL2983" s="2">
        <v>40.76</v>
      </c>
      <c r="BM2983" s="2">
        <v>5.71</v>
      </c>
      <c r="BN2983" s="2">
        <v>46.47</v>
      </c>
      <c r="BO2983" s="2">
        <v>46.47</v>
      </c>
      <c r="BP2983" s="2"/>
      <c r="BQ2983" s="2" t="s">
        <v>91</v>
      </c>
      <c r="BR2983" s="2" t="s">
        <v>83</v>
      </c>
      <c r="BS2983" s="3">
        <v>42675</v>
      </c>
      <c r="BT2983" s="4">
        <v>0.4548611111111111</v>
      </c>
      <c r="BU2983" s="2" t="s">
        <v>1881</v>
      </c>
      <c r="BV2983" s="2" t="s">
        <v>85</v>
      </c>
      <c r="BW2983" s="2"/>
      <c r="BX2983" s="2"/>
      <c r="BY2983" s="2">
        <v>1200</v>
      </c>
      <c r="BZ2983" s="2"/>
      <c r="CA2983" s="2"/>
      <c r="CB2983" s="2"/>
      <c r="CC2983" s="2" t="s">
        <v>219</v>
      </c>
      <c r="CD2983" s="2">
        <v>7600</v>
      </c>
      <c r="CE2983" s="2" t="s">
        <v>108</v>
      </c>
      <c r="CF2983" s="5">
        <v>42676</v>
      </c>
      <c r="CG2983" s="2"/>
      <c r="CH2983" s="2"/>
      <c r="CI2983" s="2">
        <v>1</v>
      </c>
      <c r="CJ2983" s="2">
        <v>1</v>
      </c>
      <c r="CK2983" s="2">
        <v>21</v>
      </c>
      <c r="CL2983" s="2" t="s">
        <v>88</v>
      </c>
      <c r="CM2983" s="2"/>
    </row>
    <row r="2984" spans="1:91">
      <c r="A2984" s="2" t="s">
        <v>71</v>
      </c>
      <c r="B2984" s="2" t="s">
        <v>72</v>
      </c>
      <c r="C2984" s="2" t="s">
        <v>73</v>
      </c>
      <c r="D2984" s="2"/>
      <c r="E2984" s="2" t="str">
        <f>"FES1162510280"</f>
        <v>FES1162510280</v>
      </c>
      <c r="F2984" s="3">
        <v>42674</v>
      </c>
      <c r="G2984" s="2">
        <v>201704</v>
      </c>
      <c r="H2984" s="2" t="s">
        <v>74</v>
      </c>
      <c r="I2984" s="2" t="s">
        <v>75</v>
      </c>
      <c r="J2984" s="2" t="s">
        <v>76</v>
      </c>
      <c r="K2984" s="2" t="s">
        <v>77</v>
      </c>
      <c r="L2984" s="2" t="s">
        <v>160</v>
      </c>
      <c r="M2984" s="2" t="s">
        <v>161</v>
      </c>
      <c r="N2984" s="2" t="s">
        <v>622</v>
      </c>
      <c r="O2984" s="2" t="s">
        <v>96</v>
      </c>
      <c r="P2984" s="2" t="str">
        <f>"2170527002                    "</f>
        <v xml:space="preserve">2170527002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9.1199999999999992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3.8</v>
      </c>
      <c r="BJ2984" s="2">
        <v>5.2</v>
      </c>
      <c r="BK2984" s="2">
        <v>5.5</v>
      </c>
      <c r="BL2984" s="2">
        <v>112.08</v>
      </c>
      <c r="BM2984" s="2">
        <v>15.69</v>
      </c>
      <c r="BN2984" s="2">
        <v>127.77</v>
      </c>
      <c r="BO2984" s="2">
        <v>127.77</v>
      </c>
      <c r="BP2984" s="2"/>
      <c r="BQ2984" s="2" t="s">
        <v>623</v>
      </c>
      <c r="BR2984" s="2" t="s">
        <v>83</v>
      </c>
      <c r="BS2984" s="3">
        <v>42675</v>
      </c>
      <c r="BT2984" s="4">
        <v>0.46527777777777773</v>
      </c>
      <c r="BU2984" s="2" t="s">
        <v>2694</v>
      </c>
      <c r="BV2984" s="2" t="s">
        <v>88</v>
      </c>
      <c r="BW2984" s="2" t="s">
        <v>277</v>
      </c>
      <c r="BX2984" s="2" t="s">
        <v>356</v>
      </c>
      <c r="BY2984" s="2">
        <v>25942.99</v>
      </c>
      <c r="BZ2984" s="2"/>
      <c r="CA2984" s="2"/>
      <c r="CB2984" s="2"/>
      <c r="CC2984" s="2" t="s">
        <v>161</v>
      </c>
      <c r="CD2984" s="2">
        <v>7490</v>
      </c>
      <c r="CE2984" s="2" t="s">
        <v>86</v>
      </c>
      <c r="CF2984" s="5">
        <v>42676</v>
      </c>
      <c r="CG2984" s="2"/>
      <c r="CH2984" s="2"/>
      <c r="CI2984" s="2">
        <v>1</v>
      </c>
      <c r="CJ2984" s="2">
        <v>1</v>
      </c>
      <c r="CK2984" s="2">
        <v>21</v>
      </c>
      <c r="CL2984" s="2" t="s">
        <v>88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"FES1162510483"</f>
        <v>FES1162510483</v>
      </c>
      <c r="F2985" s="3">
        <v>42674</v>
      </c>
      <c r="G2985" s="2">
        <v>201704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98</v>
      </c>
      <c r="M2985" s="2" t="s">
        <v>99</v>
      </c>
      <c r="N2985" s="2" t="s">
        <v>133</v>
      </c>
      <c r="O2985" s="2" t="s">
        <v>96</v>
      </c>
      <c r="P2985" s="2" t="str">
        <f>"2170533580                    "</f>
        <v xml:space="preserve">2170533580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4.1500000000000004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1.1000000000000001</v>
      </c>
      <c r="BJ2985" s="2">
        <v>2.2999999999999998</v>
      </c>
      <c r="BK2985" s="2">
        <v>2.5</v>
      </c>
      <c r="BL2985" s="2">
        <v>50.95</v>
      </c>
      <c r="BM2985" s="2">
        <v>7.13</v>
      </c>
      <c r="BN2985" s="2">
        <v>58.08</v>
      </c>
      <c r="BO2985" s="2">
        <v>58.08</v>
      </c>
      <c r="BP2985" s="2"/>
      <c r="BQ2985" s="2" t="s">
        <v>134</v>
      </c>
      <c r="BR2985" s="2" t="s">
        <v>83</v>
      </c>
      <c r="BS2985" s="3">
        <v>42675</v>
      </c>
      <c r="BT2985" s="4">
        <v>0.34027777777777773</v>
      </c>
      <c r="BU2985" s="2" t="s">
        <v>2642</v>
      </c>
      <c r="BV2985" s="2" t="s">
        <v>85</v>
      </c>
      <c r="BW2985" s="2"/>
      <c r="BX2985" s="2"/>
      <c r="BY2985" s="2">
        <v>11277.38</v>
      </c>
      <c r="BZ2985" s="2"/>
      <c r="CA2985" s="2"/>
      <c r="CB2985" s="2"/>
      <c r="CC2985" s="2" t="s">
        <v>99</v>
      </c>
      <c r="CD2985" s="2">
        <v>6001</v>
      </c>
      <c r="CE2985" s="2" t="s">
        <v>108</v>
      </c>
      <c r="CF2985" s="5">
        <v>42676</v>
      </c>
      <c r="CG2985" s="2"/>
      <c r="CH2985" s="2"/>
      <c r="CI2985" s="2">
        <v>1</v>
      </c>
      <c r="CJ2985" s="2">
        <v>1</v>
      </c>
      <c r="CK2985" s="2">
        <v>21</v>
      </c>
      <c r="CL2985" s="2" t="s">
        <v>88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"FES1162510418"</f>
        <v>FES1162510418</v>
      </c>
      <c r="F2986" s="3">
        <v>42674</v>
      </c>
      <c r="G2986" s="2">
        <v>201704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160</v>
      </c>
      <c r="M2986" s="2" t="s">
        <v>161</v>
      </c>
      <c r="N2986" s="2" t="s">
        <v>176</v>
      </c>
      <c r="O2986" s="2" t="s">
        <v>96</v>
      </c>
      <c r="P2986" s="2" t="str">
        <f>"2170533491                    "</f>
        <v xml:space="preserve">2170533491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3.32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1.3</v>
      </c>
      <c r="BJ2986" s="2">
        <v>1.8</v>
      </c>
      <c r="BK2986" s="2">
        <v>2</v>
      </c>
      <c r="BL2986" s="2">
        <v>40.76</v>
      </c>
      <c r="BM2986" s="2">
        <v>5.71</v>
      </c>
      <c r="BN2986" s="2">
        <v>46.47</v>
      </c>
      <c r="BO2986" s="2">
        <v>46.47</v>
      </c>
      <c r="BP2986" s="2"/>
      <c r="BQ2986" s="2" t="s">
        <v>177</v>
      </c>
      <c r="BR2986" s="2" t="s">
        <v>83</v>
      </c>
      <c r="BS2986" s="3">
        <v>42675</v>
      </c>
      <c r="BT2986" s="4">
        <v>0.4458333333333333</v>
      </c>
      <c r="BU2986" s="2" t="s">
        <v>2678</v>
      </c>
      <c r="BV2986" s="2" t="s">
        <v>85</v>
      </c>
      <c r="BW2986" s="2"/>
      <c r="BX2986" s="2"/>
      <c r="BY2986" s="2">
        <v>9024.16</v>
      </c>
      <c r="BZ2986" s="2"/>
      <c r="CA2986" s="2"/>
      <c r="CB2986" s="2"/>
      <c r="CC2986" s="2" t="s">
        <v>161</v>
      </c>
      <c r="CD2986" s="2">
        <v>7530</v>
      </c>
      <c r="CE2986" s="2" t="s">
        <v>108</v>
      </c>
      <c r="CF2986" s="5">
        <v>42676</v>
      </c>
      <c r="CG2986" s="2"/>
      <c r="CH2986" s="2"/>
      <c r="CI2986" s="2">
        <v>1</v>
      </c>
      <c r="CJ2986" s="2">
        <v>1</v>
      </c>
      <c r="CK2986" s="2">
        <v>21</v>
      </c>
      <c r="CL2986" s="2" t="s">
        <v>88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"FES1162510279"</f>
        <v>FES1162510279</v>
      </c>
      <c r="F2987" s="3">
        <v>42674</v>
      </c>
      <c r="G2987" s="2">
        <v>201704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160</v>
      </c>
      <c r="M2987" s="2" t="s">
        <v>161</v>
      </c>
      <c r="N2987" s="2" t="s">
        <v>622</v>
      </c>
      <c r="O2987" s="2" t="s">
        <v>96</v>
      </c>
      <c r="P2987" s="2" t="str">
        <f>"2170526708                    "</f>
        <v xml:space="preserve">2170526708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9.1199999999999992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4.9000000000000004</v>
      </c>
      <c r="BJ2987" s="2">
        <v>5.0999999999999996</v>
      </c>
      <c r="BK2987" s="2">
        <v>5.5</v>
      </c>
      <c r="BL2987" s="2">
        <v>112.08</v>
      </c>
      <c r="BM2987" s="2">
        <v>15.69</v>
      </c>
      <c r="BN2987" s="2">
        <v>127.77</v>
      </c>
      <c r="BO2987" s="2">
        <v>127.77</v>
      </c>
      <c r="BP2987" s="2"/>
      <c r="BQ2987" s="2" t="s">
        <v>623</v>
      </c>
      <c r="BR2987" s="2" t="s">
        <v>83</v>
      </c>
      <c r="BS2987" s="3">
        <v>42675</v>
      </c>
      <c r="BT2987" s="4">
        <v>0.46527777777777773</v>
      </c>
      <c r="BU2987" s="2" t="s">
        <v>1788</v>
      </c>
      <c r="BV2987" s="2" t="s">
        <v>88</v>
      </c>
      <c r="BW2987" s="2" t="s">
        <v>277</v>
      </c>
      <c r="BX2987" s="2" t="s">
        <v>356</v>
      </c>
      <c r="BY2987" s="2">
        <v>25657.919999999998</v>
      </c>
      <c r="BZ2987" s="2"/>
      <c r="CA2987" s="2"/>
      <c r="CB2987" s="2"/>
      <c r="CC2987" s="2" t="s">
        <v>161</v>
      </c>
      <c r="CD2987" s="2">
        <v>7490</v>
      </c>
      <c r="CE2987" s="2" t="s">
        <v>86</v>
      </c>
      <c r="CF2987" s="5">
        <v>42676</v>
      </c>
      <c r="CG2987" s="2"/>
      <c r="CH2987" s="2"/>
      <c r="CI2987" s="2">
        <v>1</v>
      </c>
      <c r="CJ2987" s="2">
        <v>1</v>
      </c>
      <c r="CK2987" s="2">
        <v>21</v>
      </c>
      <c r="CL2987" s="2" t="s">
        <v>88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"FES1162510515"</f>
        <v>FES1162510515</v>
      </c>
      <c r="F2988" s="3">
        <v>42674</v>
      </c>
      <c r="G2988" s="2">
        <v>201704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160</v>
      </c>
      <c r="M2988" s="2" t="s">
        <v>161</v>
      </c>
      <c r="N2988" s="2" t="s">
        <v>1995</v>
      </c>
      <c r="O2988" s="2" t="s">
        <v>96</v>
      </c>
      <c r="P2988" s="2" t="str">
        <f>"2170533615                    "</f>
        <v xml:space="preserve">2170533615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4.9800000000000004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2.6</v>
      </c>
      <c r="BJ2988" s="2">
        <v>1</v>
      </c>
      <c r="BK2988" s="2">
        <v>3</v>
      </c>
      <c r="BL2988" s="2">
        <v>61.14</v>
      </c>
      <c r="BM2988" s="2">
        <v>8.56</v>
      </c>
      <c r="BN2988" s="2">
        <v>69.7</v>
      </c>
      <c r="BO2988" s="2">
        <v>69.7</v>
      </c>
      <c r="BP2988" s="2"/>
      <c r="BQ2988" s="2" t="s">
        <v>1996</v>
      </c>
      <c r="BR2988" s="2" t="s">
        <v>83</v>
      </c>
      <c r="BS2988" s="3">
        <v>42675</v>
      </c>
      <c r="BT2988" s="4">
        <v>0.4069444444444445</v>
      </c>
      <c r="BU2988" s="2" t="s">
        <v>977</v>
      </c>
      <c r="BV2988" s="2" t="s">
        <v>85</v>
      </c>
      <c r="BW2988" s="2"/>
      <c r="BX2988" s="2"/>
      <c r="BY2988" s="2">
        <v>5124.3</v>
      </c>
      <c r="BZ2988" s="2"/>
      <c r="CA2988" s="2" t="s">
        <v>229</v>
      </c>
      <c r="CB2988" s="2"/>
      <c r="CC2988" s="2" t="s">
        <v>161</v>
      </c>
      <c r="CD2988" s="2">
        <v>7460</v>
      </c>
      <c r="CE2988" s="2" t="s">
        <v>86</v>
      </c>
      <c r="CF2988" s="5">
        <v>42675</v>
      </c>
      <c r="CG2988" s="2"/>
      <c r="CH2988" s="2"/>
      <c r="CI2988" s="2">
        <v>1</v>
      </c>
      <c r="CJ2988" s="2">
        <v>1</v>
      </c>
      <c r="CK2988" s="2">
        <v>21</v>
      </c>
      <c r="CL2988" s="2" t="s">
        <v>88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"FES1162510486"</f>
        <v>FES1162510486</v>
      </c>
      <c r="F2989" s="3">
        <v>42674</v>
      </c>
      <c r="G2989" s="2">
        <v>201704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78</v>
      </c>
      <c r="M2989" s="2" t="s">
        <v>79</v>
      </c>
      <c r="N2989" s="2" t="s">
        <v>89</v>
      </c>
      <c r="O2989" s="2" t="s">
        <v>96</v>
      </c>
      <c r="P2989" s="2" t="str">
        <f>"2170533583                    "</f>
        <v xml:space="preserve">2170533583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3.32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1</v>
      </c>
      <c r="BJ2989" s="2">
        <v>0.2</v>
      </c>
      <c r="BK2989" s="2">
        <v>1</v>
      </c>
      <c r="BL2989" s="2">
        <v>40.76</v>
      </c>
      <c r="BM2989" s="2">
        <v>5.71</v>
      </c>
      <c r="BN2989" s="2">
        <v>46.47</v>
      </c>
      <c r="BO2989" s="2">
        <v>46.47</v>
      </c>
      <c r="BP2989" s="2"/>
      <c r="BQ2989" s="2" t="s">
        <v>2242</v>
      </c>
      <c r="BR2989" s="2" t="s">
        <v>83</v>
      </c>
      <c r="BS2989" s="3">
        <v>42675</v>
      </c>
      <c r="BT2989" s="4">
        <v>0.41666666666666669</v>
      </c>
      <c r="BU2989" s="2" t="s">
        <v>2695</v>
      </c>
      <c r="BV2989" s="2" t="s">
        <v>85</v>
      </c>
      <c r="BW2989" s="2"/>
      <c r="BX2989" s="2"/>
      <c r="BY2989" s="2">
        <v>1200</v>
      </c>
      <c r="BZ2989" s="2"/>
      <c r="CA2989" s="2"/>
      <c r="CB2989" s="2"/>
      <c r="CC2989" s="2" t="s">
        <v>79</v>
      </c>
      <c r="CD2989" s="2">
        <v>1873</v>
      </c>
      <c r="CE2989" s="2" t="s">
        <v>108</v>
      </c>
      <c r="CF2989" s="5">
        <v>42677</v>
      </c>
      <c r="CG2989" s="2"/>
      <c r="CH2989" s="2"/>
      <c r="CI2989" s="2">
        <v>1</v>
      </c>
      <c r="CJ2989" s="2">
        <v>1</v>
      </c>
      <c r="CK2989" s="2">
        <v>21</v>
      </c>
      <c r="CL2989" s="2" t="s">
        <v>88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"FES1162510528"</f>
        <v>FES1162510528</v>
      </c>
      <c r="F2990" s="3">
        <v>42674</v>
      </c>
      <c r="G2990" s="2">
        <v>201704</v>
      </c>
      <c r="H2990" s="2" t="s">
        <v>74</v>
      </c>
      <c r="I2990" s="2" t="s">
        <v>75</v>
      </c>
      <c r="J2990" s="2" t="s">
        <v>76</v>
      </c>
      <c r="K2990" s="2" t="s">
        <v>77</v>
      </c>
      <c r="L2990" s="2" t="s">
        <v>98</v>
      </c>
      <c r="M2990" s="2" t="s">
        <v>99</v>
      </c>
      <c r="N2990" s="2" t="s">
        <v>934</v>
      </c>
      <c r="O2990" s="2" t="s">
        <v>96</v>
      </c>
      <c r="P2990" s="2" t="str">
        <f>"2170533647                    "</f>
        <v xml:space="preserve">2170533647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3.32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1</v>
      </c>
      <c r="BI2990" s="2">
        <v>0.5</v>
      </c>
      <c r="BJ2990" s="2">
        <v>0.2</v>
      </c>
      <c r="BK2990" s="2">
        <v>0.5</v>
      </c>
      <c r="BL2990" s="2">
        <v>40.76</v>
      </c>
      <c r="BM2990" s="2">
        <v>5.71</v>
      </c>
      <c r="BN2990" s="2">
        <v>46.47</v>
      </c>
      <c r="BO2990" s="2">
        <v>46.47</v>
      </c>
      <c r="BP2990" s="2"/>
      <c r="BQ2990" s="2" t="s">
        <v>935</v>
      </c>
      <c r="BR2990" s="2" t="s">
        <v>83</v>
      </c>
      <c r="BS2990" s="3">
        <v>42675</v>
      </c>
      <c r="BT2990" s="4">
        <v>0.40972222222222227</v>
      </c>
      <c r="BU2990" s="2" t="s">
        <v>2104</v>
      </c>
      <c r="BV2990" s="2" t="s">
        <v>85</v>
      </c>
      <c r="BW2990" s="2"/>
      <c r="BX2990" s="2"/>
      <c r="BY2990" s="2">
        <v>1200</v>
      </c>
      <c r="BZ2990" s="2"/>
      <c r="CA2990" s="2"/>
      <c r="CB2990" s="2"/>
      <c r="CC2990" s="2" t="s">
        <v>99</v>
      </c>
      <c r="CD2990" s="2">
        <v>6001</v>
      </c>
      <c r="CE2990" s="2" t="s">
        <v>108</v>
      </c>
      <c r="CF2990" s="5">
        <v>42676</v>
      </c>
      <c r="CG2990" s="2"/>
      <c r="CH2990" s="2"/>
      <c r="CI2990" s="2">
        <v>1</v>
      </c>
      <c r="CJ2990" s="2">
        <v>1</v>
      </c>
      <c r="CK2990" s="2">
        <v>21</v>
      </c>
      <c r="CL2990" s="2" t="s">
        <v>88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"FES1162510465"</f>
        <v>FES1162510465</v>
      </c>
      <c r="F2991" s="3">
        <v>42674</v>
      </c>
      <c r="G2991" s="2">
        <v>201704</v>
      </c>
      <c r="H2991" s="2" t="s">
        <v>74</v>
      </c>
      <c r="I2991" s="2" t="s">
        <v>75</v>
      </c>
      <c r="J2991" s="2" t="s">
        <v>76</v>
      </c>
      <c r="K2991" s="2" t="s">
        <v>77</v>
      </c>
      <c r="L2991" s="2" t="s">
        <v>148</v>
      </c>
      <c r="M2991" s="2" t="s">
        <v>149</v>
      </c>
      <c r="N2991" s="2" t="s">
        <v>293</v>
      </c>
      <c r="O2991" s="2" t="s">
        <v>96</v>
      </c>
      <c r="P2991" s="2" t="str">
        <f>"2170533563                    "</f>
        <v xml:space="preserve">2170533563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15.76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1</v>
      </c>
      <c r="BI2991" s="2">
        <v>4.9000000000000004</v>
      </c>
      <c r="BJ2991" s="2">
        <v>9.4</v>
      </c>
      <c r="BK2991" s="2">
        <v>9.5</v>
      </c>
      <c r="BL2991" s="2">
        <v>193.6</v>
      </c>
      <c r="BM2991" s="2">
        <v>27.1</v>
      </c>
      <c r="BN2991" s="2">
        <v>220.7</v>
      </c>
      <c r="BO2991" s="2">
        <v>220.7</v>
      </c>
      <c r="BP2991" s="2" t="s">
        <v>2696</v>
      </c>
      <c r="BQ2991" s="2" t="s">
        <v>1352</v>
      </c>
      <c r="BR2991" s="2" t="s">
        <v>83</v>
      </c>
      <c r="BS2991" s="3">
        <v>42675</v>
      </c>
      <c r="BT2991" s="4">
        <v>0.4375</v>
      </c>
      <c r="BU2991" s="2" t="s">
        <v>2697</v>
      </c>
      <c r="BV2991" s="2" t="s">
        <v>85</v>
      </c>
      <c r="BW2991" s="2"/>
      <c r="BX2991" s="2"/>
      <c r="BY2991" s="2">
        <v>47214.38</v>
      </c>
      <c r="BZ2991" s="2"/>
      <c r="CA2991" s="2" t="s">
        <v>129</v>
      </c>
      <c r="CB2991" s="2"/>
      <c r="CC2991" s="2" t="s">
        <v>149</v>
      </c>
      <c r="CD2991" s="2">
        <v>4051</v>
      </c>
      <c r="CE2991" s="2" t="s">
        <v>86</v>
      </c>
      <c r="CF2991" s="5">
        <v>42677</v>
      </c>
      <c r="CG2991" s="2"/>
      <c r="CH2991" s="2"/>
      <c r="CI2991" s="2">
        <v>1</v>
      </c>
      <c r="CJ2991" s="2">
        <v>1</v>
      </c>
      <c r="CK2991" s="2">
        <v>21</v>
      </c>
      <c r="CL2991" s="2" t="s">
        <v>88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"FES1162510281"</f>
        <v>FES1162510281</v>
      </c>
      <c r="F2992" s="3">
        <v>42674</v>
      </c>
      <c r="G2992" s="2">
        <v>201704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160</v>
      </c>
      <c r="M2992" s="2" t="s">
        <v>161</v>
      </c>
      <c r="N2992" s="2" t="s">
        <v>622</v>
      </c>
      <c r="O2992" s="2" t="s">
        <v>96</v>
      </c>
      <c r="P2992" s="2" t="str">
        <f>"2170527222                    "</f>
        <v xml:space="preserve">2170527222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34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2</v>
      </c>
      <c r="BI2992" s="2">
        <v>15.6</v>
      </c>
      <c r="BJ2992" s="2">
        <v>20.2</v>
      </c>
      <c r="BK2992" s="2">
        <v>20.5</v>
      </c>
      <c r="BL2992" s="2">
        <v>417.76</v>
      </c>
      <c r="BM2992" s="2">
        <v>58.49</v>
      </c>
      <c r="BN2992" s="2">
        <v>476.25</v>
      </c>
      <c r="BO2992" s="2">
        <v>476.25</v>
      </c>
      <c r="BP2992" s="2"/>
      <c r="BQ2992" s="2" t="s">
        <v>623</v>
      </c>
      <c r="BR2992" s="2" t="s">
        <v>83</v>
      </c>
      <c r="BS2992" s="3">
        <v>42675</v>
      </c>
      <c r="BT2992" s="4">
        <v>0.46527777777777773</v>
      </c>
      <c r="BU2992" s="2" t="s">
        <v>1788</v>
      </c>
      <c r="BV2992" s="2" t="s">
        <v>88</v>
      </c>
      <c r="BW2992" s="2" t="s">
        <v>277</v>
      </c>
      <c r="BX2992" s="2" t="s">
        <v>356</v>
      </c>
      <c r="BY2992" s="2">
        <v>100862</v>
      </c>
      <c r="BZ2992" s="2"/>
      <c r="CA2992" s="2"/>
      <c r="CB2992" s="2"/>
      <c r="CC2992" s="2" t="s">
        <v>161</v>
      </c>
      <c r="CD2992" s="2">
        <v>7490</v>
      </c>
      <c r="CE2992" s="2" t="s">
        <v>86</v>
      </c>
      <c r="CF2992" s="5">
        <v>42676</v>
      </c>
      <c r="CG2992" s="2"/>
      <c r="CH2992" s="2"/>
      <c r="CI2992" s="2">
        <v>1</v>
      </c>
      <c r="CJ2992" s="2">
        <v>1</v>
      </c>
      <c r="CK2992" s="2">
        <v>21</v>
      </c>
      <c r="CL2992" s="2" t="s">
        <v>88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"FES1162510283"</f>
        <v>FES1162510283</v>
      </c>
      <c r="F2993" s="3">
        <v>42674</v>
      </c>
      <c r="G2993" s="2">
        <v>201704</v>
      </c>
      <c r="H2993" s="2" t="s">
        <v>74</v>
      </c>
      <c r="I2993" s="2" t="s">
        <v>75</v>
      </c>
      <c r="J2993" s="2" t="s">
        <v>76</v>
      </c>
      <c r="K2993" s="2" t="s">
        <v>77</v>
      </c>
      <c r="L2993" s="2" t="s">
        <v>160</v>
      </c>
      <c r="M2993" s="2" t="s">
        <v>161</v>
      </c>
      <c r="N2993" s="2" t="s">
        <v>622</v>
      </c>
      <c r="O2993" s="2" t="s">
        <v>96</v>
      </c>
      <c r="P2993" s="2" t="str">
        <f>"2170527292                    "</f>
        <v xml:space="preserve">2170527292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15.76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6.3</v>
      </c>
      <c r="BJ2993" s="2">
        <v>9.4</v>
      </c>
      <c r="BK2993" s="2">
        <v>9.5</v>
      </c>
      <c r="BL2993" s="2">
        <v>193.6</v>
      </c>
      <c r="BM2993" s="2">
        <v>27.1</v>
      </c>
      <c r="BN2993" s="2">
        <v>220.7</v>
      </c>
      <c r="BO2993" s="2">
        <v>220.7</v>
      </c>
      <c r="BP2993" s="2"/>
      <c r="BQ2993" s="2" t="s">
        <v>623</v>
      </c>
      <c r="BR2993" s="2" t="s">
        <v>83</v>
      </c>
      <c r="BS2993" s="3">
        <v>42675</v>
      </c>
      <c r="BT2993" s="4">
        <v>0.46527777777777773</v>
      </c>
      <c r="BU2993" s="2" t="s">
        <v>1788</v>
      </c>
      <c r="BV2993" s="2" t="s">
        <v>88</v>
      </c>
      <c r="BW2993" s="2" t="s">
        <v>277</v>
      </c>
      <c r="BX2993" s="2" t="s">
        <v>356</v>
      </c>
      <c r="BY2993" s="2">
        <v>46789.49</v>
      </c>
      <c r="BZ2993" s="2"/>
      <c r="CA2993" s="2"/>
      <c r="CB2993" s="2"/>
      <c r="CC2993" s="2" t="s">
        <v>161</v>
      </c>
      <c r="CD2993" s="2">
        <v>7490</v>
      </c>
      <c r="CE2993" s="2" t="s">
        <v>86</v>
      </c>
      <c r="CF2993" s="5">
        <v>42676</v>
      </c>
      <c r="CG2993" s="2"/>
      <c r="CH2993" s="2"/>
      <c r="CI2993" s="2">
        <v>1</v>
      </c>
      <c r="CJ2993" s="2">
        <v>1</v>
      </c>
      <c r="CK2993" s="2">
        <v>21</v>
      </c>
      <c r="CL2993" s="2" t="s">
        <v>88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"FES1162510284"</f>
        <v>FES1162510284</v>
      </c>
      <c r="F2994" s="3">
        <v>42674</v>
      </c>
      <c r="G2994" s="2">
        <v>201704</v>
      </c>
      <c r="H2994" s="2" t="s">
        <v>74</v>
      </c>
      <c r="I2994" s="2" t="s">
        <v>75</v>
      </c>
      <c r="J2994" s="2" t="s">
        <v>76</v>
      </c>
      <c r="K2994" s="2" t="s">
        <v>77</v>
      </c>
      <c r="L2994" s="2" t="s">
        <v>160</v>
      </c>
      <c r="M2994" s="2" t="s">
        <v>161</v>
      </c>
      <c r="N2994" s="2" t="s">
        <v>622</v>
      </c>
      <c r="O2994" s="2" t="s">
        <v>96</v>
      </c>
      <c r="P2994" s="2" t="str">
        <f>"2170527302                    "</f>
        <v xml:space="preserve">2170527302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4.9800000000000004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1</v>
      </c>
      <c r="BI2994" s="2">
        <v>3</v>
      </c>
      <c r="BJ2994" s="2">
        <v>1.8</v>
      </c>
      <c r="BK2994" s="2">
        <v>3</v>
      </c>
      <c r="BL2994" s="2">
        <v>61.14</v>
      </c>
      <c r="BM2994" s="2">
        <v>8.56</v>
      </c>
      <c r="BN2994" s="2">
        <v>69.7</v>
      </c>
      <c r="BO2994" s="2">
        <v>69.7</v>
      </c>
      <c r="BP2994" s="2"/>
      <c r="BQ2994" s="2" t="s">
        <v>623</v>
      </c>
      <c r="BR2994" s="2" t="s">
        <v>83</v>
      </c>
      <c r="BS2994" s="3">
        <v>42675</v>
      </c>
      <c r="BT2994" s="4">
        <v>0.46527777777777773</v>
      </c>
      <c r="BU2994" s="2" t="s">
        <v>2694</v>
      </c>
      <c r="BV2994" s="2" t="s">
        <v>88</v>
      </c>
      <c r="BW2994" s="2" t="s">
        <v>277</v>
      </c>
      <c r="BX2994" s="2" t="s">
        <v>356</v>
      </c>
      <c r="BY2994" s="2">
        <v>8924.19</v>
      </c>
      <c r="BZ2994" s="2"/>
      <c r="CA2994" s="2"/>
      <c r="CB2994" s="2"/>
      <c r="CC2994" s="2" t="s">
        <v>161</v>
      </c>
      <c r="CD2994" s="2">
        <v>7490</v>
      </c>
      <c r="CE2994" s="2" t="s">
        <v>86</v>
      </c>
      <c r="CF2994" s="5">
        <v>42676</v>
      </c>
      <c r="CG2994" s="2"/>
      <c r="CH2994" s="2"/>
      <c r="CI2994" s="2">
        <v>1</v>
      </c>
      <c r="CJ2994" s="2">
        <v>1</v>
      </c>
      <c r="CK2994" s="2">
        <v>21</v>
      </c>
      <c r="CL2994" s="2" t="s">
        <v>88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"FES1162510306"</f>
        <v>FES1162510306</v>
      </c>
      <c r="F2995" s="3">
        <v>42674</v>
      </c>
      <c r="G2995" s="2">
        <v>201704</v>
      </c>
      <c r="H2995" s="2" t="s">
        <v>74</v>
      </c>
      <c r="I2995" s="2" t="s">
        <v>75</v>
      </c>
      <c r="J2995" s="2" t="s">
        <v>76</v>
      </c>
      <c r="K2995" s="2" t="s">
        <v>77</v>
      </c>
      <c r="L2995" s="2" t="s">
        <v>160</v>
      </c>
      <c r="M2995" s="2" t="s">
        <v>161</v>
      </c>
      <c r="N2995" s="2" t="s">
        <v>622</v>
      </c>
      <c r="O2995" s="2" t="s">
        <v>96</v>
      </c>
      <c r="P2995" s="2" t="str">
        <f>"2170531743                    "</f>
        <v xml:space="preserve">2170531743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17.420000000000002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10.1</v>
      </c>
      <c r="BJ2995" s="2">
        <v>9.4</v>
      </c>
      <c r="BK2995" s="2">
        <v>10.5</v>
      </c>
      <c r="BL2995" s="2">
        <v>213.98</v>
      </c>
      <c r="BM2995" s="2">
        <v>29.96</v>
      </c>
      <c r="BN2995" s="2">
        <v>243.94</v>
      </c>
      <c r="BO2995" s="2">
        <v>243.94</v>
      </c>
      <c r="BP2995" s="2"/>
      <c r="BQ2995" s="2" t="s">
        <v>623</v>
      </c>
      <c r="BR2995" s="2" t="s">
        <v>83</v>
      </c>
      <c r="BS2995" s="3">
        <v>42675</v>
      </c>
      <c r="BT2995" s="4">
        <v>0.46527777777777773</v>
      </c>
      <c r="BU2995" s="2" t="s">
        <v>2694</v>
      </c>
      <c r="BV2995" s="2" t="s">
        <v>88</v>
      </c>
      <c r="BW2995" s="2" t="s">
        <v>277</v>
      </c>
      <c r="BX2995" s="2" t="s">
        <v>356</v>
      </c>
      <c r="BY2995" s="2">
        <v>46906.71</v>
      </c>
      <c r="BZ2995" s="2"/>
      <c r="CA2995" s="2"/>
      <c r="CB2995" s="2"/>
      <c r="CC2995" s="2" t="s">
        <v>161</v>
      </c>
      <c r="CD2995" s="2">
        <v>7490</v>
      </c>
      <c r="CE2995" s="2" t="s">
        <v>86</v>
      </c>
      <c r="CF2995" s="5">
        <v>42676</v>
      </c>
      <c r="CG2995" s="2"/>
      <c r="CH2995" s="2"/>
      <c r="CI2995" s="2">
        <v>1</v>
      </c>
      <c r="CJ2995" s="2">
        <v>1</v>
      </c>
      <c r="CK2995" s="2">
        <v>21</v>
      </c>
      <c r="CL2995" s="2" t="s">
        <v>88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"FES1162510414"</f>
        <v>FES1162510414</v>
      </c>
      <c r="F2996" s="3">
        <v>42674</v>
      </c>
      <c r="G2996" s="2">
        <v>201704</v>
      </c>
      <c r="H2996" s="2" t="s">
        <v>74</v>
      </c>
      <c r="I2996" s="2" t="s">
        <v>75</v>
      </c>
      <c r="J2996" s="2" t="s">
        <v>76</v>
      </c>
      <c r="K2996" s="2" t="s">
        <v>77</v>
      </c>
      <c r="L2996" s="2" t="s">
        <v>160</v>
      </c>
      <c r="M2996" s="2" t="s">
        <v>161</v>
      </c>
      <c r="N2996" s="2" t="s">
        <v>176</v>
      </c>
      <c r="O2996" s="2" t="s">
        <v>96</v>
      </c>
      <c r="P2996" s="2" t="str">
        <f>"2170533484                    "</f>
        <v xml:space="preserve">2170533484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4.1500000000000004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2.2000000000000002</v>
      </c>
      <c r="BJ2996" s="2">
        <v>1.9</v>
      </c>
      <c r="BK2996" s="2">
        <v>2.5</v>
      </c>
      <c r="BL2996" s="2">
        <v>50.95</v>
      </c>
      <c r="BM2996" s="2">
        <v>7.13</v>
      </c>
      <c r="BN2996" s="2">
        <v>58.08</v>
      </c>
      <c r="BO2996" s="2">
        <v>58.08</v>
      </c>
      <c r="BP2996" s="2"/>
      <c r="BQ2996" s="2" t="s">
        <v>258</v>
      </c>
      <c r="BR2996" s="2" t="s">
        <v>83</v>
      </c>
      <c r="BS2996" s="3">
        <v>42675</v>
      </c>
      <c r="BT2996" s="4">
        <v>0.41666666666666669</v>
      </c>
      <c r="BU2996" s="2" t="s">
        <v>146</v>
      </c>
      <c r="BV2996" s="2" t="s">
        <v>85</v>
      </c>
      <c r="BW2996" s="2"/>
      <c r="BX2996" s="2"/>
      <c r="BY2996" s="2">
        <v>9533.7000000000007</v>
      </c>
      <c r="BZ2996" s="2"/>
      <c r="CA2996" s="2"/>
      <c r="CB2996" s="2"/>
      <c r="CC2996" s="2" t="s">
        <v>161</v>
      </c>
      <c r="CD2996" s="2">
        <v>7405</v>
      </c>
      <c r="CE2996" s="2" t="s">
        <v>86</v>
      </c>
      <c r="CF2996" s="5">
        <v>42676</v>
      </c>
      <c r="CG2996" s="2"/>
      <c r="CH2996" s="2"/>
      <c r="CI2996" s="2">
        <v>1</v>
      </c>
      <c r="CJ2996" s="2">
        <v>1</v>
      </c>
      <c r="CK2996" s="2">
        <v>21</v>
      </c>
      <c r="CL2996" s="2" t="s">
        <v>88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"FES1162510294"</f>
        <v>FES1162510294</v>
      </c>
      <c r="F2997" s="3">
        <v>42674</v>
      </c>
      <c r="G2997" s="2">
        <v>201704</v>
      </c>
      <c r="H2997" s="2" t="s">
        <v>74</v>
      </c>
      <c r="I2997" s="2" t="s">
        <v>75</v>
      </c>
      <c r="J2997" s="2" t="s">
        <v>76</v>
      </c>
      <c r="K2997" s="2" t="s">
        <v>77</v>
      </c>
      <c r="L2997" s="2" t="s">
        <v>160</v>
      </c>
      <c r="M2997" s="2" t="s">
        <v>161</v>
      </c>
      <c r="N2997" s="2" t="s">
        <v>179</v>
      </c>
      <c r="O2997" s="2" t="s">
        <v>96</v>
      </c>
      <c r="P2997" s="2" t="str">
        <f>"2170530923                    "</f>
        <v xml:space="preserve">2170530923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3.32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1</v>
      </c>
      <c r="BJ2997" s="2">
        <v>0.2</v>
      </c>
      <c r="BK2997" s="2">
        <v>1</v>
      </c>
      <c r="BL2997" s="2">
        <v>40.76</v>
      </c>
      <c r="BM2997" s="2">
        <v>5.71</v>
      </c>
      <c r="BN2997" s="2">
        <v>46.47</v>
      </c>
      <c r="BO2997" s="2">
        <v>46.47</v>
      </c>
      <c r="BP2997" s="2"/>
      <c r="BQ2997" s="2" t="s">
        <v>180</v>
      </c>
      <c r="BR2997" s="2" t="s">
        <v>83</v>
      </c>
      <c r="BS2997" s="3">
        <v>42675</v>
      </c>
      <c r="BT2997" s="4">
        <v>0.41666666666666669</v>
      </c>
      <c r="BU2997" s="2" t="s">
        <v>181</v>
      </c>
      <c r="BV2997" s="2" t="s">
        <v>85</v>
      </c>
      <c r="BW2997" s="2"/>
      <c r="BX2997" s="2"/>
      <c r="BY2997" s="2">
        <v>1200</v>
      </c>
      <c r="BZ2997" s="2"/>
      <c r="CA2997" s="2"/>
      <c r="CB2997" s="2"/>
      <c r="CC2997" s="2" t="s">
        <v>161</v>
      </c>
      <c r="CD2997" s="2">
        <v>7405</v>
      </c>
      <c r="CE2997" s="2" t="s">
        <v>108</v>
      </c>
      <c r="CF2997" s="5">
        <v>42676</v>
      </c>
      <c r="CG2997" s="2"/>
      <c r="CH2997" s="2"/>
      <c r="CI2997" s="2">
        <v>1</v>
      </c>
      <c r="CJ2997" s="2">
        <v>1</v>
      </c>
      <c r="CK2997" s="2">
        <v>21</v>
      </c>
      <c r="CL2997" s="2" t="s">
        <v>88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"FES1162510310"</f>
        <v>FES1162510310</v>
      </c>
      <c r="F2998" s="3">
        <v>42674</v>
      </c>
      <c r="G2998" s="2">
        <v>201704</v>
      </c>
      <c r="H2998" s="2" t="s">
        <v>74</v>
      </c>
      <c r="I2998" s="2" t="s">
        <v>75</v>
      </c>
      <c r="J2998" s="2" t="s">
        <v>76</v>
      </c>
      <c r="K2998" s="2" t="s">
        <v>77</v>
      </c>
      <c r="L2998" s="2" t="s">
        <v>160</v>
      </c>
      <c r="M2998" s="2" t="s">
        <v>161</v>
      </c>
      <c r="N2998" s="2" t="s">
        <v>647</v>
      </c>
      <c r="O2998" s="2" t="s">
        <v>96</v>
      </c>
      <c r="P2998" s="2" t="str">
        <f>"2170532007                    "</f>
        <v xml:space="preserve">2170532007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3.32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1</v>
      </c>
      <c r="BJ2998" s="2">
        <v>0.2</v>
      </c>
      <c r="BK2998" s="2">
        <v>1</v>
      </c>
      <c r="BL2998" s="2">
        <v>40.76</v>
      </c>
      <c r="BM2998" s="2">
        <v>5.71</v>
      </c>
      <c r="BN2998" s="2">
        <v>46.47</v>
      </c>
      <c r="BO2998" s="2">
        <v>46.47</v>
      </c>
      <c r="BP2998" s="2"/>
      <c r="BQ2998" s="2" t="s">
        <v>2045</v>
      </c>
      <c r="BR2998" s="2" t="s">
        <v>83</v>
      </c>
      <c r="BS2998" s="3">
        <v>42675</v>
      </c>
      <c r="BT2998" s="4">
        <v>0.375</v>
      </c>
      <c r="BU2998" s="2" t="s">
        <v>1034</v>
      </c>
      <c r="BV2998" s="2" t="s">
        <v>85</v>
      </c>
      <c r="BW2998" s="2"/>
      <c r="BX2998" s="2"/>
      <c r="BY2998" s="2">
        <v>1200</v>
      </c>
      <c r="BZ2998" s="2"/>
      <c r="CA2998" s="2"/>
      <c r="CB2998" s="2"/>
      <c r="CC2998" s="2" t="s">
        <v>161</v>
      </c>
      <c r="CD2998" s="2">
        <v>7493</v>
      </c>
      <c r="CE2998" s="2" t="s">
        <v>108</v>
      </c>
      <c r="CF2998" s="5">
        <v>42676</v>
      </c>
      <c r="CG2998" s="2"/>
      <c r="CH2998" s="2"/>
      <c r="CI2998" s="2">
        <v>1</v>
      </c>
      <c r="CJ2998" s="2">
        <v>1</v>
      </c>
      <c r="CK2998" s="2">
        <v>21</v>
      </c>
      <c r="CL2998" s="2" t="s">
        <v>88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"FES1162510443"</f>
        <v>FES1162510443</v>
      </c>
      <c r="F2999" s="3">
        <v>42674</v>
      </c>
      <c r="G2999" s="2">
        <v>201704</v>
      </c>
      <c r="H2999" s="2" t="s">
        <v>74</v>
      </c>
      <c r="I2999" s="2" t="s">
        <v>75</v>
      </c>
      <c r="J2999" s="2" t="s">
        <v>76</v>
      </c>
      <c r="K2999" s="2" t="s">
        <v>77</v>
      </c>
      <c r="L2999" s="2" t="s">
        <v>2148</v>
      </c>
      <c r="M2999" s="2" t="s">
        <v>2149</v>
      </c>
      <c r="N2999" s="2" t="s">
        <v>2150</v>
      </c>
      <c r="O2999" s="2" t="s">
        <v>96</v>
      </c>
      <c r="P2999" s="2" t="str">
        <f>"2170533538                    "</f>
        <v xml:space="preserve">2170533538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3.32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1</v>
      </c>
      <c r="BJ2999" s="2">
        <v>0.2</v>
      </c>
      <c r="BK2999" s="2">
        <v>1</v>
      </c>
      <c r="BL2999" s="2">
        <v>40.76</v>
      </c>
      <c r="BM2999" s="2">
        <v>5.71</v>
      </c>
      <c r="BN2999" s="2">
        <v>46.47</v>
      </c>
      <c r="BO2999" s="2">
        <v>46.47</v>
      </c>
      <c r="BP2999" s="2"/>
      <c r="BQ2999" s="2" t="s">
        <v>91</v>
      </c>
      <c r="BR2999" s="2" t="s">
        <v>83</v>
      </c>
      <c r="BS2999" s="3">
        <v>42676</v>
      </c>
      <c r="BT2999" s="4">
        <v>0.49305555555555558</v>
      </c>
      <c r="BU2999" s="2" t="s">
        <v>2698</v>
      </c>
      <c r="BV2999" s="2" t="s">
        <v>85</v>
      </c>
      <c r="BW2999" s="2"/>
      <c r="BX2999" s="2"/>
      <c r="BY2999" s="2">
        <v>1200</v>
      </c>
      <c r="BZ2999" s="2"/>
      <c r="CA2999" s="2"/>
      <c r="CB2999" s="2"/>
      <c r="CC2999" s="2" t="s">
        <v>2149</v>
      </c>
      <c r="CD2999" s="2">
        <v>7160</v>
      </c>
      <c r="CE2999" s="2" t="s">
        <v>108</v>
      </c>
      <c r="CF2999" s="2"/>
      <c r="CG2999" s="2"/>
      <c r="CH2999" s="2"/>
      <c r="CI2999" s="2">
        <v>3</v>
      </c>
      <c r="CJ2999" s="2">
        <v>2</v>
      </c>
      <c r="CK2999" s="2">
        <v>21</v>
      </c>
      <c r="CL2999" s="2" t="s">
        <v>88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"FES1162510488"</f>
        <v>FES1162510488</v>
      </c>
      <c r="F3000" s="3">
        <v>42674</v>
      </c>
      <c r="G3000" s="2">
        <v>201704</v>
      </c>
      <c r="H3000" s="2" t="s">
        <v>74</v>
      </c>
      <c r="I3000" s="2" t="s">
        <v>75</v>
      </c>
      <c r="J3000" s="2" t="s">
        <v>76</v>
      </c>
      <c r="K3000" s="2" t="s">
        <v>77</v>
      </c>
      <c r="L3000" s="2" t="s">
        <v>160</v>
      </c>
      <c r="M3000" s="2" t="s">
        <v>161</v>
      </c>
      <c r="N3000" s="2" t="s">
        <v>1436</v>
      </c>
      <c r="O3000" s="2" t="s">
        <v>96</v>
      </c>
      <c r="P3000" s="2" t="str">
        <f>"2170533219                    "</f>
        <v xml:space="preserve">2170533219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3.32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</v>
      </c>
      <c r="BI3000" s="2">
        <v>1</v>
      </c>
      <c r="BJ3000" s="2">
        <v>0.2</v>
      </c>
      <c r="BK3000" s="2">
        <v>1</v>
      </c>
      <c r="BL3000" s="2">
        <v>40.76</v>
      </c>
      <c r="BM3000" s="2">
        <v>5.71</v>
      </c>
      <c r="BN3000" s="2">
        <v>46.47</v>
      </c>
      <c r="BO3000" s="2">
        <v>46.47</v>
      </c>
      <c r="BP3000" s="2"/>
      <c r="BQ3000" s="2" t="s">
        <v>1437</v>
      </c>
      <c r="BR3000" s="2" t="s">
        <v>83</v>
      </c>
      <c r="BS3000" s="3">
        <v>42675</v>
      </c>
      <c r="BT3000" s="4">
        <v>0.38819444444444445</v>
      </c>
      <c r="BU3000" s="2" t="s">
        <v>2691</v>
      </c>
      <c r="BV3000" s="2" t="s">
        <v>85</v>
      </c>
      <c r="BW3000" s="2"/>
      <c r="BX3000" s="2"/>
      <c r="BY3000" s="2">
        <v>1200</v>
      </c>
      <c r="BZ3000" s="2"/>
      <c r="CA3000" s="2" t="s">
        <v>229</v>
      </c>
      <c r="CB3000" s="2"/>
      <c r="CC3000" s="2" t="s">
        <v>161</v>
      </c>
      <c r="CD3000" s="2">
        <v>7460</v>
      </c>
      <c r="CE3000" s="2" t="s">
        <v>108</v>
      </c>
      <c r="CF3000" s="5">
        <v>42675</v>
      </c>
      <c r="CG3000" s="2"/>
      <c r="CH3000" s="2"/>
      <c r="CI3000" s="2">
        <v>1</v>
      </c>
      <c r="CJ3000" s="2">
        <v>1</v>
      </c>
      <c r="CK3000" s="2">
        <v>21</v>
      </c>
      <c r="CL3000" s="2" t="s">
        <v>88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"FES1162510332"</f>
        <v>FES1162510332</v>
      </c>
      <c r="F3001" s="3">
        <v>42674</v>
      </c>
      <c r="G3001" s="2">
        <v>201704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160</v>
      </c>
      <c r="M3001" s="2" t="s">
        <v>161</v>
      </c>
      <c r="N3001" s="2" t="s">
        <v>2699</v>
      </c>
      <c r="O3001" s="2" t="s">
        <v>96</v>
      </c>
      <c r="P3001" s="2" t="str">
        <f>"2170533095                    "</f>
        <v xml:space="preserve">2170533095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3.32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0.8</v>
      </c>
      <c r="BJ3001" s="2">
        <v>2</v>
      </c>
      <c r="BK3001" s="2">
        <v>2</v>
      </c>
      <c r="BL3001" s="2">
        <v>40.76</v>
      </c>
      <c r="BM3001" s="2">
        <v>5.71</v>
      </c>
      <c r="BN3001" s="2">
        <v>46.47</v>
      </c>
      <c r="BO3001" s="2">
        <v>46.47</v>
      </c>
      <c r="BP3001" s="2"/>
      <c r="BQ3001" s="2" t="s">
        <v>2700</v>
      </c>
      <c r="BR3001" s="2" t="s">
        <v>83</v>
      </c>
      <c r="BS3001" s="3">
        <v>42675</v>
      </c>
      <c r="BT3001" s="4">
        <v>0.38194444444444442</v>
      </c>
      <c r="BU3001" s="2" t="s">
        <v>2701</v>
      </c>
      <c r="BV3001" s="2" t="s">
        <v>85</v>
      </c>
      <c r="BW3001" s="2"/>
      <c r="BX3001" s="2"/>
      <c r="BY3001" s="2">
        <v>10085.76</v>
      </c>
      <c r="BZ3001" s="2"/>
      <c r="CA3001" s="2"/>
      <c r="CB3001" s="2"/>
      <c r="CC3001" s="2" t="s">
        <v>161</v>
      </c>
      <c r="CD3001" s="2">
        <v>7764</v>
      </c>
      <c r="CE3001" s="2" t="s">
        <v>86</v>
      </c>
      <c r="CF3001" s="5">
        <v>42676</v>
      </c>
      <c r="CG3001" s="2"/>
      <c r="CH3001" s="2"/>
      <c r="CI3001" s="2">
        <v>1</v>
      </c>
      <c r="CJ3001" s="2">
        <v>1</v>
      </c>
      <c r="CK3001" s="2">
        <v>21</v>
      </c>
      <c r="CL3001" s="2" t="s">
        <v>88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"FES1162510504"</f>
        <v>FES1162510504</v>
      </c>
      <c r="F3002" s="3">
        <v>42674</v>
      </c>
      <c r="G3002" s="2">
        <v>201704</v>
      </c>
      <c r="H3002" s="2" t="s">
        <v>74</v>
      </c>
      <c r="I3002" s="2" t="s">
        <v>75</v>
      </c>
      <c r="J3002" s="2" t="s">
        <v>76</v>
      </c>
      <c r="K3002" s="2" t="s">
        <v>77</v>
      </c>
      <c r="L3002" s="2" t="s">
        <v>160</v>
      </c>
      <c r="M3002" s="2" t="s">
        <v>161</v>
      </c>
      <c r="N3002" s="2" t="s">
        <v>441</v>
      </c>
      <c r="O3002" s="2" t="s">
        <v>96</v>
      </c>
      <c r="P3002" s="2" t="str">
        <f>"2170533403                    "</f>
        <v xml:space="preserve">2170533403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3.32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0.6</v>
      </c>
      <c r="BJ3002" s="2">
        <v>1.1000000000000001</v>
      </c>
      <c r="BK3002" s="2">
        <v>1.5</v>
      </c>
      <c r="BL3002" s="2">
        <v>40.76</v>
      </c>
      <c r="BM3002" s="2">
        <v>5.71</v>
      </c>
      <c r="BN3002" s="2">
        <v>46.47</v>
      </c>
      <c r="BO3002" s="2">
        <v>46.47</v>
      </c>
      <c r="BP3002" s="2"/>
      <c r="BQ3002" s="2" t="s">
        <v>168</v>
      </c>
      <c r="BR3002" s="2" t="s">
        <v>83</v>
      </c>
      <c r="BS3002" s="3">
        <v>42675</v>
      </c>
      <c r="BT3002" s="4">
        <v>0.43541666666666662</v>
      </c>
      <c r="BU3002" s="2" t="s">
        <v>442</v>
      </c>
      <c r="BV3002" s="2" t="s">
        <v>85</v>
      </c>
      <c r="BW3002" s="2"/>
      <c r="BX3002" s="2"/>
      <c r="BY3002" s="2">
        <v>5444.48</v>
      </c>
      <c r="BZ3002" s="2"/>
      <c r="CA3002" s="2"/>
      <c r="CB3002" s="2"/>
      <c r="CC3002" s="2" t="s">
        <v>161</v>
      </c>
      <c r="CD3002" s="2">
        <v>7580</v>
      </c>
      <c r="CE3002" s="2" t="s">
        <v>108</v>
      </c>
      <c r="CF3002" s="5">
        <v>42676</v>
      </c>
      <c r="CG3002" s="2"/>
      <c r="CH3002" s="2"/>
      <c r="CI3002" s="2">
        <v>1</v>
      </c>
      <c r="CJ3002" s="2">
        <v>1</v>
      </c>
      <c r="CK3002" s="2">
        <v>21</v>
      </c>
      <c r="CL3002" s="2" t="s">
        <v>88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"FES1162510260"</f>
        <v>FES1162510260</v>
      </c>
      <c r="F3003" s="3">
        <v>42674</v>
      </c>
      <c r="G3003" s="2">
        <v>201704</v>
      </c>
      <c r="H3003" s="2" t="s">
        <v>74</v>
      </c>
      <c r="I3003" s="2" t="s">
        <v>75</v>
      </c>
      <c r="J3003" s="2" t="s">
        <v>76</v>
      </c>
      <c r="K3003" s="2" t="s">
        <v>77</v>
      </c>
      <c r="L3003" s="2" t="s">
        <v>160</v>
      </c>
      <c r="M3003" s="2" t="s">
        <v>161</v>
      </c>
      <c r="N3003" s="2" t="s">
        <v>2702</v>
      </c>
      <c r="O3003" s="2" t="s">
        <v>96</v>
      </c>
      <c r="P3003" s="2" t="str">
        <f>"2170533367                    "</f>
        <v xml:space="preserve">2170533367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9.1199999999999992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5.5</v>
      </c>
      <c r="BJ3003" s="2">
        <v>5.5</v>
      </c>
      <c r="BK3003" s="2">
        <v>5.5</v>
      </c>
      <c r="BL3003" s="2">
        <v>112.08</v>
      </c>
      <c r="BM3003" s="2">
        <v>15.69</v>
      </c>
      <c r="BN3003" s="2">
        <v>127.77</v>
      </c>
      <c r="BO3003" s="2">
        <v>127.77</v>
      </c>
      <c r="BP3003" s="2"/>
      <c r="BQ3003" s="2" t="s">
        <v>2313</v>
      </c>
      <c r="BR3003" s="2" t="s">
        <v>83</v>
      </c>
      <c r="BS3003" s="3">
        <v>42675</v>
      </c>
      <c r="BT3003" s="4">
        <v>0.41666666666666669</v>
      </c>
      <c r="BU3003" s="2" t="s">
        <v>2664</v>
      </c>
      <c r="BV3003" s="2" t="s">
        <v>85</v>
      </c>
      <c r="BW3003" s="2"/>
      <c r="BX3003" s="2"/>
      <c r="BY3003" s="2">
        <v>27511.66</v>
      </c>
      <c r="BZ3003" s="2"/>
      <c r="CA3003" s="2"/>
      <c r="CB3003" s="2"/>
      <c r="CC3003" s="2" t="s">
        <v>161</v>
      </c>
      <c r="CD3003" s="2">
        <v>7405</v>
      </c>
      <c r="CE3003" s="2" t="s">
        <v>86</v>
      </c>
      <c r="CF3003" s="5">
        <v>42676</v>
      </c>
      <c r="CG3003" s="2"/>
      <c r="CH3003" s="2"/>
      <c r="CI3003" s="2">
        <v>1</v>
      </c>
      <c r="CJ3003" s="2">
        <v>1</v>
      </c>
      <c r="CK3003" s="2">
        <v>21</v>
      </c>
      <c r="CL3003" s="2" t="s">
        <v>88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"FES1162510320"</f>
        <v>FES1162510320</v>
      </c>
      <c r="F3004" s="3">
        <v>42674</v>
      </c>
      <c r="G3004" s="2">
        <v>201704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156</v>
      </c>
      <c r="M3004" s="2" t="s">
        <v>157</v>
      </c>
      <c r="N3004" s="2" t="s">
        <v>507</v>
      </c>
      <c r="O3004" s="2" t="s">
        <v>96</v>
      </c>
      <c r="P3004" s="2" t="str">
        <f>"2170532682                    "</f>
        <v xml:space="preserve">2170532682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37.32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22.5</v>
      </c>
      <c r="BJ3004" s="2">
        <v>9.1</v>
      </c>
      <c r="BK3004" s="2">
        <v>22.5</v>
      </c>
      <c r="BL3004" s="2">
        <v>458.52</v>
      </c>
      <c r="BM3004" s="2">
        <v>64.19</v>
      </c>
      <c r="BN3004" s="2">
        <v>522.71</v>
      </c>
      <c r="BO3004" s="2">
        <v>522.71</v>
      </c>
      <c r="BP3004" s="2"/>
      <c r="BQ3004" s="2" t="s">
        <v>508</v>
      </c>
      <c r="BR3004" s="2" t="s">
        <v>83</v>
      </c>
      <c r="BS3004" s="3">
        <v>42675</v>
      </c>
      <c r="BT3004" s="4">
        <v>0.41666666666666669</v>
      </c>
      <c r="BU3004" s="2" t="s">
        <v>926</v>
      </c>
      <c r="BV3004" s="2" t="s">
        <v>85</v>
      </c>
      <c r="BW3004" s="2"/>
      <c r="BX3004" s="2"/>
      <c r="BY3004" s="2">
        <v>45323.27</v>
      </c>
      <c r="BZ3004" s="2"/>
      <c r="CA3004" s="2"/>
      <c r="CB3004" s="2"/>
      <c r="CC3004" s="2" t="s">
        <v>157</v>
      </c>
      <c r="CD3004" s="2">
        <v>7130</v>
      </c>
      <c r="CE3004" s="2" t="s">
        <v>86</v>
      </c>
      <c r="CF3004" s="5">
        <v>42676</v>
      </c>
      <c r="CG3004" s="2"/>
      <c r="CH3004" s="2"/>
      <c r="CI3004" s="2">
        <v>1</v>
      </c>
      <c r="CJ3004" s="2">
        <v>1</v>
      </c>
      <c r="CK3004" s="2">
        <v>21</v>
      </c>
      <c r="CL3004" s="2" t="s">
        <v>88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"FES1162510300"</f>
        <v>FES1162510300</v>
      </c>
      <c r="F3005" s="3">
        <v>42674</v>
      </c>
      <c r="G3005" s="2">
        <v>201704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260</v>
      </c>
      <c r="M3005" s="2" t="s">
        <v>261</v>
      </c>
      <c r="N3005" s="2" t="s">
        <v>347</v>
      </c>
      <c r="O3005" s="2" t="s">
        <v>96</v>
      </c>
      <c r="P3005" s="2" t="str">
        <f>"2170531510                    "</f>
        <v xml:space="preserve">2170531510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13.27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7.9</v>
      </c>
      <c r="BJ3005" s="2">
        <v>3.6</v>
      </c>
      <c r="BK3005" s="2">
        <v>8</v>
      </c>
      <c r="BL3005" s="2">
        <v>163.03</v>
      </c>
      <c r="BM3005" s="2">
        <v>22.82</v>
      </c>
      <c r="BN3005" s="2">
        <v>185.85</v>
      </c>
      <c r="BO3005" s="2">
        <v>185.85</v>
      </c>
      <c r="BP3005" s="2"/>
      <c r="BQ3005" s="2"/>
      <c r="BR3005" s="2" t="s">
        <v>83</v>
      </c>
      <c r="BS3005" s="3">
        <v>42675</v>
      </c>
      <c r="BT3005" s="4">
        <v>0.41388888888888892</v>
      </c>
      <c r="BU3005" s="2" t="s">
        <v>2543</v>
      </c>
      <c r="BV3005" s="2" t="s">
        <v>85</v>
      </c>
      <c r="BW3005" s="2"/>
      <c r="BX3005" s="2"/>
      <c r="BY3005" s="2">
        <v>17978.11</v>
      </c>
      <c r="BZ3005" s="2"/>
      <c r="CA3005" s="2" t="s">
        <v>451</v>
      </c>
      <c r="CB3005" s="2"/>
      <c r="CC3005" s="2" t="s">
        <v>261</v>
      </c>
      <c r="CD3005" s="2">
        <v>6850</v>
      </c>
      <c r="CE3005" s="2" t="s">
        <v>86</v>
      </c>
      <c r="CF3005" s="5">
        <v>42675</v>
      </c>
      <c r="CG3005" s="2"/>
      <c r="CH3005" s="2"/>
      <c r="CI3005" s="2">
        <v>3</v>
      </c>
      <c r="CJ3005" s="2">
        <v>1</v>
      </c>
      <c r="CK3005" s="2">
        <v>21</v>
      </c>
      <c r="CL3005" s="2" t="s">
        <v>88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"FES1162510479"</f>
        <v>FES1162510479</v>
      </c>
      <c r="F3006" s="3">
        <v>42674</v>
      </c>
      <c r="G3006" s="2">
        <v>201704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160</v>
      </c>
      <c r="M3006" s="2" t="s">
        <v>161</v>
      </c>
      <c r="N3006" s="2" t="s">
        <v>411</v>
      </c>
      <c r="O3006" s="2" t="s">
        <v>96</v>
      </c>
      <c r="P3006" s="2" t="str">
        <f>"2170533576                    "</f>
        <v xml:space="preserve">2170533576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4.1500000000000004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1.6</v>
      </c>
      <c r="BJ3006" s="2">
        <v>2.2999999999999998</v>
      </c>
      <c r="BK3006" s="2">
        <v>2.5</v>
      </c>
      <c r="BL3006" s="2">
        <v>50.95</v>
      </c>
      <c r="BM3006" s="2">
        <v>7.13</v>
      </c>
      <c r="BN3006" s="2">
        <v>58.08</v>
      </c>
      <c r="BO3006" s="2">
        <v>58.08</v>
      </c>
      <c r="BP3006" s="2"/>
      <c r="BQ3006" s="2" t="s">
        <v>412</v>
      </c>
      <c r="BR3006" s="2" t="s">
        <v>83</v>
      </c>
      <c r="BS3006" s="3">
        <v>42675</v>
      </c>
      <c r="BT3006" s="4">
        <v>0.4375</v>
      </c>
      <c r="BU3006" s="2" t="s">
        <v>413</v>
      </c>
      <c r="BV3006" s="2" t="s">
        <v>85</v>
      </c>
      <c r="BW3006" s="2"/>
      <c r="BX3006" s="2"/>
      <c r="BY3006" s="2">
        <v>11251.88</v>
      </c>
      <c r="BZ3006" s="2"/>
      <c r="CA3006" s="2"/>
      <c r="CB3006" s="2"/>
      <c r="CC3006" s="2" t="s">
        <v>161</v>
      </c>
      <c r="CD3006" s="2">
        <v>7945</v>
      </c>
      <c r="CE3006" s="2" t="s">
        <v>108</v>
      </c>
      <c r="CF3006" s="5">
        <v>42676</v>
      </c>
      <c r="CG3006" s="2"/>
      <c r="CH3006" s="2"/>
      <c r="CI3006" s="2">
        <v>1</v>
      </c>
      <c r="CJ3006" s="2">
        <v>1</v>
      </c>
      <c r="CK3006" s="2">
        <v>21</v>
      </c>
      <c r="CL3006" s="2" t="s">
        <v>88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"FES1162510472"</f>
        <v>FES1162510472</v>
      </c>
      <c r="F3007" s="3">
        <v>42674</v>
      </c>
      <c r="G3007" s="2">
        <v>201704</v>
      </c>
      <c r="H3007" s="2" t="s">
        <v>74</v>
      </c>
      <c r="I3007" s="2" t="s">
        <v>75</v>
      </c>
      <c r="J3007" s="2" t="s">
        <v>76</v>
      </c>
      <c r="K3007" s="2" t="s">
        <v>77</v>
      </c>
      <c r="L3007" s="2" t="s">
        <v>160</v>
      </c>
      <c r="M3007" s="2" t="s">
        <v>161</v>
      </c>
      <c r="N3007" s="2" t="s">
        <v>179</v>
      </c>
      <c r="O3007" s="2" t="s">
        <v>96</v>
      </c>
      <c r="P3007" s="2" t="str">
        <f>"2170533570                    "</f>
        <v xml:space="preserve">2170533570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3.32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0.5</v>
      </c>
      <c r="BJ3007" s="2">
        <v>1.3</v>
      </c>
      <c r="BK3007" s="2">
        <v>1.5</v>
      </c>
      <c r="BL3007" s="2">
        <v>40.76</v>
      </c>
      <c r="BM3007" s="2">
        <v>5.71</v>
      </c>
      <c r="BN3007" s="2">
        <v>46.47</v>
      </c>
      <c r="BO3007" s="2">
        <v>46.47</v>
      </c>
      <c r="BP3007" s="2"/>
      <c r="BQ3007" s="2" t="s">
        <v>180</v>
      </c>
      <c r="BR3007" s="2" t="s">
        <v>83</v>
      </c>
      <c r="BS3007" s="3">
        <v>42675</v>
      </c>
      <c r="BT3007" s="4">
        <v>0.41666666666666669</v>
      </c>
      <c r="BU3007" s="2" t="s">
        <v>181</v>
      </c>
      <c r="BV3007" s="2" t="s">
        <v>85</v>
      </c>
      <c r="BW3007" s="2"/>
      <c r="BX3007" s="2"/>
      <c r="BY3007" s="2">
        <v>6487.36</v>
      </c>
      <c r="BZ3007" s="2"/>
      <c r="CA3007" s="2"/>
      <c r="CB3007" s="2"/>
      <c r="CC3007" s="2" t="s">
        <v>161</v>
      </c>
      <c r="CD3007" s="2">
        <v>7405</v>
      </c>
      <c r="CE3007" s="2" t="s">
        <v>108</v>
      </c>
      <c r="CF3007" s="5">
        <v>42676</v>
      </c>
      <c r="CG3007" s="2"/>
      <c r="CH3007" s="2"/>
      <c r="CI3007" s="2">
        <v>1</v>
      </c>
      <c r="CJ3007" s="2">
        <v>1</v>
      </c>
      <c r="CK3007" s="2">
        <v>21</v>
      </c>
      <c r="CL3007" s="2" t="s">
        <v>88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"FES1162510384"</f>
        <v>FES1162510384</v>
      </c>
      <c r="F3008" s="3">
        <v>42674</v>
      </c>
      <c r="G3008" s="2">
        <v>201704</v>
      </c>
      <c r="H3008" s="2" t="s">
        <v>74</v>
      </c>
      <c r="I3008" s="2" t="s">
        <v>75</v>
      </c>
      <c r="J3008" s="2" t="s">
        <v>76</v>
      </c>
      <c r="K3008" s="2" t="s">
        <v>77</v>
      </c>
      <c r="L3008" s="2" t="s">
        <v>156</v>
      </c>
      <c r="M3008" s="2" t="s">
        <v>157</v>
      </c>
      <c r="N3008" s="2" t="s">
        <v>158</v>
      </c>
      <c r="O3008" s="2" t="s">
        <v>96</v>
      </c>
      <c r="P3008" s="2" t="str">
        <f>"2170533459                    "</f>
        <v xml:space="preserve">2170533459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3.32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1.3</v>
      </c>
      <c r="BJ3008" s="2">
        <v>1.6</v>
      </c>
      <c r="BK3008" s="2">
        <v>2</v>
      </c>
      <c r="BL3008" s="2">
        <v>40.76</v>
      </c>
      <c r="BM3008" s="2">
        <v>5.71</v>
      </c>
      <c r="BN3008" s="2">
        <v>46.47</v>
      </c>
      <c r="BO3008" s="2">
        <v>46.47</v>
      </c>
      <c r="BP3008" s="2"/>
      <c r="BQ3008" s="2" t="s">
        <v>91</v>
      </c>
      <c r="BR3008" s="2" t="s">
        <v>83</v>
      </c>
      <c r="BS3008" s="3">
        <v>42675</v>
      </c>
      <c r="BT3008" s="4">
        <v>0.41666666666666669</v>
      </c>
      <c r="BU3008" s="2" t="s">
        <v>1364</v>
      </c>
      <c r="BV3008" s="2" t="s">
        <v>85</v>
      </c>
      <c r="BW3008" s="2"/>
      <c r="BX3008" s="2"/>
      <c r="BY3008" s="2">
        <v>8024.94</v>
      </c>
      <c r="BZ3008" s="2"/>
      <c r="CA3008" s="2"/>
      <c r="CB3008" s="2"/>
      <c r="CC3008" s="2" t="s">
        <v>157</v>
      </c>
      <c r="CD3008" s="2">
        <v>7130</v>
      </c>
      <c r="CE3008" s="2" t="s">
        <v>108</v>
      </c>
      <c r="CF3008" s="5">
        <v>42676</v>
      </c>
      <c r="CG3008" s="2"/>
      <c r="CH3008" s="2"/>
      <c r="CI3008" s="2">
        <v>1</v>
      </c>
      <c r="CJ3008" s="2">
        <v>1</v>
      </c>
      <c r="CK3008" s="2">
        <v>21</v>
      </c>
      <c r="CL3008" s="2" t="s">
        <v>88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"FES1162510296"</f>
        <v>FES1162510296</v>
      </c>
      <c r="F3009" s="3">
        <v>42674</v>
      </c>
      <c r="G3009" s="2">
        <v>201704</v>
      </c>
      <c r="H3009" s="2" t="s">
        <v>74</v>
      </c>
      <c r="I3009" s="2" t="s">
        <v>75</v>
      </c>
      <c r="J3009" s="2" t="s">
        <v>76</v>
      </c>
      <c r="K3009" s="2" t="s">
        <v>77</v>
      </c>
      <c r="L3009" s="2" t="s">
        <v>260</v>
      </c>
      <c r="M3009" s="2" t="s">
        <v>261</v>
      </c>
      <c r="N3009" s="2" t="s">
        <v>347</v>
      </c>
      <c r="O3009" s="2" t="s">
        <v>96</v>
      </c>
      <c r="P3009" s="2" t="str">
        <f>"2170531213                    "</f>
        <v xml:space="preserve">2170531213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11.61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6.6</v>
      </c>
      <c r="BJ3009" s="2">
        <v>4.7</v>
      </c>
      <c r="BK3009" s="2">
        <v>7</v>
      </c>
      <c r="BL3009" s="2">
        <v>142.65</v>
      </c>
      <c r="BM3009" s="2">
        <v>19.97</v>
      </c>
      <c r="BN3009" s="2">
        <v>162.62</v>
      </c>
      <c r="BO3009" s="2">
        <v>162.62</v>
      </c>
      <c r="BP3009" s="2"/>
      <c r="BQ3009" s="2"/>
      <c r="BR3009" s="2" t="s">
        <v>83</v>
      </c>
      <c r="BS3009" s="3">
        <v>42675</v>
      </c>
      <c r="BT3009" s="4">
        <v>0.41319444444444442</v>
      </c>
      <c r="BU3009" s="2" t="s">
        <v>2543</v>
      </c>
      <c r="BV3009" s="2" t="s">
        <v>85</v>
      </c>
      <c r="BW3009" s="2"/>
      <c r="BX3009" s="2"/>
      <c r="BY3009" s="2">
        <v>23537.65</v>
      </c>
      <c r="BZ3009" s="2"/>
      <c r="CA3009" s="2" t="s">
        <v>451</v>
      </c>
      <c r="CB3009" s="2"/>
      <c r="CC3009" s="2" t="s">
        <v>261</v>
      </c>
      <c r="CD3009" s="2">
        <v>6850</v>
      </c>
      <c r="CE3009" s="2" t="s">
        <v>86</v>
      </c>
      <c r="CF3009" s="5">
        <v>42675</v>
      </c>
      <c r="CG3009" s="2"/>
      <c r="CH3009" s="2"/>
      <c r="CI3009" s="2">
        <v>3</v>
      </c>
      <c r="CJ3009" s="2">
        <v>1</v>
      </c>
      <c r="CK3009" s="2">
        <v>21</v>
      </c>
      <c r="CL3009" s="2" t="s">
        <v>88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"FES1162510314"</f>
        <v>FES1162510314</v>
      </c>
      <c r="F3010" s="3">
        <v>42674</v>
      </c>
      <c r="G3010" s="2">
        <v>201704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503</v>
      </c>
      <c r="M3010" s="2" t="s">
        <v>504</v>
      </c>
      <c r="N3010" s="2" t="s">
        <v>505</v>
      </c>
      <c r="O3010" s="2" t="s">
        <v>96</v>
      </c>
      <c r="P3010" s="2" t="str">
        <f>"2170532251                    "</f>
        <v xml:space="preserve">2170532251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6.43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78.97</v>
      </c>
      <c r="BM3010" s="2">
        <v>11.06</v>
      </c>
      <c r="BN3010" s="2">
        <v>90.03</v>
      </c>
      <c r="BO3010" s="2">
        <v>90.03</v>
      </c>
      <c r="BP3010" s="2"/>
      <c r="BQ3010" s="2" t="s">
        <v>91</v>
      </c>
      <c r="BR3010" s="2" t="s">
        <v>83</v>
      </c>
      <c r="BS3010" s="3">
        <v>42675</v>
      </c>
      <c r="BT3010" s="4">
        <v>0.41666666666666669</v>
      </c>
      <c r="BU3010" s="2" t="s">
        <v>2524</v>
      </c>
      <c r="BV3010" s="2" t="s">
        <v>85</v>
      </c>
      <c r="BW3010" s="2"/>
      <c r="BX3010" s="2"/>
      <c r="BY3010" s="2">
        <v>1200</v>
      </c>
      <c r="BZ3010" s="2"/>
      <c r="CA3010" s="2"/>
      <c r="CB3010" s="2"/>
      <c r="CC3010" s="2" t="s">
        <v>504</v>
      </c>
      <c r="CD3010" s="2">
        <v>7349</v>
      </c>
      <c r="CE3010" s="2" t="s">
        <v>108</v>
      </c>
      <c r="CF3010" s="5">
        <v>42676</v>
      </c>
      <c r="CG3010" s="2"/>
      <c r="CH3010" s="2"/>
      <c r="CI3010" s="2">
        <v>1</v>
      </c>
      <c r="CJ3010" s="2">
        <v>1</v>
      </c>
      <c r="CK3010" s="2">
        <v>23</v>
      </c>
      <c r="CL3010" s="2" t="s">
        <v>88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"FES1162510402"</f>
        <v>FES1162510402</v>
      </c>
      <c r="F3011" s="3">
        <v>42674</v>
      </c>
      <c r="G3011" s="2">
        <v>201704</v>
      </c>
      <c r="H3011" s="2" t="s">
        <v>74</v>
      </c>
      <c r="I3011" s="2" t="s">
        <v>75</v>
      </c>
      <c r="J3011" s="2" t="s">
        <v>76</v>
      </c>
      <c r="K3011" s="2" t="s">
        <v>77</v>
      </c>
      <c r="L3011" s="2" t="s">
        <v>156</v>
      </c>
      <c r="M3011" s="2" t="s">
        <v>157</v>
      </c>
      <c r="N3011" s="2" t="s">
        <v>507</v>
      </c>
      <c r="O3011" s="2" t="s">
        <v>96</v>
      </c>
      <c r="P3011" s="2" t="str">
        <f>"2170532386                    "</f>
        <v xml:space="preserve">2170532386  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4.9800000000000004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0.9</v>
      </c>
      <c r="BJ3011" s="2">
        <v>2.7</v>
      </c>
      <c r="BK3011" s="2">
        <v>3</v>
      </c>
      <c r="BL3011" s="2">
        <v>61.14</v>
      </c>
      <c r="BM3011" s="2">
        <v>8.56</v>
      </c>
      <c r="BN3011" s="2">
        <v>69.7</v>
      </c>
      <c r="BO3011" s="2">
        <v>69.7</v>
      </c>
      <c r="BP3011" s="2"/>
      <c r="BQ3011" s="2" t="s">
        <v>508</v>
      </c>
      <c r="BR3011" s="2" t="s">
        <v>83</v>
      </c>
      <c r="BS3011" s="3">
        <v>42675</v>
      </c>
      <c r="BT3011" s="4">
        <v>0.41666666666666669</v>
      </c>
      <c r="BU3011" s="2" t="s">
        <v>2703</v>
      </c>
      <c r="BV3011" s="2" t="s">
        <v>85</v>
      </c>
      <c r="BW3011" s="2"/>
      <c r="BX3011" s="2"/>
      <c r="BY3011" s="2">
        <v>13448.33</v>
      </c>
      <c r="BZ3011" s="2"/>
      <c r="CA3011" s="2"/>
      <c r="CB3011" s="2"/>
      <c r="CC3011" s="2" t="s">
        <v>157</v>
      </c>
      <c r="CD3011" s="2">
        <v>7130</v>
      </c>
      <c r="CE3011" s="2" t="s">
        <v>108</v>
      </c>
      <c r="CF3011" s="5">
        <v>42676</v>
      </c>
      <c r="CG3011" s="2"/>
      <c r="CH3011" s="2"/>
      <c r="CI3011" s="2">
        <v>1</v>
      </c>
      <c r="CJ3011" s="2">
        <v>1</v>
      </c>
      <c r="CK3011" s="2">
        <v>21</v>
      </c>
      <c r="CL3011" s="2" t="s">
        <v>88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"FES1162510316"</f>
        <v>FES1162510316</v>
      </c>
      <c r="F3012" s="3">
        <v>42674</v>
      </c>
      <c r="G3012" s="2">
        <v>201704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156</v>
      </c>
      <c r="M3012" s="2" t="s">
        <v>157</v>
      </c>
      <c r="N3012" s="2" t="s">
        <v>507</v>
      </c>
      <c r="O3012" s="2" t="s">
        <v>96</v>
      </c>
      <c r="P3012" s="2" t="str">
        <f>"2170532386                    "</f>
        <v xml:space="preserve">2170532386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9.1199999999999992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5.5</v>
      </c>
      <c r="BJ3012" s="2">
        <v>1.9</v>
      </c>
      <c r="BK3012" s="2">
        <v>5.5</v>
      </c>
      <c r="BL3012" s="2">
        <v>112.08</v>
      </c>
      <c r="BM3012" s="2">
        <v>15.69</v>
      </c>
      <c r="BN3012" s="2">
        <v>127.77</v>
      </c>
      <c r="BO3012" s="2">
        <v>127.77</v>
      </c>
      <c r="BP3012" s="2"/>
      <c r="BQ3012" s="2" t="s">
        <v>508</v>
      </c>
      <c r="BR3012" s="2" t="s">
        <v>83</v>
      </c>
      <c r="BS3012" s="3">
        <v>42676</v>
      </c>
      <c r="BT3012" s="4">
        <v>0.41666666666666669</v>
      </c>
      <c r="BU3012" s="2" t="s">
        <v>1312</v>
      </c>
      <c r="BV3012" s="2" t="s">
        <v>88</v>
      </c>
      <c r="BW3012" s="2" t="s">
        <v>222</v>
      </c>
      <c r="BX3012" s="2" t="s">
        <v>356</v>
      </c>
      <c r="BY3012" s="2">
        <v>9296.35</v>
      </c>
      <c r="BZ3012" s="2"/>
      <c r="CA3012" s="2"/>
      <c r="CB3012" s="2"/>
      <c r="CC3012" s="2" t="s">
        <v>157</v>
      </c>
      <c r="CD3012" s="2">
        <v>7130</v>
      </c>
      <c r="CE3012" s="2" t="s">
        <v>86</v>
      </c>
      <c r="CF3012" s="5">
        <v>42677</v>
      </c>
      <c r="CG3012" s="2"/>
      <c r="CH3012" s="2"/>
      <c r="CI3012" s="2">
        <v>1</v>
      </c>
      <c r="CJ3012" s="2">
        <v>2</v>
      </c>
      <c r="CK3012" s="2">
        <v>21</v>
      </c>
      <c r="CL3012" s="2" t="s">
        <v>88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"FES1162510510"</f>
        <v>FES1162510510</v>
      </c>
      <c r="F3013" s="3">
        <v>42674</v>
      </c>
      <c r="G3013" s="2">
        <v>201704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160</v>
      </c>
      <c r="M3013" s="2" t="s">
        <v>161</v>
      </c>
      <c r="N3013" s="2" t="s">
        <v>754</v>
      </c>
      <c r="O3013" s="2" t="s">
        <v>96</v>
      </c>
      <c r="P3013" s="2" t="str">
        <f>"2170533558                    "</f>
        <v xml:space="preserve">2170533558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3.32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40.76</v>
      </c>
      <c r="BM3013" s="2">
        <v>5.71</v>
      </c>
      <c r="BN3013" s="2">
        <v>46.47</v>
      </c>
      <c r="BO3013" s="2">
        <v>46.47</v>
      </c>
      <c r="BP3013" s="2"/>
      <c r="BQ3013" s="2" t="s">
        <v>755</v>
      </c>
      <c r="BR3013" s="2" t="s">
        <v>83</v>
      </c>
      <c r="BS3013" s="3">
        <v>42675</v>
      </c>
      <c r="BT3013" s="4">
        <v>0.41666666666666669</v>
      </c>
      <c r="BU3013" s="2" t="s">
        <v>568</v>
      </c>
      <c r="BV3013" s="2" t="s">
        <v>85</v>
      </c>
      <c r="BW3013" s="2"/>
      <c r="BX3013" s="2"/>
      <c r="BY3013" s="2">
        <v>1200</v>
      </c>
      <c r="BZ3013" s="2"/>
      <c r="CA3013" s="2" t="s">
        <v>129</v>
      </c>
      <c r="CB3013" s="2"/>
      <c r="CC3013" s="2" t="s">
        <v>161</v>
      </c>
      <c r="CD3013" s="2">
        <v>7441</v>
      </c>
      <c r="CE3013" s="2" t="s">
        <v>108</v>
      </c>
      <c r="CF3013" s="5">
        <v>42676</v>
      </c>
      <c r="CG3013" s="2"/>
      <c r="CH3013" s="2"/>
      <c r="CI3013" s="2">
        <v>1</v>
      </c>
      <c r="CJ3013" s="2">
        <v>1</v>
      </c>
      <c r="CK3013" s="2">
        <v>21</v>
      </c>
      <c r="CL3013" s="2" t="s">
        <v>88</v>
      </c>
      <c r="CM3013" s="2"/>
    </row>
    <row r="3014" spans="1:91">
      <c r="A3014" s="2"/>
      <c r="B3014" s="2"/>
      <c r="C3014" s="2"/>
      <c r="D3014" s="2"/>
      <c r="E3014" s="2"/>
      <c r="F3014" s="6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6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</row>
    <row r="3015" spans="1:91">
      <c r="A3015" s="1"/>
      <c r="B3015" s="1"/>
      <c r="C3015" s="1"/>
      <c r="D3015" s="1"/>
      <c r="E3015" s="1" t="s">
        <v>2704</v>
      </c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>
        <v>0</v>
      </c>
      <c r="R3015" s="1">
        <v>0</v>
      </c>
      <c r="S3015" s="1">
        <v>0</v>
      </c>
      <c r="T3015" s="1">
        <v>0</v>
      </c>
      <c r="U3015" s="1">
        <v>0</v>
      </c>
      <c r="V3015" s="1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  <c r="AC3015" s="1">
        <v>175</v>
      </c>
      <c r="AD3015" s="1">
        <v>0</v>
      </c>
      <c r="AE3015" s="1">
        <v>2457</v>
      </c>
      <c r="AF3015" s="1">
        <v>0</v>
      </c>
      <c r="AG3015" s="1">
        <v>1638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20652.400000000001</v>
      </c>
      <c r="AN3015" s="1">
        <v>0</v>
      </c>
      <c r="AO3015" s="1">
        <v>0</v>
      </c>
      <c r="AP3015" s="1">
        <v>0</v>
      </c>
      <c r="AQ3015" s="1">
        <v>0</v>
      </c>
      <c r="AR3015" s="1">
        <v>0</v>
      </c>
      <c r="AS3015" s="1">
        <v>0</v>
      </c>
      <c r="AT3015" s="1">
        <v>0</v>
      </c>
      <c r="AU3015" s="1">
        <v>0</v>
      </c>
      <c r="AV3015" s="1">
        <v>0</v>
      </c>
      <c r="AW3015" s="1">
        <v>0</v>
      </c>
      <c r="AX3015" s="1">
        <v>0</v>
      </c>
      <c r="AY3015" s="1">
        <v>0</v>
      </c>
      <c r="AZ3015" s="1">
        <v>0</v>
      </c>
      <c r="BA3015" s="1">
        <v>0</v>
      </c>
      <c r="BB3015" s="1">
        <v>0</v>
      </c>
      <c r="BC3015" s="1">
        <v>0</v>
      </c>
      <c r="BD3015" s="1">
        <v>0</v>
      </c>
      <c r="BE3015" s="1">
        <v>1170</v>
      </c>
      <c r="BF3015" s="1">
        <v>0</v>
      </c>
      <c r="BG3015" s="1">
        <v>0</v>
      </c>
      <c r="BH3015" s="1"/>
      <c r="BI3015" s="1">
        <v>10463.6</v>
      </c>
      <c r="BJ3015" s="1">
        <v>8300.5</v>
      </c>
      <c r="BK3015" s="1">
        <v>12792</v>
      </c>
      <c r="BL3015" s="1">
        <v>259840.89</v>
      </c>
      <c r="BM3015" s="1">
        <v>36384.839999999997</v>
      </c>
      <c r="BN3015" s="1">
        <v>296225.73</v>
      </c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</row>
    <row r="3016" spans="1:91">
      <c r="A3016" s="2"/>
      <c r="B3016" s="2"/>
      <c r="C3016" s="2"/>
      <c r="D3016" s="2"/>
      <c r="E3016" s="2"/>
      <c r="F3016" s="6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6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</row>
    <row r="3017" spans="1:91">
      <c r="A3017" s="2"/>
      <c r="B3017" s="2"/>
      <c r="C3017" s="2"/>
      <c r="D3017" s="2"/>
      <c r="E3017" s="2"/>
      <c r="F3017" s="6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6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Macintosch</dc:creator>
  <cp:lastModifiedBy>Macintosch</cp:lastModifiedBy>
  <dcterms:created xsi:type="dcterms:W3CDTF">2016-11-05T08:46:27Z</dcterms:created>
  <dcterms:modified xsi:type="dcterms:W3CDTF">2016-11-05T09:34:06Z</dcterms:modified>
</cp:coreProperties>
</file>